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theme/theme1.xml" ContentType="application/vnd.openxmlformats-officedocument.theme+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38.xml" ContentType="application/vnd.openxmlformats-officedocument.spreadsheetml.worksheet+xml"/>
  <Override PartName="/xl/worksheets/sheet37.xml" ContentType="application/vnd.openxmlformats-officedocument.spreadsheetml.worksheet+xml"/>
  <Override PartName="/xl/worksheets/sheet36.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sharedStrings.xml" ContentType="application/vnd.openxmlformats-officedocument.spreadsheetml.sharedStrings+xml"/>
  <Override PartName="/xl/worksheets/sheet44.xml" ContentType="application/vnd.openxmlformats-officedocument.spreadsheetml.worksheet+xml"/>
  <Override PartName="/xl/worksheets/sheet45.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styles.xml" ContentType="application/vnd.openxmlformats-officedocument.spreadsheetml.styles+xml"/>
  <Override PartName="/xl/worksheets/sheet53.xml" ContentType="application/vnd.openxmlformats-officedocument.spreadsheetml.worksheet+xml"/>
  <Override PartName="/xl/worksheets/sheet52.xml" ContentType="application/vnd.openxmlformats-officedocument.spreadsheetml.worksheet+xml"/>
  <Override PartName="/xl/worksheets/sheet51.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8.xml" ContentType="application/vnd.openxmlformats-officedocument.spreadsheetml.worksheet+xml"/>
  <Override PartName="/xl/worksheets/sheet30.xml" ContentType="application/vnd.openxmlformats-officedocument.spreadsheetml.worksheet+xml"/>
  <Override PartName="/xl/worksheets/sheet28.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9.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0.xml" ContentType="application/vnd.openxmlformats-officedocument.spreadsheetml.worksheet+xml"/>
  <Override PartName="/xl/worksheets/sheet5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xl/externalLinks/externalLink4.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trlProps/ctrlProp3.xml" ContentType="application/vnd.ms-excel.controlproperties+xml"/>
  <Override PartName="/xl/ctrlProps/ctrlProp2.xml" ContentType="application/vnd.ms-excel.controlproperties+xml"/>
  <Override PartName="/xl/ctrlProps/ctrlProp1.xml" ContentType="application/vnd.ms-excel.controlproperties+xml"/>
  <Override PartName="/xl/comments1.xml" ContentType="application/vnd.openxmlformats-officedocument.spreadsheetml.comments+xml"/>
  <Override PartName="/xl/externalLinks/externalLink5.xml" ContentType="application/vnd.openxmlformats-officedocument.spreadsheetml.externalLink+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backupFile="1" codeName="ThisWorkbook"/>
  <mc:AlternateContent xmlns:mc="http://schemas.openxmlformats.org/markup-compatibility/2006">
    <mc:Choice Requires="x15">
      <x15ac:absPath xmlns:x15ac="http://schemas.microsoft.com/office/spreadsheetml/2010/11/ac" url="W:\Edusfb\Frame\REPORTS\Internet Versions\"/>
    </mc:Choice>
  </mc:AlternateContent>
  <bookViews>
    <workbookView xWindow="-15" yWindow="-15" windowWidth="15330" windowHeight="4425" tabRatio="864"/>
  </bookViews>
  <sheets>
    <sheet name="README" sheetId="38671" r:id="rId1"/>
    <sheet name="- 3 -" sheetId="5" r:id="rId2"/>
    <sheet name="- 4 -" sheetId="6" r:id="rId3"/>
    <sheet name="- 6 -" sheetId="14" r:id="rId4"/>
    <sheet name="- 7 -" sheetId="15" r:id="rId5"/>
    <sheet name="- 8 -" sheetId="16" r:id="rId6"/>
    <sheet name="- 9 -" sheetId="17" r:id="rId7"/>
    <sheet name="- 10 -" sheetId="21" r:id="rId8"/>
    <sheet name="- 12 -" sheetId="22" r:id="rId9"/>
    <sheet name="- 13 -" sheetId="23" r:id="rId10"/>
    <sheet name="- 15 -" sheetId="18" r:id="rId11"/>
    <sheet name="- 16 -" sheetId="19" r:id="rId12"/>
    <sheet name="- 17 -" sheetId="20" r:id="rId13"/>
    <sheet name="- 18 -" sheetId="8" r:id="rId14"/>
    <sheet name="- 19 -" sheetId="9" r:id="rId15"/>
    <sheet name="- 20 -" sheetId="7" r:id="rId16"/>
    <sheet name="- 21 -" sheetId="10" r:id="rId17"/>
    <sheet name="- 22 -" sheetId="11" r:id="rId18"/>
    <sheet name="- 23 -" sheetId="82" r:id="rId19"/>
    <sheet name="- 24 -" sheetId="25" r:id="rId20"/>
    <sheet name="- 25 -" sheetId="26" r:id="rId21"/>
    <sheet name="- 26 -" sheetId="27" r:id="rId22"/>
    <sheet name="- 27 -" sheetId="38655" r:id="rId23"/>
    <sheet name="- 28 -" sheetId="38656" r:id="rId24"/>
    <sheet name="- 29 -" sheetId="34" r:id="rId25"/>
    <sheet name="- 30 -" sheetId="35" r:id="rId26"/>
    <sheet name="- 31 -" sheetId="36" r:id="rId27"/>
    <sheet name="- 32 -" sheetId="37" r:id="rId28"/>
    <sheet name="- 33 -" sheetId="38" r:id="rId29"/>
    <sheet name="- 34 -" sheetId="39" r:id="rId30"/>
    <sheet name="- 35 -" sheetId="40" r:id="rId31"/>
    <sheet name="- 36 -" sheetId="41" r:id="rId32"/>
    <sheet name="- 37 -" sheetId="54" r:id="rId33"/>
    <sheet name="- 38 -" sheetId="76" r:id="rId34"/>
    <sheet name="- 40 -" sheetId="42" r:id="rId35"/>
    <sheet name="- 41 -" sheetId="43" r:id="rId36"/>
    <sheet name="- 42 -" sheetId="44" r:id="rId37"/>
    <sheet name="- 43 -" sheetId="45" r:id="rId38"/>
    <sheet name="- 44 -" sheetId="70" r:id="rId39"/>
    <sheet name="- 45 -" sheetId="33" r:id="rId40"/>
    <sheet name="- 46 -" sheetId="32" r:id="rId41"/>
    <sheet name="- 47 -" sheetId="48" r:id="rId42"/>
    <sheet name="- 48 -" sheetId="38663" r:id="rId43"/>
    <sheet name="- 49 -" sheetId="38665" r:id="rId44"/>
    <sheet name="- 50 -" sheetId="38670" r:id="rId45"/>
    <sheet name="- 51 -" sheetId="38662" r:id="rId46"/>
    <sheet name="- 53 -" sheetId="38651" r:id="rId47"/>
    <sheet name="- 54 - " sheetId="38668" r:id="rId48"/>
    <sheet name="- 55 -" sheetId="38654" r:id="rId49"/>
    <sheet name="- 57 -" sheetId="81" r:id="rId50"/>
    <sheet name="- 58 -" sheetId="47" r:id="rId51"/>
    <sheet name="- 59 -" sheetId="46" r:id="rId52"/>
    <sheet name="- 60 -" sheetId="52" r:id="rId53"/>
    <sheet name="- 61 -" sheetId="78" r:id="rId54"/>
    <sheet name="- 62 -" sheetId="38658" r:id="rId55"/>
    <sheet name="- 63 -" sheetId="38659" r:id="rId56"/>
    <sheet name="- 64 -" sheetId="38666" r:id="rId57"/>
    <sheet name="- 65 -" sheetId="38667" r:id="rId58"/>
    <sheet name="- 66 -" sheetId="38648" r:id="rId59"/>
    <sheet name="Data" sheetId="3188" state="hidden" r:id="rId60"/>
  </sheets>
  <externalReferences>
    <externalReference r:id="rId61"/>
    <externalReference r:id="rId62"/>
    <externalReference r:id="rId63"/>
    <externalReference r:id="rId64"/>
    <externalReference r:id="rId65"/>
  </externalReferences>
  <definedNames>
    <definedName name="_Fill" localSheetId="44" hidden="1">#REF!</definedName>
    <definedName name="_Fill" localSheetId="56" hidden="1">#REF!</definedName>
    <definedName name="_Fill" localSheetId="0" hidden="1">#REF!</definedName>
    <definedName name="_Fill" hidden="1">#REF!</definedName>
    <definedName name="_Order1" hidden="1">0</definedName>
    <definedName name="capyear" localSheetId="42">'- 48 -'!$B$3</definedName>
    <definedName name="capyear" localSheetId="47">#REF!</definedName>
    <definedName name="capyear" localSheetId="56">#REF!</definedName>
    <definedName name="capyear" localSheetId="57">#REF!</definedName>
    <definedName name="capyear">'- 46 -'!$B$3</definedName>
    <definedName name="CurrY" localSheetId="0">[5]Data!$B$5</definedName>
    <definedName name="CurrY">Data!$B$5</definedName>
    <definedName name="DATE_ENTRY" localSheetId="44">#REF!</definedName>
    <definedName name="DATE_ENTRY" localSheetId="0">#REF!</definedName>
    <definedName name="DATE_ENTRY">#REF!</definedName>
    <definedName name="DIV">[1]Data!$A$9:$A$696</definedName>
    <definedName name="DIVNUM">[2]DATA!$B$1</definedName>
    <definedName name="FALLYR" localSheetId="0">[5]Data!$B$6</definedName>
    <definedName name="FALLYR">Data!$B$6</definedName>
    <definedName name="HTML_CodePage" hidden="1">1252</definedName>
    <definedName name="HTML_Control" localSheetId="18" hidden="1">{"'- 4 -'!$A$1:$G$76","'-3 -'!$A$1:$G$77"}</definedName>
    <definedName name="HTML_Control" localSheetId="42" hidden="1">{"'- 4 -'!$A$1:$G$76","'-3 -'!$A$1:$G$77"}</definedName>
    <definedName name="HTML_Control" localSheetId="43" hidden="1">{"'- 4 -'!$A$1:$G$76","'-3 -'!$A$1:$G$77"}</definedName>
    <definedName name="HTML_Control" localSheetId="45" hidden="1">{"'- 4 -'!$A$1:$G$76","'-3 -'!$A$1:$G$77"}</definedName>
    <definedName name="HTML_Control" localSheetId="47" hidden="1">{"'- 4 -'!$A$1:$G$76","'-3 -'!$A$1:$G$77"}</definedName>
    <definedName name="HTML_Control" localSheetId="50" hidden="1">{"'- 4 -'!$A$1:$G$76","'-3 -'!$A$1:$G$77"}</definedName>
    <definedName name="HTML_Control" localSheetId="54" hidden="1">{"'- 4 -'!$A$1:$G$76","'-3 -'!$A$1:$G$77"}</definedName>
    <definedName name="HTML_Control" localSheetId="55" hidden="1">{"'- 4 -'!$A$1:$G$76","'-3 -'!$A$1:$G$77"}</definedName>
    <definedName name="HTML_Control" localSheetId="56" hidden="1">{"'- 4 -'!$A$1:$G$76","'-3 -'!$A$1:$G$77"}</definedName>
    <definedName name="HTML_Control" localSheetId="57" hidden="1">{"'- 4 -'!$A$1:$G$76","'-3 -'!$A$1:$G$77"}</definedName>
    <definedName name="HTML_Control" localSheetId="58" hidden="1">{"'- 4 -'!$A$1:$G$76","'-3 -'!$A$1:$G$77"}</definedName>
    <definedName name="HTML_Control" localSheetId="0" hidden="1">{"'- 4 -'!$A$1:$G$76","'-3 -'!$A$1:$G$77"}</definedName>
    <definedName name="HTML_Control" hidden="1">{"'- 4 -'!$A$1:$G$76","'-3 -'!$A$1:$G$77"}</definedName>
    <definedName name="HTML_Description" hidden="1">""</definedName>
    <definedName name="HTML_Email" hidden="1">""</definedName>
    <definedName name="HTML_Header" hidden="1">"- 8 -"</definedName>
    <definedName name="HTML_LastUpdate" hidden="1">"1999-01-20"</definedName>
    <definedName name="HTML_LineAfter" hidden="1">FALSE</definedName>
    <definedName name="HTML_LineBefore" hidden="1">FALSE</definedName>
    <definedName name="HTML_Name" hidden="1">"Chris J. Anderson"</definedName>
    <definedName name="HTML_OBDlg2" hidden="1">TRUE</definedName>
    <definedName name="HTML_OBDlg4" hidden="1">TRUE</definedName>
    <definedName name="HTML_OS" hidden="1">0</definedName>
    <definedName name="HTML_PathFile" hidden="1">"C:\frame\FIN98\MyHTML.htm"</definedName>
    <definedName name="HTML_Title" hidden="1">"98AFRAME"</definedName>
    <definedName name="LIST">[2]DATA!$D$1:$D$39</definedName>
    <definedName name="LOADED1" localSheetId="44">#REF!</definedName>
    <definedName name="LOADED1" localSheetId="0">#REF!</definedName>
    <definedName name="LOADED1">#REF!</definedName>
    <definedName name="LOADED2" localSheetId="44">#REF!</definedName>
    <definedName name="LOADED2">#REF!</definedName>
    <definedName name="LOADED3" localSheetId="44">#REF!</definedName>
    <definedName name="LOADED3">#REF!</definedName>
    <definedName name="NOW" localSheetId="44">#REF!</definedName>
    <definedName name="NOW">#REF!</definedName>
    <definedName name="OD_FINISH" localSheetId="44">#REF!</definedName>
    <definedName name="OD_FINISH">#REF!</definedName>
    <definedName name="OD_FIRST" localSheetId="44">#REF!</definedName>
    <definedName name="OD_FIRST">#REF!</definedName>
    <definedName name="OD_LAST" localSheetId="44">#REF!</definedName>
    <definedName name="OD_LAST">#REF!</definedName>
    <definedName name="OD_START" localSheetId="44">#REF!</definedName>
    <definedName name="OD_START">#REF!</definedName>
    <definedName name="ONE_AM" localSheetId="44">#REF!</definedName>
    <definedName name="ONE_AM">#REF!</definedName>
    <definedName name="ONE_PM" localSheetId="44">#REF!</definedName>
    <definedName name="ONE_PM">#REF!</definedName>
    <definedName name="OPYEAR" localSheetId="0">'[5]- 3 -'!$A$3</definedName>
    <definedName name="OPYEAR">'- 3 -'!$A$3</definedName>
    <definedName name="PrevY" localSheetId="0">[5]Data!$B$4</definedName>
    <definedName name="PrevY">Data!$B$4</definedName>
    <definedName name="_xlnm.Print_Area" localSheetId="7">'- 10 -'!$A$2:$L$28</definedName>
    <definedName name="_xlnm.Print_Area" localSheetId="8">'- 12 -'!$A$2:$L$52</definedName>
    <definedName name="_xlnm.Print_Area" localSheetId="9">'- 13 -'!$A$2:$L$54</definedName>
    <definedName name="_xlnm.Print_Area" localSheetId="10">'- 15 -'!$A$1:$I$52</definedName>
    <definedName name="_xlnm.Print_Area" localSheetId="11">'- 16 -'!$A$1:$I$52</definedName>
    <definedName name="_xlnm.Print_Area" localSheetId="12">'- 17 -'!$A$1:$J$52</definedName>
    <definedName name="_xlnm.Print_Area" localSheetId="13">'- 18 -'!$A$1:$G$52</definedName>
    <definedName name="_xlnm.Print_Area" localSheetId="14">'- 19 -'!$A$1:$J$53</definedName>
    <definedName name="_xlnm.Print_Area" localSheetId="15">'- 20 -'!$A$1:$I$53</definedName>
    <definedName name="_xlnm.Print_Area" localSheetId="16">'- 21 -'!$A$1:$I$55</definedName>
    <definedName name="_xlnm.Print_Area" localSheetId="17">'- 22 -'!$A$1:$J$54</definedName>
    <definedName name="_xlnm.Print_Area" localSheetId="18">'- 23 -'!$A$1:$F$52</definedName>
    <definedName name="_xlnm.Print_Area" localSheetId="19">'- 24 -'!$A$1:$I$52</definedName>
    <definedName name="_xlnm.Print_Area" localSheetId="20">'- 25 -'!$A$1:$J$52</definedName>
    <definedName name="_xlnm.Print_Area" localSheetId="21">'- 26 -'!$A$1:$E$52</definedName>
    <definedName name="_xlnm.Print_Area" localSheetId="22">'- 27 -'!$A$1:$J$52</definedName>
    <definedName name="_xlnm.Print_Area" localSheetId="23">'- 28 -'!$A$1:$J$53</definedName>
    <definedName name="_xlnm.Print_Area" localSheetId="24">'- 29 -'!$A$1:$G$52</definedName>
    <definedName name="_xlnm.Print_Area" localSheetId="1">'- 3 -'!$A$2:$F$58</definedName>
    <definedName name="_xlnm.Print_Area" localSheetId="25">'- 30 -'!$A$1:$G$52</definedName>
    <definedName name="_xlnm.Print_Area" localSheetId="26">'- 31 -'!$A$1:$G$52</definedName>
    <definedName name="_xlnm.Print_Area" localSheetId="27">'- 32 -'!$A$1:$F$52</definedName>
    <definedName name="_xlnm.Print_Area" localSheetId="28">'- 33 -'!$A$1:$G$52</definedName>
    <definedName name="_xlnm.Print_Area" localSheetId="29">'- 34 -'!$A$1:$H$52</definedName>
    <definedName name="_xlnm.Print_Area" localSheetId="30">'- 35 -'!$A$1:$E$52</definedName>
    <definedName name="_xlnm.Print_Area" localSheetId="31">'- 36 -'!$A$1:$G$54</definedName>
    <definedName name="_xlnm.Print_Area" localSheetId="32">'- 37 -'!$A$1:$J$56</definedName>
    <definedName name="_xlnm.Print_Area" localSheetId="33">'- 38 -'!$A$1:$H$54</definedName>
    <definedName name="_xlnm.Print_Area" localSheetId="2">'- 4 -'!$A$1:$E$56</definedName>
    <definedName name="_xlnm.Print_Area" localSheetId="34">'- 40 -'!$A$1:$H$55</definedName>
    <definedName name="_xlnm.Print_Area" localSheetId="35">'- 41 -'!$A$1:$I$62</definedName>
    <definedName name="_xlnm.Print_Area" localSheetId="36">'- 42 -'!$A$1:$I$57</definedName>
    <definedName name="_xlnm.Print_Area" localSheetId="37">'- 43 -'!$A$1:$I$52</definedName>
    <definedName name="_xlnm.Print_Area" localSheetId="38">'- 44 -'!$A$2:$E$60</definedName>
    <definedName name="_xlnm.Print_Area" localSheetId="39">'- 45 -'!$A$1:$F$56</definedName>
    <definedName name="_xlnm.Print_Area" localSheetId="40">'- 46 -'!$A$1:$F$54</definedName>
    <definedName name="_xlnm.Print_Area" localSheetId="41">'- 47 -'!$A$1:$E$59</definedName>
    <definedName name="_xlnm.Print_Area" localSheetId="42">'- 48 -'!$A$1:$G$57</definedName>
    <definedName name="_xlnm.Print_Area" localSheetId="43">'- 49 -'!$A$1:$H$55</definedName>
    <definedName name="_xlnm.Print_Area" localSheetId="44">'- 50 -'!$A$1:$E$59</definedName>
    <definedName name="_xlnm.Print_Area" localSheetId="45">'- 51 -'!$A$1:$D$58</definedName>
    <definedName name="_xlnm.Print_Area" localSheetId="46">'- 53 -'!$A$1:$G$57</definedName>
    <definedName name="_xlnm.Print_Area" localSheetId="47">'- 54 - '!$A$1:$F$53</definedName>
    <definedName name="_xlnm.Print_Area" localSheetId="48">'- 55 -'!$A$1:$F$52</definedName>
    <definedName name="_xlnm.Print_Area" localSheetId="49">'- 57 -'!$A$1:$G$54</definedName>
    <definedName name="_xlnm.Print_Area" localSheetId="50">'- 58 -'!$A$1:$G$54</definedName>
    <definedName name="_xlnm.Print_Area" localSheetId="51">'- 59 -'!$A$1:$F$55</definedName>
    <definedName name="_xlnm.Print_Area" localSheetId="3">'- 6 -'!$A$1:$H$54</definedName>
    <definedName name="_xlnm.Print_Area" localSheetId="52">'- 60 -'!$A$1:$F$53</definedName>
    <definedName name="_xlnm.Print_Area" localSheetId="53">'- 61 -'!$A$1:$F$59</definedName>
    <definedName name="_xlnm.Print_Area" localSheetId="54">'- 62 -'!$A$1:$F$62</definedName>
    <definedName name="_xlnm.Print_Area" localSheetId="55">'- 63 -'!$A$2:$H$55</definedName>
    <definedName name="_xlnm.Print_Area" localSheetId="56">'- 64 -'!$A$1:$I$57</definedName>
    <definedName name="_xlnm.Print_Area" localSheetId="57">'- 65 -'!$A$2:$G$54</definedName>
    <definedName name="_xlnm.Print_Area" localSheetId="58">'- 66 -'!$A$1:$I$58</definedName>
    <definedName name="_xlnm.Print_Area" localSheetId="4">'- 7 -'!$A$1:$G$56</definedName>
    <definedName name="_xlnm.Print_Area" localSheetId="5">'- 8 -'!$A$1:$G$59</definedName>
    <definedName name="_xlnm.Print_Area" localSheetId="6">'- 9 -'!$A$1:$D$58</definedName>
    <definedName name="REVYEAR" localSheetId="0">'[5]- 42 -'!$B$1</definedName>
    <definedName name="REVYEAR">'- 41 -'!$B$1</definedName>
    <definedName name="SPRINGYR" localSheetId="0">[5]Data!$B$7</definedName>
    <definedName name="SPRINGYR">Data!$B$7</definedName>
    <definedName name="STAMP" localSheetId="44">#REF!</definedName>
    <definedName name="STAMP" localSheetId="0">#REF!</definedName>
    <definedName name="STAMP">#REF!</definedName>
    <definedName name="STATDATE" localSheetId="0">'[5]- 6 -'!$B$3</definedName>
    <definedName name="STATDATE">'- 6 -'!$B$3</definedName>
    <definedName name="TAXYEAR" localSheetId="47">'[3]- 46 -'!$B$3</definedName>
    <definedName name="TAXYEAR" localSheetId="0">'[5]- 52 -'!$B$3</definedName>
    <definedName name="TAXYEAR">'- 51 -'!$B$3</definedName>
    <definedName name="TOTAL1" localSheetId="44">#REF!</definedName>
    <definedName name="TOTAL1" localSheetId="0">#REF!</definedName>
    <definedName name="TOTAL1">#REF!</definedName>
    <definedName name="TOTAL2" localSheetId="44">#REF!</definedName>
    <definedName name="TOTAL2">#REF!</definedName>
    <definedName name="TOTAL3" localSheetId="44">#REF!</definedName>
    <definedName name="TOTAL3">#REF!</definedName>
    <definedName name="TWO" localSheetId="44">#REF!</definedName>
    <definedName name="TWO">#REF!</definedName>
  </definedNames>
  <calcPr calcId="162913"/>
</workbook>
</file>

<file path=xl/calcChain.xml><?xml version="1.0" encoding="utf-8"?>
<calcChain xmlns="http://schemas.openxmlformats.org/spreadsheetml/2006/main">
  <c r="A57" i="78" l="1"/>
  <c r="G48" i="16" l="1"/>
  <c r="D11" i="16" l="1"/>
  <c r="D12" i="16"/>
  <c r="D13" i="16"/>
  <c r="D14" i="16"/>
  <c r="D15" i="16"/>
  <c r="D16" i="16"/>
  <c r="D17" i="16"/>
  <c r="D18" i="16"/>
  <c r="D19" i="16"/>
  <c r="D20" i="16"/>
  <c r="D21" i="16"/>
  <c r="D22" i="16"/>
  <c r="D23" i="16"/>
  <c r="D24" i="16"/>
  <c r="D25" i="16"/>
  <c r="D26" i="16"/>
  <c r="D27" i="16"/>
  <c r="D28" i="16"/>
  <c r="D29" i="16"/>
  <c r="D30" i="16"/>
  <c r="D31" i="16"/>
  <c r="D32" i="16"/>
  <c r="D33" i="16"/>
  <c r="D34" i="16"/>
  <c r="D35" i="16"/>
  <c r="D36" i="16"/>
  <c r="D37" i="16"/>
  <c r="D38" i="16"/>
  <c r="D39" i="16"/>
  <c r="D40" i="16"/>
  <c r="D41" i="16"/>
  <c r="D42" i="16"/>
  <c r="D43" i="16"/>
  <c r="D44" i="16"/>
  <c r="D45" i="16"/>
  <c r="D46" i="16"/>
  <c r="H48" i="38659" l="1"/>
  <c r="H47" i="38659"/>
  <c r="H46" i="38659"/>
  <c r="H45" i="38659"/>
  <c r="H44" i="38659"/>
  <c r="H43" i="38659"/>
  <c r="H42" i="38659"/>
  <c r="H41" i="38659"/>
  <c r="H40" i="38659"/>
  <c r="H39" i="38659"/>
  <c r="H38" i="38659"/>
  <c r="H37" i="38659"/>
  <c r="H36" i="38659"/>
  <c r="H35" i="38659"/>
  <c r="H34" i="38659"/>
  <c r="H33" i="38659"/>
  <c r="H32" i="38659"/>
  <c r="H31" i="38659"/>
  <c r="H30" i="38659"/>
  <c r="H29" i="38659"/>
  <c r="H28" i="38659"/>
  <c r="H27" i="38659"/>
  <c r="H26" i="38659"/>
  <c r="H25" i="38659"/>
  <c r="H24" i="38659"/>
  <c r="H23" i="38659"/>
  <c r="H22" i="38659"/>
  <c r="H21" i="38659"/>
  <c r="H19" i="38659"/>
  <c r="H18" i="38659"/>
  <c r="H17" i="38659"/>
  <c r="H15" i="38659"/>
  <c r="H14" i="38659"/>
  <c r="H13" i="38659"/>
  <c r="P48" i="3188" l="1"/>
  <c r="O48" i="3188" l="1"/>
  <c r="N48" i="3188"/>
  <c r="D2" i="38658"/>
  <c r="D48" i="25" l="1"/>
  <c r="B57" i="3188" l="1"/>
  <c r="B58" i="3188" s="1"/>
  <c r="B59" i="3188" s="1"/>
  <c r="B60" i="3188" s="1"/>
  <c r="B61" i="3188" s="1"/>
  <c r="B62" i="3188" s="1"/>
  <c r="B63" i="3188" s="1"/>
  <c r="B64" i="3188" s="1"/>
  <c r="B65" i="3188" s="1"/>
  <c r="B66" i="3188" s="1"/>
  <c r="B67" i="3188" s="1"/>
  <c r="B68" i="3188" s="1"/>
  <c r="B69" i="3188" s="1"/>
  <c r="B70" i="3188" s="1"/>
  <c r="B71" i="3188" s="1"/>
  <c r="E48" i="26" l="1"/>
  <c r="B48" i="82" l="1"/>
  <c r="D48" i="48" l="1"/>
  <c r="C48" i="48"/>
  <c r="B48" i="48"/>
  <c r="F48" i="32"/>
  <c r="B48" i="35" l="1"/>
  <c r="B48" i="33"/>
  <c r="F48" i="34"/>
  <c r="D48" i="35"/>
  <c r="D48" i="33"/>
  <c r="B48" i="34"/>
  <c r="C48" i="33"/>
  <c r="D48" i="34"/>
  <c r="H48" i="26"/>
  <c r="B48" i="27" l="1"/>
  <c r="E48" i="38655"/>
  <c r="B48" i="38656"/>
  <c r="E48" i="8"/>
  <c r="E48" i="9"/>
  <c r="B48" i="7"/>
  <c r="E48" i="10"/>
  <c r="B48" i="11"/>
  <c r="H48" i="11"/>
  <c r="D48" i="82"/>
  <c r="H48" i="25"/>
  <c r="B48" i="9"/>
  <c r="H48" i="9"/>
  <c r="H48" i="10"/>
  <c r="B48" i="25"/>
  <c r="F48" i="25"/>
  <c r="H48" i="38655"/>
  <c r="E48" i="38656"/>
  <c r="B48" i="38655"/>
  <c r="B48" i="26"/>
  <c r="E48" i="11"/>
  <c r="B48" i="10"/>
  <c r="B48" i="8"/>
  <c r="B48" i="5" l="1"/>
  <c r="C13" i="46" l="1"/>
  <c r="C20" i="46"/>
  <c r="C12" i="46"/>
  <c r="C17" i="46"/>
  <c r="C21" i="46"/>
  <c r="C25" i="46"/>
  <c r="C28" i="46"/>
  <c r="C29" i="46"/>
  <c r="C32" i="46"/>
  <c r="C33" i="46"/>
  <c r="C36" i="46"/>
  <c r="C37" i="46"/>
  <c r="C40" i="46"/>
  <c r="C41" i="46"/>
  <c r="C44" i="46"/>
  <c r="C45" i="46"/>
  <c r="C51" i="46"/>
  <c r="C16" i="46"/>
  <c r="C24" i="46"/>
  <c r="F48" i="47"/>
  <c r="C48" i="81"/>
  <c r="E48" i="81"/>
  <c r="G48" i="81"/>
  <c r="E48" i="38665"/>
  <c r="G48" i="38665"/>
  <c r="C48" i="70"/>
  <c r="B48" i="45"/>
  <c r="F48" i="44"/>
  <c r="B48" i="44"/>
  <c r="D48" i="43"/>
  <c r="D48" i="37"/>
  <c r="B48" i="36"/>
  <c r="C14" i="46"/>
  <c r="C18" i="46"/>
  <c r="C22" i="46"/>
  <c r="C26" i="46"/>
  <c r="C30" i="46"/>
  <c r="C34" i="46"/>
  <c r="C38" i="46"/>
  <c r="C42" i="46"/>
  <c r="C46" i="46"/>
  <c r="C15" i="46"/>
  <c r="C19" i="46"/>
  <c r="C23" i="46"/>
  <c r="C27" i="46"/>
  <c r="C31" i="46"/>
  <c r="C35" i="46"/>
  <c r="C39" i="46"/>
  <c r="C43" i="46"/>
  <c r="C50" i="46"/>
  <c r="S48" i="3188"/>
  <c r="U48" i="3188"/>
  <c r="T48" i="3188"/>
  <c r="C48" i="47"/>
  <c r="D48" i="47"/>
  <c r="E48" i="47"/>
  <c r="B48" i="81"/>
  <c r="D48" i="81"/>
  <c r="F48" i="81"/>
  <c r="C48" i="38665"/>
  <c r="F48" i="38665"/>
  <c r="B48" i="70"/>
  <c r="D48" i="44"/>
  <c r="G48" i="43"/>
  <c r="C48" i="43"/>
  <c r="A53" i="44" s="1"/>
  <c r="D48" i="36"/>
  <c r="C11" i="46"/>
  <c r="F48" i="36"/>
  <c r="B48" i="37"/>
  <c r="H48" i="44"/>
  <c r="D48" i="45"/>
  <c r="B48" i="38665"/>
  <c r="B48" i="47"/>
  <c r="C48" i="38668"/>
  <c r="E48" i="43" l="1"/>
  <c r="R48" i="3188"/>
  <c r="F48" i="46"/>
  <c r="B48" i="52"/>
  <c r="D48" i="52"/>
  <c r="B48" i="46"/>
  <c r="E48" i="46"/>
  <c r="C48" i="78"/>
  <c r="D48" i="46"/>
  <c r="E48" i="78"/>
  <c r="D48" i="78"/>
  <c r="Q48" i="3188"/>
  <c r="C48" i="52"/>
  <c r="J48" i="3188"/>
  <c r="E48" i="3188"/>
  <c r="I48" i="3188"/>
  <c r="H48" i="3188"/>
  <c r="C48" i="3188"/>
  <c r="B48" i="78"/>
  <c r="D48" i="3188"/>
  <c r="F48" i="3188"/>
  <c r="G48" i="3188"/>
  <c r="I28" i="41" l="1"/>
  <c r="A3" i="38666" l="1"/>
  <c r="A3" i="38651"/>
  <c r="A3" i="38668" s="1"/>
  <c r="C48" i="38654" l="1"/>
  <c r="C46" i="38654"/>
  <c r="C45" i="38654"/>
  <c r="C44" i="38654"/>
  <c r="C43" i="38654"/>
  <c r="C42" i="38654"/>
  <c r="C41" i="38654"/>
  <c r="C40" i="38654"/>
  <c r="C39" i="38654"/>
  <c r="C38" i="38654"/>
  <c r="C37" i="38654"/>
  <c r="C36" i="38654"/>
  <c r="C35" i="38654"/>
  <c r="C34" i="38654"/>
  <c r="C33" i="38654"/>
  <c r="C32" i="38654"/>
  <c r="C31" i="38654"/>
  <c r="C30" i="38654"/>
  <c r="C29" i="38654"/>
  <c r="C28" i="38654"/>
  <c r="C27" i="38654"/>
  <c r="C26" i="38654"/>
  <c r="C25" i="38654"/>
  <c r="C24" i="38654"/>
  <c r="C23" i="38654"/>
  <c r="C22" i="38654"/>
  <c r="C21" i="38654"/>
  <c r="C20" i="38654"/>
  <c r="C19" i="38654"/>
  <c r="C18" i="38654"/>
  <c r="C17" i="38654"/>
  <c r="C16" i="38654"/>
  <c r="C15" i="38654"/>
  <c r="C14" i="38654"/>
  <c r="C13" i="38654"/>
  <c r="C12" i="38654"/>
  <c r="C11" i="38654"/>
  <c r="F48" i="38654"/>
  <c r="F46" i="38654"/>
  <c r="F45" i="38654"/>
  <c r="F44" i="38654"/>
  <c r="F43" i="38654"/>
  <c r="F42" i="38654"/>
  <c r="F41" i="38654"/>
  <c r="F40" i="38654"/>
  <c r="F39" i="38654"/>
  <c r="F38" i="38654"/>
  <c r="F37" i="38654"/>
  <c r="F36" i="38654"/>
  <c r="F35" i="38654"/>
  <c r="F34" i="38654"/>
  <c r="F33" i="38654"/>
  <c r="F32" i="38654"/>
  <c r="F31" i="38654"/>
  <c r="F30" i="38654"/>
  <c r="F29" i="38654"/>
  <c r="F28" i="38654"/>
  <c r="F27" i="38654"/>
  <c r="F26" i="38654"/>
  <c r="F25" i="38654"/>
  <c r="F24" i="38654"/>
  <c r="F23" i="38654"/>
  <c r="F22" i="38654"/>
  <c r="F21" i="38654"/>
  <c r="F20" i="38654"/>
  <c r="F19" i="38654"/>
  <c r="F18" i="38654"/>
  <c r="F17" i="38654"/>
  <c r="F16" i="38654"/>
  <c r="F15" i="38654"/>
  <c r="F14" i="38654"/>
  <c r="F13" i="38654"/>
  <c r="F12" i="38654"/>
  <c r="F11" i="38654"/>
  <c r="H47" i="23" l="1"/>
  <c r="I16" i="21"/>
  <c r="H48" i="22"/>
  <c r="AB48" i="3188" l="1"/>
  <c r="I48" i="41" s="1"/>
  <c r="I50" i="41"/>
  <c r="I46" i="41"/>
  <c r="I45" i="41"/>
  <c r="I44" i="41"/>
  <c r="I43" i="41"/>
  <c r="I42" i="41"/>
  <c r="I41" i="41"/>
  <c r="I40" i="41"/>
  <c r="I39" i="41"/>
  <c r="I38" i="41"/>
  <c r="I37" i="41"/>
  <c r="I36" i="41"/>
  <c r="I35" i="41"/>
  <c r="I34" i="41"/>
  <c r="I33" i="41"/>
  <c r="I32" i="41"/>
  <c r="I31" i="41"/>
  <c r="I30" i="41"/>
  <c r="I29" i="41"/>
  <c r="I27" i="41"/>
  <c r="I26" i="41"/>
  <c r="I25" i="41"/>
  <c r="I24" i="41"/>
  <c r="I23" i="41"/>
  <c r="I22" i="41"/>
  <c r="I21" i="41"/>
  <c r="I20" i="41"/>
  <c r="I19" i="41"/>
  <c r="I18" i="41"/>
  <c r="I17" i="41"/>
  <c r="I16" i="41"/>
  <c r="I15" i="41"/>
  <c r="I14" i="41"/>
  <c r="I13" i="41"/>
  <c r="I12" i="41"/>
  <c r="I11" i="41"/>
  <c r="I9" i="41"/>
  <c r="B46" i="38668"/>
  <c r="B45" i="38668"/>
  <c r="B44" i="38668"/>
  <c r="B43" i="38668"/>
  <c r="B42" i="38668"/>
  <c r="B41" i="38668"/>
  <c r="B40" i="38668"/>
  <c r="B39" i="38668"/>
  <c r="B38" i="38668"/>
  <c r="B37" i="38668"/>
  <c r="B36" i="38668"/>
  <c r="B35" i="38668"/>
  <c r="B34" i="38668"/>
  <c r="B33" i="38668"/>
  <c r="B32" i="38668"/>
  <c r="B31" i="38668"/>
  <c r="B30" i="38668"/>
  <c r="B29" i="38668"/>
  <c r="B28" i="38668"/>
  <c r="B27" i="38668"/>
  <c r="B26" i="38668"/>
  <c r="B25" i="38668"/>
  <c r="B24" i="38668"/>
  <c r="B23" i="38668"/>
  <c r="B22" i="38668"/>
  <c r="B21" i="38668"/>
  <c r="B20" i="38668"/>
  <c r="B19" i="38668"/>
  <c r="B18" i="38668"/>
  <c r="B17" i="38668"/>
  <c r="B16" i="38668"/>
  <c r="B15" i="38668"/>
  <c r="B14" i="38668"/>
  <c r="B13" i="38668"/>
  <c r="B12" i="38668"/>
  <c r="D46" i="38668"/>
  <c r="D45" i="38668"/>
  <c r="D44" i="38668"/>
  <c r="D43" i="38668"/>
  <c r="D42" i="38668"/>
  <c r="D41" i="38668"/>
  <c r="D40" i="38668"/>
  <c r="D39" i="38668"/>
  <c r="D38" i="38668"/>
  <c r="D37" i="38668"/>
  <c r="D36" i="38668"/>
  <c r="D35" i="38668"/>
  <c r="D34" i="38668"/>
  <c r="D33" i="38668"/>
  <c r="D32" i="38668"/>
  <c r="D31" i="38668"/>
  <c r="D30" i="38668"/>
  <c r="D29" i="38668"/>
  <c r="D28" i="38668"/>
  <c r="D27" i="38668"/>
  <c r="D26" i="38668"/>
  <c r="D25" i="38668"/>
  <c r="D24" i="38668"/>
  <c r="D23" i="38668"/>
  <c r="D22" i="38668"/>
  <c r="D21" i="38668"/>
  <c r="D20" i="38668"/>
  <c r="D19" i="38668"/>
  <c r="D18" i="38668"/>
  <c r="D17" i="38668"/>
  <c r="D16" i="38668"/>
  <c r="D15" i="38668"/>
  <c r="D14" i="38668"/>
  <c r="D13" i="38668"/>
  <c r="D12" i="38668"/>
  <c r="D11" i="38668"/>
  <c r="B11" i="38668"/>
  <c r="I51" i="38648"/>
  <c r="I50" i="38648"/>
  <c r="I14" i="38648"/>
  <c r="I21" i="21"/>
  <c r="F45" i="23"/>
  <c r="F21" i="21" s="1"/>
  <c r="B45" i="23"/>
  <c r="F19" i="21" s="1"/>
  <c r="J28" i="23"/>
  <c r="D21" i="21"/>
  <c r="D19" i="21"/>
  <c r="B21" i="23"/>
  <c r="C19" i="21" s="1"/>
  <c r="J48" i="22"/>
  <c r="H45" i="22"/>
  <c r="F16" i="21" s="1"/>
  <c r="D45" i="22"/>
  <c r="F14" i="21" s="1"/>
  <c r="J34" i="23"/>
  <c r="F39" i="22"/>
  <c r="E15" i="21" s="1"/>
  <c r="D17" i="21"/>
  <c r="D16" i="21"/>
  <c r="D15" i="21"/>
  <c r="D14" i="21"/>
  <c r="D13" i="21"/>
  <c r="H21" i="22"/>
  <c r="C16" i="21" s="1"/>
  <c r="H50" i="23"/>
  <c r="J50" i="23" s="1"/>
  <c r="B7" i="3188"/>
  <c r="C52" i="38658"/>
  <c r="B89" i="3188"/>
  <c r="A53" i="81" s="1"/>
  <c r="B9" i="38648"/>
  <c r="C9" i="38648"/>
  <c r="D9" i="38667" s="1"/>
  <c r="G9" i="38667" s="1"/>
  <c r="H9" i="38648"/>
  <c r="K6" i="38667"/>
  <c r="L6" i="38667"/>
  <c r="J7" i="38667"/>
  <c r="K7" i="38667"/>
  <c r="L7" i="38667"/>
  <c r="J47" i="38667"/>
  <c r="K47" i="38667"/>
  <c r="L47" i="38667"/>
  <c r="K20" i="38659"/>
  <c r="I16" i="38658"/>
  <c r="I20" i="38658"/>
  <c r="H51" i="38658"/>
  <c r="B3" i="38654"/>
  <c r="G11" i="38648"/>
  <c r="G12" i="38648"/>
  <c r="F12" i="38651"/>
  <c r="G13" i="38648"/>
  <c r="F13" i="38651"/>
  <c r="G14" i="38648"/>
  <c r="G15" i="38648"/>
  <c r="F15" i="38651"/>
  <c r="G16" i="38648"/>
  <c r="F16" i="38651"/>
  <c r="G17" i="38648"/>
  <c r="F17" i="38651"/>
  <c r="G18" i="38648"/>
  <c r="F18" i="38651"/>
  <c r="G19" i="38648"/>
  <c r="F19" i="38651"/>
  <c r="G20" i="38648"/>
  <c r="F20" i="38651"/>
  <c r="G21" i="38648"/>
  <c r="F21" i="38651"/>
  <c r="G22" i="38648"/>
  <c r="F22" i="38651"/>
  <c r="G23" i="38648"/>
  <c r="F23" i="38651"/>
  <c r="G24" i="38648"/>
  <c r="F24" i="38651"/>
  <c r="G25" i="38648"/>
  <c r="F25" i="38651"/>
  <c r="G26" i="38648"/>
  <c r="F26" i="38651"/>
  <c r="G27" i="38648"/>
  <c r="F27" i="38651"/>
  <c r="G28" i="38648"/>
  <c r="F28" i="38651"/>
  <c r="G29" i="38648"/>
  <c r="F29" i="38651"/>
  <c r="G30" i="38648"/>
  <c r="F30" i="38651"/>
  <c r="G31" i="38648"/>
  <c r="F31" i="38651"/>
  <c r="G32" i="38648"/>
  <c r="F32" i="38651"/>
  <c r="G33" i="38648"/>
  <c r="F33" i="38651"/>
  <c r="G34" i="38648"/>
  <c r="F34" i="38651"/>
  <c r="G35" i="38648"/>
  <c r="F35" i="38651"/>
  <c r="G36" i="38648"/>
  <c r="F36" i="38651"/>
  <c r="G37" i="38648"/>
  <c r="F37" i="38651"/>
  <c r="G38" i="38648"/>
  <c r="F38" i="38651"/>
  <c r="G39" i="38648"/>
  <c r="F39" i="38651"/>
  <c r="G40" i="38648"/>
  <c r="F40" i="38651"/>
  <c r="G41" i="38648"/>
  <c r="F41" i="38651"/>
  <c r="G42" i="38648"/>
  <c r="F42" i="38651"/>
  <c r="G43" i="38648"/>
  <c r="F43" i="38651"/>
  <c r="G44" i="38648"/>
  <c r="F44" i="38651"/>
  <c r="G45" i="38648"/>
  <c r="F45" i="38651"/>
  <c r="G46" i="38648"/>
  <c r="F46" i="38651"/>
  <c r="G48" i="38648"/>
  <c r="E11" i="38651"/>
  <c r="I11" i="38651"/>
  <c r="E12" i="38651"/>
  <c r="I12" i="38651"/>
  <c r="E13" i="38651"/>
  <c r="I13" i="38651"/>
  <c r="E14" i="38651"/>
  <c r="I14" i="38651"/>
  <c r="E15" i="38651"/>
  <c r="I15" i="38651"/>
  <c r="E16" i="38651"/>
  <c r="I16" i="38651"/>
  <c r="E17" i="38651"/>
  <c r="I17" i="38651"/>
  <c r="E18" i="38651"/>
  <c r="I18" i="38651"/>
  <c r="E19" i="38651"/>
  <c r="G19" i="38651" s="1"/>
  <c r="I19" i="38648" s="1"/>
  <c r="I19" i="38651"/>
  <c r="E20" i="38651"/>
  <c r="I20" i="38651"/>
  <c r="E21" i="38651"/>
  <c r="I21" i="38651"/>
  <c r="E22" i="38651"/>
  <c r="I22" i="38651"/>
  <c r="E23" i="38651"/>
  <c r="G23" i="38651" s="1"/>
  <c r="I23" i="38648" s="1"/>
  <c r="I23" i="38651"/>
  <c r="E24" i="38651"/>
  <c r="I24" i="38651"/>
  <c r="E25" i="38651"/>
  <c r="I25" i="38651"/>
  <c r="E26" i="38651"/>
  <c r="G26" i="38651" s="1"/>
  <c r="I26" i="38648" s="1"/>
  <c r="I26" i="38651"/>
  <c r="E27" i="38651"/>
  <c r="I27" i="38651"/>
  <c r="E28" i="38651"/>
  <c r="I28" i="38651"/>
  <c r="E29" i="38651"/>
  <c r="I29" i="38651"/>
  <c r="E30" i="38651"/>
  <c r="I30" i="38651"/>
  <c r="E31" i="38651"/>
  <c r="I31" i="38651"/>
  <c r="E32" i="38651"/>
  <c r="G32" i="38651" s="1"/>
  <c r="J31" i="38651" s="1"/>
  <c r="I32" i="38651"/>
  <c r="E33" i="38651"/>
  <c r="I33" i="38651"/>
  <c r="E34" i="38651"/>
  <c r="G34" i="38651" s="1"/>
  <c r="J33" i="38651" s="1"/>
  <c r="I34" i="38651"/>
  <c r="E35" i="38651"/>
  <c r="I35" i="38651"/>
  <c r="E36" i="38651"/>
  <c r="I36" i="38651"/>
  <c r="E37" i="38651"/>
  <c r="I37" i="38651"/>
  <c r="E38" i="38651"/>
  <c r="I38" i="38651"/>
  <c r="E39" i="38651"/>
  <c r="I39" i="38651"/>
  <c r="E40" i="38651"/>
  <c r="I40" i="38651"/>
  <c r="E41" i="38651"/>
  <c r="I41" i="38651"/>
  <c r="E42" i="38651"/>
  <c r="I42" i="38651"/>
  <c r="E43" i="38651"/>
  <c r="I43" i="38651"/>
  <c r="E44" i="38651"/>
  <c r="I44" i="38651"/>
  <c r="E45" i="38651"/>
  <c r="I45" i="38651"/>
  <c r="E46" i="38651"/>
  <c r="B48" i="38651"/>
  <c r="B53" i="38651" s="1"/>
  <c r="C48" i="38651"/>
  <c r="C53" i="38651" s="1"/>
  <c r="D48" i="38651"/>
  <c r="D53" i="38651" s="1"/>
  <c r="E50" i="38651"/>
  <c r="E51" i="38651"/>
  <c r="A5" i="38662"/>
  <c r="B11" i="38662"/>
  <c r="C11" i="38662" s="1"/>
  <c r="B12" i="38662"/>
  <c r="C12" i="38662" s="1"/>
  <c r="B12" i="38654" s="1"/>
  <c r="D12" i="38654" s="1"/>
  <c r="B13" i="38662"/>
  <c r="C13" i="38662" s="1"/>
  <c r="B13" i="38654" s="1"/>
  <c r="D13" i="38654" s="1"/>
  <c r="B14" i="38662"/>
  <c r="C14" i="38662" s="1"/>
  <c r="B14" i="38654" s="1"/>
  <c r="D14" i="38654" s="1"/>
  <c r="B15" i="38662"/>
  <c r="C15" i="38662" s="1"/>
  <c r="B15" i="38654" s="1"/>
  <c r="D15" i="38654" s="1"/>
  <c r="B16" i="38662"/>
  <c r="C16" i="38662" s="1"/>
  <c r="B16" i="38654" s="1"/>
  <c r="D16" i="38654" s="1"/>
  <c r="B17" i="38662"/>
  <c r="C17" i="38662" s="1"/>
  <c r="B17" i="38654" s="1"/>
  <c r="D17" i="38654" s="1"/>
  <c r="B18" i="38662"/>
  <c r="C18" i="38662" s="1"/>
  <c r="B18" i="38654" s="1"/>
  <c r="D18" i="38654" s="1"/>
  <c r="B19" i="38662"/>
  <c r="C19" i="38662" s="1"/>
  <c r="B19" i="38654" s="1"/>
  <c r="D19" i="38654" s="1"/>
  <c r="B20" i="38662"/>
  <c r="C20" i="38662" s="1"/>
  <c r="B20" i="38654" s="1"/>
  <c r="D20" i="38654" s="1"/>
  <c r="B21" i="38662"/>
  <c r="C21" i="38662" s="1"/>
  <c r="B21" i="38654" s="1"/>
  <c r="D21" i="38654" s="1"/>
  <c r="B22" i="38662"/>
  <c r="C22" i="38662" s="1"/>
  <c r="B22" i="38654" s="1"/>
  <c r="D22" i="38654" s="1"/>
  <c r="B23" i="38662"/>
  <c r="C23" i="38662" s="1"/>
  <c r="B23" i="38654" s="1"/>
  <c r="D23" i="38654" s="1"/>
  <c r="B24" i="38662"/>
  <c r="C24" i="38662" s="1"/>
  <c r="B24" i="38654" s="1"/>
  <c r="D24" i="38654" s="1"/>
  <c r="B25" i="38662"/>
  <c r="C25" i="38662" s="1"/>
  <c r="B25" i="38654" s="1"/>
  <c r="D25" i="38654" s="1"/>
  <c r="B26" i="38662"/>
  <c r="C26" i="38662" s="1"/>
  <c r="B26" i="38654" s="1"/>
  <c r="D26" i="38654" s="1"/>
  <c r="B27" i="38662"/>
  <c r="C27" i="38662" s="1"/>
  <c r="B27" i="38654" s="1"/>
  <c r="D27" i="38654" s="1"/>
  <c r="B28" i="38662"/>
  <c r="C28" i="38662" s="1"/>
  <c r="B28" i="38654" s="1"/>
  <c r="D28" i="38654" s="1"/>
  <c r="B29" i="38662"/>
  <c r="C29" i="38662" s="1"/>
  <c r="B29" i="38654" s="1"/>
  <c r="D29" i="38654" s="1"/>
  <c r="B30" i="38662"/>
  <c r="C30" i="38662" s="1"/>
  <c r="B30" i="38654" s="1"/>
  <c r="D30" i="38654" s="1"/>
  <c r="B31" i="38662"/>
  <c r="C31" i="38662" s="1"/>
  <c r="B31" i="38654" s="1"/>
  <c r="D31" i="38654" s="1"/>
  <c r="B32" i="38662"/>
  <c r="C32" i="38662" s="1"/>
  <c r="B32" i="38654" s="1"/>
  <c r="D32" i="38654" s="1"/>
  <c r="B33" i="38662"/>
  <c r="C33" i="38662" s="1"/>
  <c r="B33" i="38654" s="1"/>
  <c r="D33" i="38654" s="1"/>
  <c r="B34" i="38662"/>
  <c r="C34" i="38662" s="1"/>
  <c r="B34" i="38654" s="1"/>
  <c r="D34" i="38654" s="1"/>
  <c r="B35" i="38662"/>
  <c r="C35" i="38662" s="1"/>
  <c r="B35" i="38654" s="1"/>
  <c r="D35" i="38654" s="1"/>
  <c r="B36" i="38662"/>
  <c r="C36" i="38662" s="1"/>
  <c r="B36" i="38654" s="1"/>
  <c r="D36" i="38654" s="1"/>
  <c r="B37" i="38662"/>
  <c r="C37" i="38662" s="1"/>
  <c r="B37" i="38654" s="1"/>
  <c r="D37" i="38654" s="1"/>
  <c r="B38" i="38662"/>
  <c r="C38" i="38662" s="1"/>
  <c r="B38" i="38654" s="1"/>
  <c r="D38" i="38654" s="1"/>
  <c r="B39" i="38662"/>
  <c r="C39" i="38662" s="1"/>
  <c r="B39" i="38654" s="1"/>
  <c r="D39" i="38654" s="1"/>
  <c r="B40" i="38662"/>
  <c r="C40" i="38662" s="1"/>
  <c r="B40" i="38654" s="1"/>
  <c r="D40" i="38654" s="1"/>
  <c r="B41" i="38662"/>
  <c r="C41" i="38662" s="1"/>
  <c r="B41" i="38654" s="1"/>
  <c r="D41" i="38654" s="1"/>
  <c r="B42" i="38662"/>
  <c r="C42" i="38662" s="1"/>
  <c r="B42" i="38654" s="1"/>
  <c r="D42" i="38654" s="1"/>
  <c r="B43" i="38662"/>
  <c r="C43" i="38662" s="1"/>
  <c r="B43" i="38654" s="1"/>
  <c r="D43" i="38654" s="1"/>
  <c r="B44" i="38662"/>
  <c r="C44" i="38662" s="1"/>
  <c r="B44" i="38654" s="1"/>
  <c r="D44" i="38654" s="1"/>
  <c r="B45" i="38662"/>
  <c r="C45" i="38662" s="1"/>
  <c r="B45" i="38654" s="1"/>
  <c r="D45" i="38654" s="1"/>
  <c r="B46" i="38662"/>
  <c r="C46" i="38662" s="1"/>
  <c r="B46" i="38654" s="1"/>
  <c r="D46" i="38654" s="1"/>
  <c r="B50" i="38662"/>
  <c r="B51" i="38662"/>
  <c r="C51" i="38662" s="1"/>
  <c r="A2" i="38665"/>
  <c r="A2" i="38670" s="1"/>
  <c r="D14" i="40"/>
  <c r="D27" i="40"/>
  <c r="D50" i="40"/>
  <c r="D50" i="39"/>
  <c r="F50" i="39"/>
  <c r="H50" i="39"/>
  <c r="B48" i="16"/>
  <c r="C48" i="16"/>
  <c r="F48" i="16"/>
  <c r="D50" i="16"/>
  <c r="D51" i="16"/>
  <c r="B3" i="14"/>
  <c r="B3" i="17" s="1"/>
  <c r="F11" i="38651"/>
  <c r="J44" i="23"/>
  <c r="I17" i="21"/>
  <c r="J41" i="23"/>
  <c r="J13" i="23"/>
  <c r="F51" i="23"/>
  <c r="J45" i="22"/>
  <c r="F17" i="21" s="1"/>
  <c r="D21" i="23"/>
  <c r="J15" i="23"/>
  <c r="F39" i="23"/>
  <c r="E21" i="21" s="1"/>
  <c r="K22" i="21"/>
  <c r="J19" i="23"/>
  <c r="J37" i="23"/>
  <c r="J42" i="23"/>
  <c r="J43" i="23"/>
  <c r="D20" i="21"/>
  <c r="J22" i="23"/>
  <c r="J24" i="23"/>
  <c r="J38" i="23"/>
  <c r="H48" i="23"/>
  <c r="J48" i="23" s="1"/>
  <c r="G25" i="21"/>
  <c r="B39" i="23"/>
  <c r="E19" i="21" s="1"/>
  <c r="J21" i="22"/>
  <c r="D21" i="22"/>
  <c r="C14" i="21" s="1"/>
  <c r="F21" i="22"/>
  <c r="C15" i="21" s="1"/>
  <c r="B45" i="22"/>
  <c r="D39" i="23"/>
  <c r="E20" i="21" s="1"/>
  <c r="J27" i="23"/>
  <c r="D45" i="23"/>
  <c r="F20" i="21" s="1"/>
  <c r="I15" i="21"/>
  <c r="F48" i="22"/>
  <c r="J14" i="23"/>
  <c r="F21" i="23"/>
  <c r="C21" i="21" s="1"/>
  <c r="J29" i="23"/>
  <c r="J17" i="23"/>
  <c r="J30" i="23"/>
  <c r="J31" i="23"/>
  <c r="J32" i="23"/>
  <c r="J33" i="23"/>
  <c r="J35" i="23"/>
  <c r="H25" i="21"/>
  <c r="H49" i="23"/>
  <c r="J49" i="23" s="1"/>
  <c r="B39" i="22"/>
  <c r="E13" i="21" s="1"/>
  <c r="J20" i="23"/>
  <c r="J26" i="23"/>
  <c r="J25" i="23"/>
  <c r="J18" i="23"/>
  <c r="G18" i="38651" l="1"/>
  <c r="I18" i="38648" s="1"/>
  <c r="C47" i="38658"/>
  <c r="C45" i="38658"/>
  <c r="C43" i="38658"/>
  <c r="C41" i="38658"/>
  <c r="C39" i="38658"/>
  <c r="C37" i="38658"/>
  <c r="C35" i="38658"/>
  <c r="C33" i="38658"/>
  <c r="C31" i="38658"/>
  <c r="C29" i="38658"/>
  <c r="C27" i="38658"/>
  <c r="C25" i="38658"/>
  <c r="C23" i="38658"/>
  <c r="C21" i="38658"/>
  <c r="C19" i="38658"/>
  <c r="C17" i="38658"/>
  <c r="C15" i="38658"/>
  <c r="C48" i="38658"/>
  <c r="C46" i="38658"/>
  <c r="C44" i="38658"/>
  <c r="C42" i="38658"/>
  <c r="C40" i="38658"/>
  <c r="C38" i="38658"/>
  <c r="C36" i="38658"/>
  <c r="C34" i="38658"/>
  <c r="C32" i="38658"/>
  <c r="C30" i="38658"/>
  <c r="C28" i="38658"/>
  <c r="C26" i="38658"/>
  <c r="C22" i="38658"/>
  <c r="C18" i="38658"/>
  <c r="C14" i="38658"/>
  <c r="C13" i="38658"/>
  <c r="G43" i="38651"/>
  <c r="I43" i="38648" s="1"/>
  <c r="G39" i="38651"/>
  <c r="I39" i="38648" s="1"/>
  <c r="G33" i="38651"/>
  <c r="I33" i="38648" s="1"/>
  <c r="G12" i="38651"/>
  <c r="J12" i="38651" s="1"/>
  <c r="G27" i="38651"/>
  <c r="I27" i="38648" s="1"/>
  <c r="G41" i="38651"/>
  <c r="I41" i="38648" s="1"/>
  <c r="G35" i="38651"/>
  <c r="I35" i="38648" s="1"/>
  <c r="G31" i="38651"/>
  <c r="I31" i="38648" s="1"/>
  <c r="G15" i="38651"/>
  <c r="I15" i="38648" s="1"/>
  <c r="G11" i="38651"/>
  <c r="I11" i="38648" s="1"/>
  <c r="B2" i="32"/>
  <c r="B2" i="33" s="1"/>
  <c r="E7" i="70"/>
  <c r="C3" i="70"/>
  <c r="B48" i="38668"/>
  <c r="D48" i="38668"/>
  <c r="J22" i="38651"/>
  <c r="B2" i="38659"/>
  <c r="A3" i="5"/>
  <c r="B3" i="36" s="1"/>
  <c r="B2" i="38663"/>
  <c r="B1" i="43"/>
  <c r="B2" i="48"/>
  <c r="G42" i="38651"/>
  <c r="I42" i="38648" s="1"/>
  <c r="G40" i="38651"/>
  <c r="J39" i="38651" s="1"/>
  <c r="B3" i="15"/>
  <c r="B9" i="38667"/>
  <c r="F9" i="38667" s="1"/>
  <c r="A3" i="38648"/>
  <c r="A3" i="38667" s="1"/>
  <c r="H51" i="23"/>
  <c r="H53" i="23" s="1"/>
  <c r="I42" i="38666"/>
  <c r="B48" i="38662"/>
  <c r="B53" i="38662" s="1"/>
  <c r="E48" i="38651"/>
  <c r="E53" i="38651" s="1"/>
  <c r="J18" i="38651"/>
  <c r="I40" i="38666"/>
  <c r="L48" i="3188"/>
  <c r="D9" i="38648"/>
  <c r="I32" i="38666"/>
  <c r="I24" i="38666"/>
  <c r="E50" i="38658"/>
  <c r="C50" i="38659"/>
  <c r="I43" i="38666"/>
  <c r="I33" i="38666"/>
  <c r="I15" i="38666"/>
  <c r="I14" i="38666"/>
  <c r="C24" i="38658"/>
  <c r="I50" i="38666"/>
  <c r="I46" i="38666"/>
  <c r="I41" i="38666"/>
  <c r="I38" i="38666"/>
  <c r="I35" i="38666"/>
  <c r="I29" i="38666"/>
  <c r="I28" i="38666"/>
  <c r="I26" i="38666"/>
  <c r="I25" i="38666"/>
  <c r="I19" i="38666"/>
  <c r="I16" i="38666"/>
  <c r="I12" i="38666"/>
  <c r="C48" i="38666"/>
  <c r="D53" i="23"/>
  <c r="K19" i="21"/>
  <c r="B53" i="23"/>
  <c r="B50" i="38658"/>
  <c r="J50" i="38659"/>
  <c r="I51" i="38666"/>
  <c r="I45" i="38666"/>
  <c r="I44" i="38666"/>
  <c r="I39" i="38666"/>
  <c r="I37" i="38666"/>
  <c r="I36" i="38666"/>
  <c r="I34" i="38666"/>
  <c r="I31" i="38666"/>
  <c r="I30" i="38666"/>
  <c r="I27" i="38666"/>
  <c r="I23" i="38666"/>
  <c r="I22" i="38666"/>
  <c r="I21" i="38666"/>
  <c r="I20" i="38666"/>
  <c r="I18" i="38666"/>
  <c r="I17" i="38666"/>
  <c r="I13" i="38666"/>
  <c r="H48" i="38666"/>
  <c r="B48" i="38666"/>
  <c r="G48" i="38666"/>
  <c r="E48" i="38666"/>
  <c r="F53" i="23"/>
  <c r="D25" i="21"/>
  <c r="D48" i="16"/>
  <c r="D50" i="38659"/>
  <c r="F48" i="38666"/>
  <c r="D48" i="38666"/>
  <c r="I11" i="38666"/>
  <c r="M48" i="3188"/>
  <c r="G30" i="38651"/>
  <c r="J29" i="38651" s="1"/>
  <c r="G25" i="38651"/>
  <c r="I25" i="38648" s="1"/>
  <c r="G24" i="38651"/>
  <c r="J23" i="38651" s="1"/>
  <c r="G46" i="38651"/>
  <c r="I46" i="38648" s="1"/>
  <c r="G45" i="38651"/>
  <c r="I45" i="38648" s="1"/>
  <c r="G44" i="38651"/>
  <c r="J43" i="38651" s="1"/>
  <c r="G38" i="38651"/>
  <c r="J37" i="38651" s="1"/>
  <c r="G37" i="38651"/>
  <c r="I37" i="38648" s="1"/>
  <c r="G36" i="38651"/>
  <c r="J35" i="38651" s="1"/>
  <c r="G29" i="38651"/>
  <c r="I29" i="38648" s="1"/>
  <c r="G28" i="38651"/>
  <c r="I28" i="38648" s="1"/>
  <c r="G22" i="38651"/>
  <c r="I22" i="38648" s="1"/>
  <c r="G21" i="38651"/>
  <c r="I21" i="38648" s="1"/>
  <c r="G20" i="38651"/>
  <c r="I20" i="38648" s="1"/>
  <c r="G17" i="38651"/>
  <c r="I17" i="38648" s="1"/>
  <c r="G13" i="38651"/>
  <c r="J13" i="38651" s="1"/>
  <c r="J51" i="23"/>
  <c r="G16" i="38651"/>
  <c r="F48" i="38651"/>
  <c r="M47" i="38667"/>
  <c r="I47" i="38667" s="1"/>
  <c r="J14" i="38651"/>
  <c r="J30" i="38651"/>
  <c r="J25" i="38651"/>
  <c r="J17" i="38651"/>
  <c r="J16" i="23"/>
  <c r="C48" i="38662"/>
  <c r="C53" i="38662" s="1"/>
  <c r="B11" i="38654"/>
  <c r="H39" i="22"/>
  <c r="I12" i="38648"/>
  <c r="I32" i="38648"/>
  <c r="I34" i="38648"/>
  <c r="J36" i="23"/>
  <c r="K21" i="21"/>
  <c r="B21" i="22"/>
  <c r="C13" i="21" s="1"/>
  <c r="D39" i="22"/>
  <c r="J39" i="22"/>
  <c r="J50" i="22" s="1"/>
  <c r="F45" i="22"/>
  <c r="F15" i="21" s="1"/>
  <c r="K15" i="21" s="1"/>
  <c r="C20" i="21"/>
  <c r="K20" i="21" s="1"/>
  <c r="I25" i="21"/>
  <c r="C17" i="21"/>
  <c r="F13" i="21"/>
  <c r="J32" i="38651" l="1"/>
  <c r="I40" i="38648"/>
  <c r="J41" i="38651"/>
  <c r="J26" i="38651"/>
  <c r="J34" i="38651"/>
  <c r="I30" i="38648"/>
  <c r="J11" i="38651"/>
  <c r="J38" i="38651"/>
  <c r="G48" i="38651"/>
  <c r="I48" i="38648" s="1"/>
  <c r="J40" i="38651"/>
  <c r="J42" i="38651"/>
  <c r="J16" i="38651"/>
  <c r="I38" i="38648"/>
  <c r="B3" i="54"/>
  <c r="I24" i="38648"/>
  <c r="J24" i="38651"/>
  <c r="J19" i="38651"/>
  <c r="I44" i="38648"/>
  <c r="J27" i="38651"/>
  <c r="J28" i="38651"/>
  <c r="J21" i="38651"/>
  <c r="I13" i="38648"/>
  <c r="J45" i="38651"/>
  <c r="J36" i="38651"/>
  <c r="B2" i="52"/>
  <c r="B2" i="44"/>
  <c r="B2" i="45"/>
  <c r="B2" i="78"/>
  <c r="A2" i="42"/>
  <c r="B2" i="81"/>
  <c r="B2" i="47"/>
  <c r="B2" i="46"/>
  <c r="B3" i="26"/>
  <c r="B3" i="38"/>
  <c r="B3" i="38656"/>
  <c r="A3" i="41"/>
  <c r="B3" i="82"/>
  <c r="B3" i="37"/>
  <c r="B3" i="9"/>
  <c r="B3" i="18"/>
  <c r="B3" i="38655"/>
  <c r="B3" i="27"/>
  <c r="B3" i="39"/>
  <c r="B3" i="25"/>
  <c r="B3" i="7"/>
  <c r="C2" i="23"/>
  <c r="D2" i="22"/>
  <c r="B3" i="34"/>
  <c r="B3" i="10"/>
  <c r="B3" i="40"/>
  <c r="B3" i="20"/>
  <c r="B3" i="35"/>
  <c r="C3" i="11"/>
  <c r="B3" i="8"/>
  <c r="B3" i="19"/>
  <c r="B3" i="76"/>
  <c r="C2" i="21"/>
  <c r="J44" i="38651"/>
  <c r="I36" i="38648"/>
  <c r="J20" i="38651"/>
  <c r="I48" i="38666"/>
  <c r="F50" i="22"/>
  <c r="B50" i="22"/>
  <c r="J21" i="23"/>
  <c r="C50" i="38658"/>
  <c r="I16" i="38648"/>
  <c r="J15" i="38651"/>
  <c r="E16" i="21"/>
  <c r="K16" i="21" s="1"/>
  <c r="H50" i="22"/>
  <c r="D11" i="38654"/>
  <c r="D48" i="38654" s="1"/>
  <c r="B48" i="38654"/>
  <c r="E17" i="21"/>
  <c r="K17" i="21" s="1"/>
  <c r="J39" i="23"/>
  <c r="J45" i="23"/>
  <c r="E14" i="21"/>
  <c r="D50" i="22"/>
  <c r="C25" i="21"/>
  <c r="F25" i="21"/>
  <c r="K13" i="21"/>
  <c r="J53" i="23" l="1"/>
  <c r="K50" i="22" s="1"/>
  <c r="N27" i="23" s="1"/>
  <c r="K14" i="21"/>
  <c r="K25" i="21" s="1"/>
  <c r="E25" i="21"/>
  <c r="I24" i="22" l="1"/>
  <c r="E43" i="23"/>
  <c r="C20" i="22"/>
  <c r="C35" i="22"/>
  <c r="E45" i="23"/>
  <c r="C41" i="23"/>
  <c r="G39" i="23"/>
  <c r="E32" i="23"/>
  <c r="C27" i="23"/>
  <c r="G53" i="23"/>
  <c r="N30" i="23" s="1"/>
  <c r="G30" i="22"/>
  <c r="C30" i="22"/>
  <c r="E26" i="23"/>
  <c r="E21" i="23"/>
  <c r="E25" i="23"/>
  <c r="K20" i="22"/>
  <c r="I35" i="22"/>
  <c r="G36" i="22"/>
  <c r="K48" i="23"/>
  <c r="N16" i="23" s="1"/>
  <c r="I25" i="22"/>
  <c r="K51" i="23"/>
  <c r="C50" i="22"/>
  <c r="N23" i="23" s="1"/>
  <c r="G15" i="23"/>
  <c r="E50" i="22"/>
  <c r="N24" i="23" s="1"/>
  <c r="C21" i="22"/>
  <c r="K44" i="22"/>
  <c r="K28" i="23"/>
  <c r="C15" i="23"/>
  <c r="G34" i="23"/>
  <c r="C32" i="22"/>
  <c r="C33" i="22"/>
  <c r="E38" i="23"/>
  <c r="G43" i="23"/>
  <c r="K22" i="23"/>
  <c r="N13" i="23" s="1"/>
  <c r="C20" i="23"/>
  <c r="G15" i="22"/>
  <c r="E41" i="22"/>
  <c r="K26" i="22"/>
  <c r="E44" i="23"/>
  <c r="C17" i="23"/>
  <c r="E36" i="22"/>
  <c r="I17" i="22"/>
  <c r="I30" i="22"/>
  <c r="K41" i="23"/>
  <c r="C14" i="22"/>
  <c r="G33" i="23"/>
  <c r="K17" i="22"/>
  <c r="I37" i="22"/>
  <c r="E16" i="22"/>
  <c r="G18" i="23"/>
  <c r="K38" i="23"/>
  <c r="G38" i="22"/>
  <c r="E18" i="23"/>
  <c r="K49" i="23"/>
  <c r="G28" i="22"/>
  <c r="G20" i="22"/>
  <c r="K25" i="22"/>
  <c r="G39" i="22"/>
  <c r="E32" i="22"/>
  <c r="K35" i="23"/>
  <c r="E38" i="22"/>
  <c r="C28" i="22"/>
  <c r="G18" i="22"/>
  <c r="I15" i="22"/>
  <c r="C39" i="23"/>
  <c r="G21" i="22"/>
  <c r="G24" i="23"/>
  <c r="C26" i="23"/>
  <c r="E17" i="22"/>
  <c r="I44" i="22"/>
  <c r="K41" i="22"/>
  <c r="G14" i="22"/>
  <c r="I38" i="22"/>
  <c r="I50" i="23"/>
  <c r="C45" i="22"/>
  <c r="K50" i="23"/>
  <c r="G29" i="22"/>
  <c r="G32" i="23"/>
  <c r="I34" i="22"/>
  <c r="I53" i="23"/>
  <c r="N31" i="23" s="1"/>
  <c r="I50" i="22"/>
  <c r="N26" i="23" s="1"/>
  <c r="I39" i="22"/>
  <c r="I14" i="22"/>
  <c r="K44" i="23"/>
  <c r="K18" i="22"/>
  <c r="I42" i="22"/>
  <c r="G42" i="23"/>
  <c r="C31" i="23"/>
  <c r="G22" i="22"/>
  <c r="G28" i="23"/>
  <c r="I33" i="22"/>
  <c r="K26" i="23"/>
  <c r="K35" i="22"/>
  <c r="I48" i="23"/>
  <c r="E42" i="22"/>
  <c r="K36" i="22"/>
  <c r="G45" i="22"/>
  <c r="C24" i="23"/>
  <c r="E25" i="22"/>
  <c r="K21" i="22"/>
  <c r="E43" i="22"/>
  <c r="G42" i="22"/>
  <c r="E29" i="23"/>
  <c r="I18" i="22"/>
  <c r="I29" i="22"/>
  <c r="K32" i="23"/>
  <c r="K31" i="23"/>
  <c r="G43" i="22"/>
  <c r="K24" i="22"/>
  <c r="G29" i="23"/>
  <c r="G26" i="22"/>
  <c r="I22" i="22"/>
  <c r="E24" i="22"/>
  <c r="K33" i="23"/>
  <c r="C25" i="23"/>
  <c r="C27" i="22"/>
  <c r="G38" i="23"/>
  <c r="G22" i="23"/>
  <c r="E28" i="23"/>
  <c r="K15" i="23"/>
  <c r="E34" i="23"/>
  <c r="K20" i="23"/>
  <c r="I28" i="22"/>
  <c r="K27" i="23"/>
  <c r="G25" i="22"/>
  <c r="C44" i="23"/>
  <c r="G44" i="22"/>
  <c r="C36" i="22"/>
  <c r="G27" i="22"/>
  <c r="C36" i="23"/>
  <c r="E39" i="22"/>
  <c r="G36" i="23"/>
  <c r="I20" i="22"/>
  <c r="E31" i="23"/>
  <c r="K37" i="22"/>
  <c r="E22" i="22"/>
  <c r="I26" i="22"/>
  <c r="C44" i="22"/>
  <c r="C34" i="22"/>
  <c r="C37" i="23"/>
  <c r="K21" i="23"/>
  <c r="N12" i="23" s="1"/>
  <c r="K30" i="23"/>
  <c r="K25" i="23"/>
  <c r="E53" i="23"/>
  <c r="N29" i="23" s="1"/>
  <c r="I51" i="23"/>
  <c r="G44" i="23"/>
  <c r="K14" i="23"/>
  <c r="C39" i="22"/>
  <c r="E39" i="23"/>
  <c r="G17" i="23"/>
  <c r="C43" i="23"/>
  <c r="G24" i="22"/>
  <c r="E31" i="22"/>
  <c r="E20" i="23"/>
  <c r="C42" i="23"/>
  <c r="E34" i="22"/>
  <c r="G31" i="22"/>
  <c r="K14" i="22"/>
  <c r="K16" i="23"/>
  <c r="G17" i="22"/>
  <c r="C28" i="23"/>
  <c r="G37" i="23"/>
  <c r="E33" i="23"/>
  <c r="K45" i="22"/>
  <c r="G37" i="22"/>
  <c r="C35" i="23"/>
  <c r="C24" i="22"/>
  <c r="G41" i="22"/>
  <c r="E17" i="23"/>
  <c r="C14" i="23"/>
  <c r="C38" i="23"/>
  <c r="K28" i="22"/>
  <c r="K18" i="23"/>
  <c r="C30" i="23"/>
  <c r="E35" i="22"/>
  <c r="K29" i="23"/>
  <c r="I49" i="23"/>
  <c r="K45" i="23"/>
  <c r="N15" i="23" s="1"/>
  <c r="C41" i="22"/>
  <c r="I32" i="22"/>
  <c r="G27" i="23"/>
  <c r="E27" i="23"/>
  <c r="K38" i="22"/>
  <c r="C17" i="22"/>
  <c r="E30" i="23"/>
  <c r="K37" i="23"/>
  <c r="K31" i="22"/>
  <c r="I43" i="22"/>
  <c r="C53" i="23"/>
  <c r="N28" i="23" s="1"/>
  <c r="G16" i="23"/>
  <c r="E19" i="22"/>
  <c r="E16" i="23"/>
  <c r="K43" i="23"/>
  <c r="C15" i="22"/>
  <c r="C22" i="23"/>
  <c r="C31" i="22"/>
  <c r="E14" i="23"/>
  <c r="G34" i="22"/>
  <c r="K43" i="22"/>
  <c r="E36" i="23"/>
  <c r="C21" i="23"/>
  <c r="E26" i="22"/>
  <c r="C25" i="22"/>
  <c r="E45" i="22"/>
  <c r="I41" i="22"/>
  <c r="K17" i="23"/>
  <c r="K39" i="23"/>
  <c r="N14" i="23" s="1"/>
  <c r="G21" i="23"/>
  <c r="E21" i="22"/>
  <c r="I45" i="22"/>
  <c r="K15" i="22"/>
  <c r="I31" i="22"/>
  <c r="K29" i="22"/>
  <c r="C43" i="22"/>
  <c r="C26" i="22"/>
  <c r="C18" i="23"/>
  <c r="E42" i="23"/>
  <c r="K22" i="22"/>
  <c r="C38" i="22"/>
  <c r="G31" i="23"/>
  <c r="E37" i="23"/>
  <c r="E24" i="23"/>
  <c r="G25" i="23"/>
  <c r="I27" i="22"/>
  <c r="K53" i="23"/>
  <c r="K42" i="23"/>
  <c r="C16" i="22"/>
  <c r="C16" i="23"/>
  <c r="K27" i="22"/>
  <c r="E15" i="22"/>
  <c r="G33" i="22"/>
  <c r="K32" i="22"/>
  <c r="I36" i="22"/>
  <c r="E20" i="22"/>
  <c r="C42" i="22"/>
  <c r="K24" i="23"/>
  <c r="G30" i="23"/>
  <c r="E27" i="22"/>
  <c r="E15" i="23"/>
  <c r="K13" i="23"/>
  <c r="E33" i="22"/>
  <c r="K33" i="22"/>
  <c r="I16" i="22"/>
  <c r="G32" i="22"/>
  <c r="C29" i="22"/>
  <c r="E30" i="22"/>
  <c r="G14" i="23"/>
  <c r="K16" i="22"/>
  <c r="C45" i="23"/>
  <c r="E35" i="23"/>
  <c r="E28" i="22"/>
  <c r="G35" i="23"/>
  <c r="K36" i="23"/>
  <c r="K34" i="22"/>
  <c r="I21" i="22"/>
  <c r="E44" i="22"/>
  <c r="K34" i="23"/>
  <c r="K42" i="22"/>
  <c r="G26" i="23"/>
  <c r="C33" i="23"/>
  <c r="E22" i="23"/>
  <c r="K30" i="22"/>
  <c r="G45" i="23"/>
  <c r="G16" i="22"/>
  <c r="E37" i="22"/>
  <c r="G41" i="23"/>
  <c r="E18" i="22"/>
  <c r="C18" i="22"/>
  <c r="C29" i="23"/>
  <c r="C37" i="22"/>
  <c r="E14" i="22"/>
  <c r="C34" i="23"/>
  <c r="E41" i="23"/>
  <c r="G35" i="22"/>
  <c r="C22" i="22"/>
  <c r="C32" i="23"/>
  <c r="E29" i="22"/>
  <c r="G20" i="23"/>
  <c r="K19" i="23"/>
  <c r="K39" i="22"/>
  <c r="G50" i="22"/>
  <c r="N25" i="23" s="1"/>
  <c r="N17" i="23" l="1"/>
  <c r="N19" i="23" s="1"/>
  <c r="N33" i="23"/>
  <c r="G29" i="8" l="1"/>
  <c r="G29" i="9"/>
  <c r="C29" i="38670"/>
  <c r="E29" i="52"/>
  <c r="C29" i="15" l="1"/>
  <c r="E29" i="15" s="1"/>
  <c r="E29" i="41" s="1"/>
  <c r="E30" i="52"/>
  <c r="E29" i="33"/>
  <c r="B29" i="38670"/>
  <c r="D29" i="70"/>
  <c r="H29" i="20"/>
  <c r="G29" i="47"/>
  <c r="G30" i="47"/>
  <c r="E29" i="7"/>
  <c r="F29" i="52"/>
  <c r="F29" i="78" l="1"/>
  <c r="B29" i="43" s="1"/>
  <c r="E29" i="16"/>
  <c r="F30" i="52"/>
  <c r="I29" i="7"/>
  <c r="G29" i="7"/>
  <c r="H29" i="7"/>
  <c r="F29" i="7"/>
  <c r="J29" i="20"/>
  <c r="D29" i="7"/>
  <c r="F29" i="43" l="1"/>
  <c r="H29" i="43" s="1"/>
  <c r="F30" i="78"/>
  <c r="B30" i="43" s="1"/>
  <c r="F30" i="43" s="1"/>
  <c r="H30" i="43" s="1"/>
  <c r="K29" i="3188"/>
  <c r="C29" i="5" s="1"/>
  <c r="F30" i="45"/>
  <c r="D29" i="9"/>
  <c r="B29" i="39"/>
  <c r="G29" i="38656"/>
  <c r="E29" i="18"/>
  <c r="D29" i="10"/>
  <c r="J29" i="11"/>
  <c r="G29" i="38655"/>
  <c r="J29" i="26"/>
  <c r="H29" i="18"/>
  <c r="D29" i="27"/>
  <c r="D29" i="76" s="1"/>
  <c r="B29" i="76"/>
  <c r="B29" i="41"/>
  <c r="D29" i="19"/>
  <c r="D29" i="26"/>
  <c r="D29" i="8"/>
  <c r="B29" i="18"/>
  <c r="G29" i="26"/>
  <c r="J29" i="38655"/>
  <c r="D29" i="11"/>
  <c r="D29" i="38656"/>
  <c r="F29" i="41"/>
  <c r="G29" i="41" s="1"/>
  <c r="J29" i="9"/>
  <c r="G29" i="10"/>
  <c r="B29" i="40"/>
  <c r="D29" i="40" s="1"/>
  <c r="G29" i="11"/>
  <c r="B29" i="19"/>
  <c r="E29" i="20"/>
  <c r="F29" i="45"/>
  <c r="B29" i="20"/>
  <c r="I29" i="45" l="1"/>
  <c r="G29" i="44" s="1"/>
  <c r="E29" i="42" s="1"/>
  <c r="I30" i="45"/>
  <c r="C30" i="44" s="1"/>
  <c r="C30" i="42" s="1"/>
  <c r="G29" i="20"/>
  <c r="D29" i="20"/>
  <c r="D29" i="38655"/>
  <c r="G29" i="19"/>
  <c r="C29" i="41"/>
  <c r="D29" i="41"/>
  <c r="E29" i="5"/>
  <c r="D31" i="38658"/>
  <c r="J29" i="38667"/>
  <c r="D29" i="18"/>
  <c r="F29" i="19"/>
  <c r="K29" i="38667"/>
  <c r="G29" i="18"/>
  <c r="D29" i="39"/>
  <c r="H29" i="39"/>
  <c r="F29" i="39"/>
  <c r="E29" i="45" l="1"/>
  <c r="H29" i="42" s="1"/>
  <c r="I29" i="44"/>
  <c r="F29" i="42" s="1"/>
  <c r="C29" i="44"/>
  <c r="C29" i="42" s="1"/>
  <c r="G29" i="45"/>
  <c r="E29" i="44"/>
  <c r="D29" i="42" s="1"/>
  <c r="I29" i="43"/>
  <c r="B29" i="42" s="1"/>
  <c r="C29" i="45"/>
  <c r="G29" i="42" s="1"/>
  <c r="I30" i="44"/>
  <c r="F30" i="42" s="1"/>
  <c r="I30" i="43"/>
  <c r="B30" i="42" s="1"/>
  <c r="G30" i="44"/>
  <c r="E30" i="42" s="1"/>
  <c r="C30" i="45"/>
  <c r="G30" i="42" s="1"/>
  <c r="G30" i="45"/>
  <c r="E30" i="44"/>
  <c r="D30" i="42" s="1"/>
  <c r="E30" i="45"/>
  <c r="H30" i="42" s="1"/>
  <c r="I29" i="19"/>
  <c r="L29" i="38667"/>
  <c r="M29" i="38667" s="1"/>
  <c r="I31" i="38658"/>
  <c r="F31" i="38659"/>
  <c r="J29" i="42" l="1"/>
  <c r="J30" i="42"/>
  <c r="J30" i="9" l="1"/>
  <c r="G30" i="9"/>
  <c r="C30" i="38670"/>
  <c r="E30" i="7" l="1"/>
  <c r="G30" i="7" s="1"/>
  <c r="D31" i="70"/>
  <c r="E30" i="33"/>
  <c r="C30" i="15"/>
  <c r="E30" i="15" s="1"/>
  <c r="H30" i="20"/>
  <c r="D30" i="70"/>
  <c r="B30" i="38670"/>
  <c r="F30" i="7" l="1"/>
  <c r="I30" i="7"/>
  <c r="H30" i="7"/>
  <c r="D30" i="7"/>
  <c r="J30" i="20"/>
  <c r="E30" i="41"/>
  <c r="E30" i="16"/>
  <c r="J51" i="9" l="1"/>
  <c r="G51" i="9"/>
  <c r="G50" i="8"/>
  <c r="J50" i="9"/>
  <c r="G50" i="9"/>
  <c r="G46" i="9"/>
  <c r="J45" i="9"/>
  <c r="G45" i="9"/>
  <c r="G44" i="8"/>
  <c r="J44" i="9"/>
  <c r="J43" i="9"/>
  <c r="G43" i="9"/>
  <c r="J42" i="9"/>
  <c r="G42" i="9"/>
  <c r="G41" i="8"/>
  <c r="J41" i="9"/>
  <c r="G41" i="9"/>
  <c r="G40" i="9"/>
  <c r="J39" i="9"/>
  <c r="G39" i="9"/>
  <c r="G38" i="9"/>
  <c r="G37" i="8"/>
  <c r="G37" i="9"/>
  <c r="J36" i="9"/>
  <c r="G36" i="9"/>
  <c r="G35" i="9"/>
  <c r="G34" i="9"/>
  <c r="J33" i="9"/>
  <c r="G33" i="9"/>
  <c r="G32" i="9"/>
  <c r="J31" i="9"/>
  <c r="G31" i="9"/>
  <c r="G28" i="8"/>
  <c r="J28" i="9"/>
  <c r="G28" i="9"/>
  <c r="J27" i="9"/>
  <c r="G27" i="9"/>
  <c r="G26" i="9"/>
  <c r="G25" i="9"/>
  <c r="G24" i="9"/>
  <c r="J23" i="9"/>
  <c r="G23" i="9"/>
  <c r="G22" i="8"/>
  <c r="J22" i="9"/>
  <c r="G22" i="9"/>
  <c r="G21" i="8"/>
  <c r="J21" i="9"/>
  <c r="G21" i="9"/>
  <c r="J20" i="9"/>
  <c r="G20" i="9"/>
  <c r="J19" i="9"/>
  <c r="G19" i="9"/>
  <c r="J18" i="9"/>
  <c r="G18" i="9"/>
  <c r="J17" i="9"/>
  <c r="G17" i="9"/>
  <c r="J16" i="9"/>
  <c r="G16" i="9"/>
  <c r="J15" i="9"/>
  <c r="G15" i="9"/>
  <c r="G14" i="8"/>
  <c r="J14" i="9"/>
  <c r="G13" i="9"/>
  <c r="J12" i="9"/>
  <c r="G12" i="9"/>
  <c r="F48" i="14"/>
  <c r="F51" i="39"/>
  <c r="D51" i="40"/>
  <c r="D51" i="39"/>
  <c r="C51" i="38670"/>
  <c r="C50" i="38670"/>
  <c r="C46" i="38670"/>
  <c r="C45" i="38670"/>
  <c r="C44" i="38670"/>
  <c r="C43" i="38670"/>
  <c r="C42" i="38670"/>
  <c r="C41" i="38670"/>
  <c r="C40" i="38670"/>
  <c r="C39" i="38670"/>
  <c r="C38" i="38670"/>
  <c r="C37" i="38670"/>
  <c r="C36" i="38670"/>
  <c r="C35" i="38670"/>
  <c r="C34" i="38670"/>
  <c r="C33" i="38670"/>
  <c r="C32" i="38670"/>
  <c r="C31" i="38670"/>
  <c r="B31" i="38670" s="1"/>
  <c r="C28" i="38670"/>
  <c r="C27" i="38670"/>
  <c r="C26" i="38670"/>
  <c r="C25" i="38670"/>
  <c r="C24" i="38670"/>
  <c r="C23" i="38670"/>
  <c r="C22" i="38670"/>
  <c r="C21" i="38670"/>
  <c r="C20" i="38670"/>
  <c r="C19" i="38670"/>
  <c r="C18" i="38670"/>
  <c r="C17" i="38670"/>
  <c r="C16" i="38670"/>
  <c r="C15" i="38670"/>
  <c r="C14" i="38670"/>
  <c r="C13" i="38670"/>
  <c r="C12" i="38670"/>
  <c r="H48" i="14" l="1"/>
  <c r="E21" i="33"/>
  <c r="E43" i="33"/>
  <c r="E25" i="33"/>
  <c r="E50" i="33"/>
  <c r="C12" i="15"/>
  <c r="E12" i="15" s="1"/>
  <c r="E12" i="16" s="1"/>
  <c r="C13" i="15"/>
  <c r="E13" i="15" s="1"/>
  <c r="E13" i="41" s="1"/>
  <c r="C14" i="15"/>
  <c r="E14" i="15" s="1"/>
  <c r="E14" i="16" s="1"/>
  <c r="C15" i="15"/>
  <c r="E15" i="15" s="1"/>
  <c r="E15" i="41" s="1"/>
  <c r="C16" i="15"/>
  <c r="E16" i="15" s="1"/>
  <c r="E16" i="41" s="1"/>
  <c r="C17" i="15"/>
  <c r="E17" i="15" s="1"/>
  <c r="E17" i="16" s="1"/>
  <c r="C18" i="15"/>
  <c r="E18" i="15" s="1"/>
  <c r="E18" i="16" s="1"/>
  <c r="C19" i="15"/>
  <c r="E19" i="15" s="1"/>
  <c r="E19" i="41" s="1"/>
  <c r="C20" i="15"/>
  <c r="E20" i="15" s="1"/>
  <c r="E20" i="16" s="1"/>
  <c r="C23" i="15"/>
  <c r="E23" i="15" s="1"/>
  <c r="E23" i="16" s="1"/>
  <c r="C24" i="15"/>
  <c r="E24" i="15" s="1"/>
  <c r="E24" i="41" s="1"/>
  <c r="C25" i="15"/>
  <c r="E25" i="15" s="1"/>
  <c r="E25" i="41" s="1"/>
  <c r="C26" i="15"/>
  <c r="E26" i="15" s="1"/>
  <c r="E26" i="16" s="1"/>
  <c r="C27" i="15"/>
  <c r="E27" i="15" s="1"/>
  <c r="E27" i="41" s="1"/>
  <c r="C31" i="15"/>
  <c r="E31" i="15" s="1"/>
  <c r="E31" i="16" s="1"/>
  <c r="C32" i="15"/>
  <c r="E32" i="15" s="1"/>
  <c r="E32" i="16" s="1"/>
  <c r="C33" i="15"/>
  <c r="E33" i="15" s="1"/>
  <c r="E33" i="41" s="1"/>
  <c r="C34" i="15"/>
  <c r="E34" i="15" s="1"/>
  <c r="E34" i="16" s="1"/>
  <c r="C35" i="15"/>
  <c r="E35" i="15" s="1"/>
  <c r="E35" i="16" s="1"/>
  <c r="C21" i="15"/>
  <c r="E21" i="15" s="1"/>
  <c r="E21" i="16" s="1"/>
  <c r="C22" i="15"/>
  <c r="E22" i="15" s="1"/>
  <c r="E22" i="41" s="1"/>
  <c r="C28" i="15"/>
  <c r="E28" i="15" s="1"/>
  <c r="E28" i="16" s="1"/>
  <c r="G50" i="47"/>
  <c r="G45" i="47"/>
  <c r="G43" i="47"/>
  <c r="G41" i="47"/>
  <c r="G39" i="47"/>
  <c r="G35" i="47"/>
  <c r="G33" i="47"/>
  <c r="G31" i="47"/>
  <c r="G27" i="47"/>
  <c r="G25" i="47"/>
  <c r="G23" i="47"/>
  <c r="G21" i="47"/>
  <c r="G19" i="47"/>
  <c r="G17" i="47"/>
  <c r="G15" i="47"/>
  <c r="D18" i="70"/>
  <c r="D14" i="70"/>
  <c r="G11" i="47"/>
  <c r="B27" i="38670"/>
  <c r="D27" i="70"/>
  <c r="D25" i="70"/>
  <c r="B23" i="38670"/>
  <c r="D23" i="70"/>
  <c r="D21" i="70"/>
  <c r="B19" i="38670"/>
  <c r="D19" i="70"/>
  <c r="D17" i="70"/>
  <c r="B15" i="38670"/>
  <c r="D15" i="70"/>
  <c r="D13" i="70"/>
  <c r="H13" i="20"/>
  <c r="H17" i="20"/>
  <c r="H21" i="20"/>
  <c r="H25" i="20"/>
  <c r="H31" i="20"/>
  <c r="H35" i="20"/>
  <c r="H39" i="20"/>
  <c r="H43" i="20"/>
  <c r="H50" i="20"/>
  <c r="D48" i="14"/>
  <c r="J11" i="9"/>
  <c r="G37" i="47"/>
  <c r="G51" i="47"/>
  <c r="G46" i="47"/>
  <c r="G44" i="47"/>
  <c r="G42" i="47"/>
  <c r="G40" i="47"/>
  <c r="G38" i="47"/>
  <c r="G36" i="47"/>
  <c r="G34" i="47"/>
  <c r="G32" i="47"/>
  <c r="G28" i="47"/>
  <c r="G26" i="47"/>
  <c r="G24" i="47"/>
  <c r="G22" i="47"/>
  <c r="G20" i="47"/>
  <c r="G18" i="47"/>
  <c r="G16" i="47"/>
  <c r="G14" i="47"/>
  <c r="G12" i="47"/>
  <c r="E22" i="33"/>
  <c r="E26" i="33"/>
  <c r="E36" i="33"/>
  <c r="E44" i="33"/>
  <c r="E36" i="7"/>
  <c r="E37" i="7"/>
  <c r="E38" i="7"/>
  <c r="E39" i="7"/>
  <c r="E40" i="7"/>
  <c r="E41" i="7"/>
  <c r="E42" i="7"/>
  <c r="E43" i="7"/>
  <c r="E44" i="7"/>
  <c r="E45" i="7"/>
  <c r="E46" i="7"/>
  <c r="E50" i="7"/>
  <c r="E51" i="7"/>
  <c r="B28" i="38670"/>
  <c r="D28" i="70"/>
  <c r="D16" i="70"/>
  <c r="D51" i="70"/>
  <c r="D46" i="70"/>
  <c r="D44" i="70"/>
  <c r="D42" i="70"/>
  <c r="B40" i="38670"/>
  <c r="D40" i="70"/>
  <c r="D38" i="70"/>
  <c r="D36" i="70"/>
  <c r="D34" i="70"/>
  <c r="D32" i="70"/>
  <c r="H12" i="20"/>
  <c r="H16" i="20"/>
  <c r="H20" i="20"/>
  <c r="H24" i="20"/>
  <c r="H28" i="20"/>
  <c r="H34" i="20"/>
  <c r="H38" i="20"/>
  <c r="H42" i="20"/>
  <c r="H46" i="20"/>
  <c r="C48" i="40"/>
  <c r="G11" i="9"/>
  <c r="C48" i="14"/>
  <c r="G13" i="47"/>
  <c r="E51" i="52"/>
  <c r="E46" i="52"/>
  <c r="F46" i="52" s="1"/>
  <c r="E44" i="52"/>
  <c r="E42" i="52"/>
  <c r="F42" i="52" s="1"/>
  <c r="E40" i="52"/>
  <c r="E38" i="52"/>
  <c r="F38" i="52" s="1"/>
  <c r="E36" i="52"/>
  <c r="E34" i="52"/>
  <c r="F34" i="52" s="1"/>
  <c r="E32" i="52"/>
  <c r="E28" i="52"/>
  <c r="F28" i="52" s="1"/>
  <c r="E26" i="52"/>
  <c r="E24" i="52"/>
  <c r="F24" i="52" s="1"/>
  <c r="E22" i="52"/>
  <c r="E20" i="52"/>
  <c r="F20" i="52" s="1"/>
  <c r="E18" i="52"/>
  <c r="E16" i="52"/>
  <c r="F16" i="52" s="1"/>
  <c r="E14" i="52"/>
  <c r="E12" i="52"/>
  <c r="E13" i="33"/>
  <c r="E14" i="33"/>
  <c r="E17" i="33"/>
  <c r="E18" i="33"/>
  <c r="E31" i="33"/>
  <c r="E32" i="33"/>
  <c r="E35" i="33"/>
  <c r="E39" i="33"/>
  <c r="E40" i="33"/>
  <c r="E51" i="33"/>
  <c r="B21" i="38670"/>
  <c r="B25" i="38670"/>
  <c r="B38" i="38670"/>
  <c r="B42" i="38670"/>
  <c r="B51" i="38670"/>
  <c r="G48" i="14"/>
  <c r="D24" i="70"/>
  <c r="H11" i="20"/>
  <c r="B48" i="38"/>
  <c r="H15" i="20"/>
  <c r="H19" i="20"/>
  <c r="H23" i="20"/>
  <c r="H27" i="20"/>
  <c r="H33" i="20"/>
  <c r="H37" i="20"/>
  <c r="H41" i="20"/>
  <c r="H45" i="20"/>
  <c r="F48" i="38"/>
  <c r="D48" i="38"/>
  <c r="B48" i="14"/>
  <c r="C11" i="15"/>
  <c r="E12" i="41"/>
  <c r="E22" i="16"/>
  <c r="E26" i="41"/>
  <c r="E33" i="16"/>
  <c r="D26" i="70"/>
  <c r="D22" i="70"/>
  <c r="D20" i="70"/>
  <c r="D12" i="70"/>
  <c r="B50" i="38670"/>
  <c r="D50" i="70"/>
  <c r="B45" i="38670"/>
  <c r="D45" i="70"/>
  <c r="D43" i="70"/>
  <c r="B41" i="38670"/>
  <c r="D41" i="70"/>
  <c r="D39" i="70"/>
  <c r="B37" i="38670"/>
  <c r="D37" i="70"/>
  <c r="B35" i="38670"/>
  <c r="D35" i="70"/>
  <c r="B33" i="38670"/>
  <c r="D33" i="70"/>
  <c r="H14" i="20"/>
  <c r="H18" i="20"/>
  <c r="H22" i="20"/>
  <c r="H26" i="20"/>
  <c r="H32" i="20"/>
  <c r="H36" i="20"/>
  <c r="H40" i="20"/>
  <c r="H44" i="20"/>
  <c r="H51" i="20"/>
  <c r="C11" i="38670"/>
  <c r="E11" i="7"/>
  <c r="E48" i="14"/>
  <c r="B48" i="15"/>
  <c r="G11" i="8"/>
  <c r="E50" i="52"/>
  <c r="E45" i="52"/>
  <c r="E43" i="52"/>
  <c r="E41" i="52"/>
  <c r="E39" i="52"/>
  <c r="E37" i="52"/>
  <c r="E35" i="52"/>
  <c r="E33" i="52"/>
  <c r="E31" i="52"/>
  <c r="E27" i="52"/>
  <c r="E25" i="52"/>
  <c r="E23" i="52"/>
  <c r="E21" i="52"/>
  <c r="E19" i="52"/>
  <c r="E17" i="52"/>
  <c r="E15" i="52"/>
  <c r="E13" i="52"/>
  <c r="E11" i="52"/>
  <c r="E12" i="33"/>
  <c r="E15" i="33"/>
  <c r="E16" i="33"/>
  <c r="E19" i="33"/>
  <c r="E20" i="33"/>
  <c r="E23" i="33"/>
  <c r="E24" i="33"/>
  <c r="E27" i="33"/>
  <c r="E28" i="33"/>
  <c r="E33" i="33"/>
  <c r="E34" i="33"/>
  <c r="E37" i="33"/>
  <c r="E38" i="33"/>
  <c r="E41" i="33"/>
  <c r="E42" i="33"/>
  <c r="E45" i="33"/>
  <c r="E46" i="33"/>
  <c r="B12" i="38670"/>
  <c r="B13" i="38670"/>
  <c r="B14" i="38670"/>
  <c r="B16" i="38670"/>
  <c r="B17" i="38670"/>
  <c r="B18" i="38670"/>
  <c r="B20" i="38670"/>
  <c r="B22" i="38670"/>
  <c r="B24" i="38670"/>
  <c r="B26" i="38670"/>
  <c r="B32" i="38670"/>
  <c r="B34" i="38670"/>
  <c r="B36" i="38670"/>
  <c r="B39" i="38670"/>
  <c r="B43" i="38670"/>
  <c r="B44" i="38670"/>
  <c r="B46" i="38670"/>
  <c r="E12" i="7"/>
  <c r="E13" i="7"/>
  <c r="E14" i="7"/>
  <c r="E15" i="7"/>
  <c r="E16" i="7"/>
  <c r="E17" i="7"/>
  <c r="E18" i="7"/>
  <c r="E19" i="7"/>
  <c r="E20" i="7"/>
  <c r="E21" i="7"/>
  <c r="E22" i="7"/>
  <c r="E23" i="7"/>
  <c r="E24" i="7"/>
  <c r="E25" i="7"/>
  <c r="E26" i="7"/>
  <c r="E27" i="7"/>
  <c r="E28" i="7"/>
  <c r="E31" i="7"/>
  <c r="E32" i="7"/>
  <c r="E33" i="7"/>
  <c r="E34" i="7"/>
  <c r="E35" i="7"/>
  <c r="C36" i="15"/>
  <c r="E36" i="15" s="1"/>
  <c r="C37" i="15"/>
  <c r="E37" i="15" s="1"/>
  <c r="C38" i="15"/>
  <c r="E38" i="15" s="1"/>
  <c r="C39" i="15"/>
  <c r="E39" i="15" s="1"/>
  <c r="C40" i="15"/>
  <c r="E40" i="15" s="1"/>
  <c r="C41" i="15"/>
  <c r="E41" i="15" s="1"/>
  <c r="C42" i="15"/>
  <c r="E42" i="15" s="1"/>
  <c r="C43" i="15"/>
  <c r="E43" i="15" s="1"/>
  <c r="C44" i="15"/>
  <c r="E44" i="15" s="1"/>
  <c r="C45" i="15"/>
  <c r="E45" i="15" s="1"/>
  <c r="C46" i="15"/>
  <c r="E46" i="15" s="1"/>
  <c r="C50" i="15"/>
  <c r="E50" i="15" s="1"/>
  <c r="C51" i="15"/>
  <c r="E51" i="15" s="1"/>
  <c r="F12" i="52"/>
  <c r="E16" i="16" l="1"/>
  <c r="E20" i="41"/>
  <c r="E23" i="41"/>
  <c r="E27" i="16"/>
  <c r="E34" i="41"/>
  <c r="E28" i="41"/>
  <c r="E17" i="41"/>
  <c r="E13" i="16"/>
  <c r="E35" i="41"/>
  <c r="F12" i="78"/>
  <c r="B12" i="43" s="1"/>
  <c r="F12" i="43" s="1"/>
  <c r="H12" i="43" s="1"/>
  <c r="E14" i="41"/>
  <c r="E31" i="41"/>
  <c r="E24" i="16"/>
  <c r="E18" i="41"/>
  <c r="F20" i="78"/>
  <c r="B20" i="43" s="1"/>
  <c r="F20" i="43" s="1"/>
  <c r="H20" i="43" s="1"/>
  <c r="F28" i="78"/>
  <c r="B28" i="43" s="1"/>
  <c r="F28" i="43" s="1"/>
  <c r="H28" i="43" s="1"/>
  <c r="F38" i="78"/>
  <c r="B38" i="43" s="1"/>
  <c r="F38" i="43" s="1"/>
  <c r="H38" i="43" s="1"/>
  <c r="F46" i="78"/>
  <c r="B46" i="43" s="1"/>
  <c r="E25" i="16"/>
  <c r="F26" i="52"/>
  <c r="F26" i="78" s="1"/>
  <c r="B26" i="43" s="1"/>
  <c r="F26" i="43" s="1"/>
  <c r="H26" i="43" s="1"/>
  <c r="F36" i="52"/>
  <c r="F36" i="78" s="1"/>
  <c r="B36" i="43" s="1"/>
  <c r="F36" i="43" s="1"/>
  <c r="H36" i="43" s="1"/>
  <c r="F44" i="52"/>
  <c r="F44" i="78" s="1"/>
  <c r="B44" i="43" s="1"/>
  <c r="F44" i="43" s="1"/>
  <c r="H44" i="43" s="1"/>
  <c r="F24" i="78"/>
  <c r="B24" i="43" s="1"/>
  <c r="F24" i="43" s="1"/>
  <c r="H24" i="43" s="1"/>
  <c r="F42" i="78"/>
  <c r="B42" i="43" s="1"/>
  <c r="F42" i="43" s="1"/>
  <c r="H42" i="43" s="1"/>
  <c r="F18" i="52"/>
  <c r="F18" i="78" s="1"/>
  <c r="B18" i="43" s="1"/>
  <c r="F18" i="43" s="1"/>
  <c r="H18" i="43" s="1"/>
  <c r="E21" i="41"/>
  <c r="E19" i="16"/>
  <c r="E15" i="16"/>
  <c r="F34" i="78"/>
  <c r="B34" i="43" s="1"/>
  <c r="F34" i="43" s="1"/>
  <c r="H34" i="43" s="1"/>
  <c r="E32" i="41"/>
  <c r="F16" i="78"/>
  <c r="B16" i="43" s="1"/>
  <c r="F16" i="43" s="1"/>
  <c r="H16" i="43" s="1"/>
  <c r="C48" i="46"/>
  <c r="A54" i="46" s="1"/>
  <c r="F14" i="52"/>
  <c r="K30" i="3188"/>
  <c r="C30" i="5" s="1"/>
  <c r="B15" i="41"/>
  <c r="F19" i="52"/>
  <c r="F27" i="52"/>
  <c r="F37" i="52"/>
  <c r="F45" i="52"/>
  <c r="F13" i="52"/>
  <c r="F13" i="78" s="1"/>
  <c r="B13" i="43" s="1"/>
  <c r="F13" i="43" s="1"/>
  <c r="H13" i="43" s="1"/>
  <c r="F51" i="52"/>
  <c r="F22" i="52"/>
  <c r="F22" i="78" s="1"/>
  <c r="B22" i="43" s="1"/>
  <c r="F22" i="43" s="1"/>
  <c r="H22" i="43" s="1"/>
  <c r="F39" i="52"/>
  <c r="F31" i="52"/>
  <c r="G27" i="38656"/>
  <c r="G36" i="26"/>
  <c r="J50" i="11"/>
  <c r="F32" i="52"/>
  <c r="F17" i="52"/>
  <c r="F25" i="52"/>
  <c r="F35" i="52"/>
  <c r="F43" i="52"/>
  <c r="F21" i="52"/>
  <c r="F11" i="52"/>
  <c r="F11" i="78" s="1"/>
  <c r="F40" i="52"/>
  <c r="D25" i="8"/>
  <c r="B28" i="41"/>
  <c r="B33" i="41"/>
  <c r="G50" i="26"/>
  <c r="J36" i="11"/>
  <c r="F50" i="52"/>
  <c r="F15" i="52"/>
  <c r="F23" i="52"/>
  <c r="F33" i="52"/>
  <c r="F41" i="52"/>
  <c r="D32" i="38656"/>
  <c r="J30" i="11"/>
  <c r="G51" i="26"/>
  <c r="G35" i="11"/>
  <c r="J37" i="38655"/>
  <c r="D13" i="8"/>
  <c r="J30" i="26"/>
  <c r="D30" i="11"/>
  <c r="E30" i="20"/>
  <c r="B30" i="41"/>
  <c r="G30" i="38655"/>
  <c r="B30" i="39"/>
  <c r="F30" i="41"/>
  <c r="G30" i="41" s="1"/>
  <c r="F17" i="41"/>
  <c r="G17" i="41" s="1"/>
  <c r="F39" i="45"/>
  <c r="F50" i="45"/>
  <c r="E51" i="16"/>
  <c r="E51" i="41"/>
  <c r="E44" i="41"/>
  <c r="E44" i="16"/>
  <c r="E40" i="16"/>
  <c r="E40" i="41"/>
  <c r="E36" i="16"/>
  <c r="E36" i="41"/>
  <c r="H27" i="7"/>
  <c r="I27" i="7"/>
  <c r="F27" i="7"/>
  <c r="G27" i="7"/>
  <c r="F25" i="7"/>
  <c r="H25" i="7"/>
  <c r="I25" i="7"/>
  <c r="D25" i="7"/>
  <c r="G25" i="7"/>
  <c r="F23" i="7"/>
  <c r="I23" i="7"/>
  <c r="H23" i="7"/>
  <c r="G23" i="7"/>
  <c r="D23" i="7"/>
  <c r="H20" i="7"/>
  <c r="F20" i="7"/>
  <c r="I20" i="7"/>
  <c r="D20" i="7"/>
  <c r="G20" i="7"/>
  <c r="D18" i="7"/>
  <c r="H18" i="7"/>
  <c r="F18" i="7"/>
  <c r="G18" i="7"/>
  <c r="I18" i="7"/>
  <c r="G16" i="7"/>
  <c r="H16" i="7"/>
  <c r="F16" i="7"/>
  <c r="I16" i="7"/>
  <c r="D11" i="7"/>
  <c r="G11" i="7"/>
  <c r="E48" i="7"/>
  <c r="F11" i="7"/>
  <c r="I11" i="7"/>
  <c r="H11" i="7"/>
  <c r="J44" i="20"/>
  <c r="J36" i="20"/>
  <c r="J26" i="20"/>
  <c r="J18" i="20"/>
  <c r="J41" i="20"/>
  <c r="J33" i="20"/>
  <c r="J23" i="20"/>
  <c r="J15" i="20"/>
  <c r="D44" i="7"/>
  <c r="G44" i="7"/>
  <c r="F44" i="7"/>
  <c r="H44" i="7"/>
  <c r="I44" i="7"/>
  <c r="G42" i="7"/>
  <c r="H42" i="7"/>
  <c r="F42" i="7"/>
  <c r="I42" i="7"/>
  <c r="G37" i="7"/>
  <c r="H37" i="7"/>
  <c r="F37" i="7"/>
  <c r="I37" i="7"/>
  <c r="J50" i="20"/>
  <c r="J39" i="20"/>
  <c r="J31" i="20"/>
  <c r="J21" i="20"/>
  <c r="J13" i="20"/>
  <c r="G48" i="47"/>
  <c r="D30" i="38656"/>
  <c r="J30" i="38655"/>
  <c r="F46" i="41"/>
  <c r="G46" i="41" s="1"/>
  <c r="D39" i="38656"/>
  <c r="D30" i="8"/>
  <c r="J22" i="11"/>
  <c r="G19" i="11"/>
  <c r="E45" i="41"/>
  <c r="E45" i="16"/>
  <c r="E41" i="41"/>
  <c r="E41" i="16"/>
  <c r="E37" i="41"/>
  <c r="E37" i="16"/>
  <c r="G34" i="7"/>
  <c r="I34" i="7"/>
  <c r="H34" i="7"/>
  <c r="F34" i="7"/>
  <c r="I32" i="7"/>
  <c r="H32" i="7"/>
  <c r="G32" i="7"/>
  <c r="F32" i="7"/>
  <c r="G14" i="7"/>
  <c r="D14" i="7"/>
  <c r="H14" i="7"/>
  <c r="F14" i="7"/>
  <c r="I14" i="7"/>
  <c r="F12" i="7"/>
  <c r="I12" i="7"/>
  <c r="H12" i="7"/>
  <c r="G12" i="7"/>
  <c r="D12" i="7"/>
  <c r="B11" i="38670"/>
  <c r="B48" i="38670" s="1"/>
  <c r="C48" i="38670"/>
  <c r="H48" i="20"/>
  <c r="J42" i="20"/>
  <c r="J34" i="20"/>
  <c r="J24" i="20"/>
  <c r="J16" i="20"/>
  <c r="F50" i="7"/>
  <c r="G50" i="7"/>
  <c r="D50" i="7"/>
  <c r="I50" i="7"/>
  <c r="H50" i="7"/>
  <c r="H45" i="7"/>
  <c r="I45" i="7"/>
  <c r="F45" i="7"/>
  <c r="G45" i="7"/>
  <c r="G40" i="7"/>
  <c r="D40" i="7"/>
  <c r="H40" i="7"/>
  <c r="I40" i="7"/>
  <c r="F40" i="7"/>
  <c r="G38" i="7"/>
  <c r="F38" i="7"/>
  <c r="I38" i="7"/>
  <c r="H38" i="7"/>
  <c r="D26" i="38656"/>
  <c r="B30" i="20"/>
  <c r="G30" i="26"/>
  <c r="D17" i="27"/>
  <c r="D17" i="76" s="1"/>
  <c r="B17" i="76"/>
  <c r="F27" i="45"/>
  <c r="D30" i="9"/>
  <c r="D18" i="8"/>
  <c r="D20" i="8"/>
  <c r="B37" i="41"/>
  <c r="B16" i="41"/>
  <c r="B30" i="19"/>
  <c r="G30" i="10"/>
  <c r="D30" i="26"/>
  <c r="D30" i="19"/>
  <c r="D30" i="27"/>
  <c r="D30" i="76" s="1"/>
  <c r="B30" i="76"/>
  <c r="F38" i="45"/>
  <c r="E46" i="41"/>
  <c r="E46" i="16"/>
  <c r="E42" i="16"/>
  <c r="E42" i="41"/>
  <c r="E38" i="41"/>
  <c r="E38" i="16"/>
  <c r="G28" i="7"/>
  <c r="F28" i="7"/>
  <c r="D28" i="7"/>
  <c r="H28" i="7"/>
  <c r="I28" i="7"/>
  <c r="H26" i="7"/>
  <c r="I26" i="7"/>
  <c r="G26" i="7"/>
  <c r="F26" i="7"/>
  <c r="I24" i="7"/>
  <c r="G24" i="7"/>
  <c r="F24" i="7"/>
  <c r="H24" i="7"/>
  <c r="H21" i="7"/>
  <c r="G21" i="7"/>
  <c r="F21" i="7"/>
  <c r="I21" i="7"/>
  <c r="G19" i="7"/>
  <c r="D19" i="7"/>
  <c r="H19" i="7"/>
  <c r="I19" i="7"/>
  <c r="F19" i="7"/>
  <c r="I17" i="7"/>
  <c r="F17" i="7"/>
  <c r="D17" i="7"/>
  <c r="G17" i="7"/>
  <c r="H17" i="7"/>
  <c r="F15" i="7"/>
  <c r="G15" i="7"/>
  <c r="D15" i="7"/>
  <c r="I15" i="7"/>
  <c r="H15" i="7"/>
  <c r="J51" i="20"/>
  <c r="J40" i="20"/>
  <c r="J32" i="20"/>
  <c r="J22" i="20"/>
  <c r="J14" i="20"/>
  <c r="J45" i="20"/>
  <c r="J37" i="20"/>
  <c r="J27" i="20"/>
  <c r="J19" i="20"/>
  <c r="F51" i="7"/>
  <c r="G51" i="7"/>
  <c r="I51" i="7"/>
  <c r="D51" i="7"/>
  <c r="H51" i="7"/>
  <c r="F43" i="7"/>
  <c r="I43" i="7"/>
  <c r="G43" i="7"/>
  <c r="H43" i="7"/>
  <c r="D43" i="7"/>
  <c r="G36" i="7"/>
  <c r="I36" i="7"/>
  <c r="D36" i="7"/>
  <c r="F36" i="7"/>
  <c r="H36" i="7"/>
  <c r="J43" i="20"/>
  <c r="J35" i="20"/>
  <c r="J25" i="20"/>
  <c r="J17" i="20"/>
  <c r="D48" i="38670"/>
  <c r="F24" i="41"/>
  <c r="G24" i="41" s="1"/>
  <c r="F45" i="41"/>
  <c r="G45" i="41" s="1"/>
  <c r="G30" i="11"/>
  <c r="G32" i="26"/>
  <c r="F25" i="45"/>
  <c r="G26" i="11"/>
  <c r="B34" i="41"/>
  <c r="B44" i="41"/>
  <c r="B25" i="41"/>
  <c r="B21" i="41"/>
  <c r="E30" i="18"/>
  <c r="D30" i="10"/>
  <c r="B30" i="40"/>
  <c r="D30" i="40" s="1"/>
  <c r="H30" i="18"/>
  <c r="G30" i="38656"/>
  <c r="F41" i="45"/>
  <c r="E50" i="41"/>
  <c r="E50" i="16"/>
  <c r="E43" i="16"/>
  <c r="E43" i="41"/>
  <c r="E39" i="41"/>
  <c r="E39" i="16"/>
  <c r="G35" i="7"/>
  <c r="I35" i="7"/>
  <c r="H35" i="7"/>
  <c r="F35" i="7"/>
  <c r="I33" i="7"/>
  <c r="H33" i="7"/>
  <c r="G33" i="7"/>
  <c r="F33" i="7"/>
  <c r="F31" i="7"/>
  <c r="G31" i="7"/>
  <c r="I31" i="7"/>
  <c r="H31" i="7"/>
  <c r="H22" i="7"/>
  <c r="G22" i="7"/>
  <c r="I22" i="7"/>
  <c r="F22" i="7"/>
  <c r="I13" i="7"/>
  <c r="G13" i="7"/>
  <c r="H13" i="7"/>
  <c r="F13" i="7"/>
  <c r="C48" i="15"/>
  <c r="E11" i="15"/>
  <c r="J11" i="20" s="1"/>
  <c r="J46" i="20"/>
  <c r="J38" i="20"/>
  <c r="J28" i="20"/>
  <c r="J20" i="20"/>
  <c r="J12" i="20"/>
  <c r="G46" i="7"/>
  <c r="I46" i="7"/>
  <c r="F46" i="7"/>
  <c r="H46" i="7"/>
  <c r="H41" i="7"/>
  <c r="F41" i="7"/>
  <c r="I41" i="7"/>
  <c r="G41" i="7"/>
  <c r="H39" i="7"/>
  <c r="G39" i="7"/>
  <c r="I39" i="7"/>
  <c r="F39" i="7"/>
  <c r="D39" i="7"/>
  <c r="D11" i="70"/>
  <c r="E11" i="33"/>
  <c r="E48" i="33" s="1"/>
  <c r="D38" i="11"/>
  <c r="D13" i="7"/>
  <c r="D51" i="11"/>
  <c r="D46" i="11"/>
  <c r="D37" i="11"/>
  <c r="D43" i="11"/>
  <c r="K37" i="3188"/>
  <c r="C37" i="5" s="1"/>
  <c r="D34" i="7"/>
  <c r="K38" i="3188"/>
  <c r="C38" i="5" s="1"/>
  <c r="D26" i="7"/>
  <c r="K50" i="3188"/>
  <c r="C50" i="5" s="1"/>
  <c r="K46" i="3188"/>
  <c r="C46" i="5" s="1"/>
  <c r="K45" i="3188"/>
  <c r="C45" i="5" s="1"/>
  <c r="K42" i="3188"/>
  <c r="C42" i="5" s="1"/>
  <c r="K44" i="3188"/>
  <c r="C44" i="5" s="1"/>
  <c r="F15" i="78" l="1"/>
  <c r="B15" i="43" s="1"/>
  <c r="F15" i="43" s="1"/>
  <c r="H15" i="43" s="1"/>
  <c r="F23" i="78"/>
  <c r="B23" i="43" s="1"/>
  <c r="F23" i="43" s="1"/>
  <c r="H23" i="43" s="1"/>
  <c r="F21" i="78"/>
  <c r="B21" i="43" s="1"/>
  <c r="F21" i="43" s="1"/>
  <c r="H21" i="43" s="1"/>
  <c r="F17" i="78"/>
  <c r="B17" i="43" s="1"/>
  <c r="F17" i="43" s="1"/>
  <c r="H17" i="43" s="1"/>
  <c r="F27" i="78"/>
  <c r="B27" i="43" s="1"/>
  <c r="F27" i="43" s="1"/>
  <c r="H27" i="43" s="1"/>
  <c r="F43" i="78"/>
  <c r="B43" i="43" s="1"/>
  <c r="F43" i="43" s="1"/>
  <c r="H43" i="43" s="1"/>
  <c r="F32" i="78"/>
  <c r="B32" i="43" s="1"/>
  <c r="F32" i="43" s="1"/>
  <c r="H32" i="43" s="1"/>
  <c r="F19" i="78"/>
  <c r="B19" i="43" s="1"/>
  <c r="F19" i="43" s="1"/>
  <c r="H19" i="43" s="1"/>
  <c r="F33" i="78"/>
  <c r="B33" i="43" s="1"/>
  <c r="F33" i="43" s="1"/>
  <c r="H33" i="43" s="1"/>
  <c r="F25" i="78"/>
  <c r="B25" i="43" s="1"/>
  <c r="F25" i="43" s="1"/>
  <c r="H25" i="43" s="1"/>
  <c r="I25" i="45" s="1"/>
  <c r="G25" i="45" s="1"/>
  <c r="F39" i="78"/>
  <c r="B39" i="43" s="1"/>
  <c r="F39" i="43" s="1"/>
  <c r="H39" i="43" s="1"/>
  <c r="I39" i="45" s="1"/>
  <c r="F51" i="78"/>
  <c r="B51" i="43" s="1"/>
  <c r="F51" i="43" s="1"/>
  <c r="H51" i="43" s="1"/>
  <c r="F37" i="78"/>
  <c r="B37" i="43" s="1"/>
  <c r="F37" i="43" s="1"/>
  <c r="H37" i="43" s="1"/>
  <c r="F40" i="78"/>
  <c r="B40" i="43" s="1"/>
  <c r="F40" i="43" s="1"/>
  <c r="H40" i="43" s="1"/>
  <c r="F31" i="78"/>
  <c r="B31" i="43" s="1"/>
  <c r="F31" i="43" s="1"/>
  <c r="H31" i="43" s="1"/>
  <c r="F41" i="78"/>
  <c r="B41" i="43" s="1"/>
  <c r="F41" i="43" s="1"/>
  <c r="H41" i="43" s="1"/>
  <c r="I41" i="45" s="1"/>
  <c r="I41" i="43" s="1"/>
  <c r="B41" i="42" s="1"/>
  <c r="F50" i="78"/>
  <c r="B50" i="43" s="1"/>
  <c r="F50" i="43" s="1"/>
  <c r="H50" i="43" s="1"/>
  <c r="I50" i="45" s="1"/>
  <c r="E50" i="44" s="1"/>
  <c r="D50" i="42" s="1"/>
  <c r="F35" i="78"/>
  <c r="B35" i="43" s="1"/>
  <c r="F35" i="43" s="1"/>
  <c r="H35" i="43" s="1"/>
  <c r="F45" i="78"/>
  <c r="B45" i="43" s="1"/>
  <c r="F45" i="43" s="1"/>
  <c r="H45" i="43" s="1"/>
  <c r="F14" i="78"/>
  <c r="B14" i="43" s="1"/>
  <c r="F14" i="43" s="1"/>
  <c r="H14" i="43" s="1"/>
  <c r="F18" i="45"/>
  <c r="I18" i="45" s="1"/>
  <c r="I18" i="44" s="1"/>
  <c r="F18" i="42" s="1"/>
  <c r="F40" i="45"/>
  <c r="F23" i="45"/>
  <c r="F44" i="45"/>
  <c r="I44" i="45" s="1"/>
  <c r="G44" i="45" s="1"/>
  <c r="F43" i="45"/>
  <c r="F16" i="45"/>
  <c r="I16" i="45" s="1"/>
  <c r="G16" i="45" s="1"/>
  <c r="F37" i="45"/>
  <c r="F17" i="45"/>
  <c r="K13" i="3188"/>
  <c r="C13" i="5" s="1"/>
  <c r="K17" i="3188"/>
  <c r="C17" i="5" s="1"/>
  <c r="K36" i="3188"/>
  <c r="C36" i="5" s="1"/>
  <c r="K21" i="3188"/>
  <c r="C21" i="5" s="1"/>
  <c r="K51" i="3188"/>
  <c r="C51" i="5" s="1"/>
  <c r="K40" i="3188"/>
  <c r="C40" i="5" s="1"/>
  <c r="K26" i="3188"/>
  <c r="C26" i="5" s="1"/>
  <c r="K39" i="3188"/>
  <c r="C39" i="5" s="1"/>
  <c r="K19" i="3188"/>
  <c r="C19" i="5" s="1"/>
  <c r="K24" i="3188"/>
  <c r="C24" i="5" s="1"/>
  <c r="K16" i="3188"/>
  <c r="C16" i="5" s="1"/>
  <c r="E35" i="20"/>
  <c r="G35" i="20" s="1"/>
  <c r="K20" i="3188"/>
  <c r="C20" i="5" s="1"/>
  <c r="E27" i="20"/>
  <c r="G27" i="20" s="1"/>
  <c r="F46" i="45"/>
  <c r="F32" i="45"/>
  <c r="F14" i="45"/>
  <c r="F35" i="45"/>
  <c r="F19" i="45"/>
  <c r="F46" i="43"/>
  <c r="H46" i="43" s="1"/>
  <c r="K15" i="3188"/>
  <c r="C15" i="5" s="1"/>
  <c r="K43" i="3188"/>
  <c r="C43" i="5" s="1"/>
  <c r="K33" i="3188"/>
  <c r="C33" i="5" s="1"/>
  <c r="K32" i="3188"/>
  <c r="C32" i="5" s="1"/>
  <c r="K23" i="3188"/>
  <c r="C23" i="5" s="1"/>
  <c r="B46" i="20"/>
  <c r="D46" i="20" s="1"/>
  <c r="F11" i="45"/>
  <c r="D32" i="38658"/>
  <c r="F32" i="38659" s="1"/>
  <c r="E48" i="52"/>
  <c r="K14" i="3188"/>
  <c r="C14" i="5" s="1"/>
  <c r="F42" i="45"/>
  <c r="I42" i="45" s="1"/>
  <c r="C42" i="45" s="1"/>
  <c r="G42" i="42" s="1"/>
  <c r="K25" i="3188"/>
  <c r="C25" i="5" s="1"/>
  <c r="K41" i="3188"/>
  <c r="C41" i="5" s="1"/>
  <c r="K34" i="3188"/>
  <c r="C34" i="5" s="1"/>
  <c r="K28" i="3188"/>
  <c r="C28" i="5" s="1"/>
  <c r="K31" i="3188"/>
  <c r="C31" i="5" s="1"/>
  <c r="K35" i="3188"/>
  <c r="C35" i="5" s="1"/>
  <c r="K18" i="3188"/>
  <c r="C18" i="5" s="1"/>
  <c r="K27" i="3188"/>
  <c r="C27" i="5" s="1"/>
  <c r="K22" i="3188"/>
  <c r="C22" i="5" s="1"/>
  <c r="F24" i="45"/>
  <c r="I24" i="45" s="1"/>
  <c r="G24" i="45" s="1"/>
  <c r="B32" i="39"/>
  <c r="D51" i="9"/>
  <c r="D33" i="7"/>
  <c r="D11" i="11"/>
  <c r="E15" i="18"/>
  <c r="D15" i="10"/>
  <c r="D43" i="26"/>
  <c r="D43" i="19"/>
  <c r="J43" i="26"/>
  <c r="G36" i="8"/>
  <c r="D32" i="26"/>
  <c r="D17" i="9"/>
  <c r="D44" i="8"/>
  <c r="B44" i="18"/>
  <c r="D20" i="9"/>
  <c r="D42" i="7"/>
  <c r="J12" i="11"/>
  <c r="G11" i="10"/>
  <c r="D13" i="11"/>
  <c r="B20" i="18"/>
  <c r="J37" i="9"/>
  <c r="D41" i="7"/>
  <c r="J34" i="9"/>
  <c r="D13" i="9"/>
  <c r="D26" i="9"/>
  <c r="G15" i="10"/>
  <c r="G12" i="10"/>
  <c r="G15" i="11"/>
  <c r="B43" i="41"/>
  <c r="D15" i="9"/>
  <c r="G14" i="9"/>
  <c r="B41" i="18"/>
  <c r="D41" i="8"/>
  <c r="J35" i="9"/>
  <c r="E11" i="18"/>
  <c r="D11" i="10"/>
  <c r="D14" i="11"/>
  <c r="D15" i="11"/>
  <c r="I38" i="45"/>
  <c r="G38" i="45" s="1"/>
  <c r="G24" i="8"/>
  <c r="D51" i="8"/>
  <c r="B51" i="18"/>
  <c r="D39" i="9"/>
  <c r="E13" i="18"/>
  <c r="D13" i="10"/>
  <c r="D12" i="11"/>
  <c r="E14" i="18"/>
  <c r="D14" i="10"/>
  <c r="D17" i="11"/>
  <c r="D18" i="11"/>
  <c r="G12" i="11"/>
  <c r="B43" i="19"/>
  <c r="B43" i="40"/>
  <c r="D43" i="40" s="1"/>
  <c r="J15" i="11"/>
  <c r="G17" i="10"/>
  <c r="D24" i="11"/>
  <c r="D22" i="11"/>
  <c r="D20" i="11"/>
  <c r="B13" i="18"/>
  <c r="B43" i="39"/>
  <c r="B43" i="76"/>
  <c r="D43" i="27"/>
  <c r="D43" i="76" s="1"/>
  <c r="G14" i="10"/>
  <c r="E18" i="18"/>
  <c r="D18" i="10"/>
  <c r="G25" i="8"/>
  <c r="G20" i="11"/>
  <c r="G22" i="10"/>
  <c r="J23" i="11"/>
  <c r="E19" i="18"/>
  <c r="D19" i="10"/>
  <c r="E17" i="18"/>
  <c r="D17" i="10"/>
  <c r="D34" i="9"/>
  <c r="J40" i="9"/>
  <c r="G23" i="8"/>
  <c r="B43" i="20"/>
  <c r="D45" i="38658"/>
  <c r="G30" i="8"/>
  <c r="E16" i="18"/>
  <c r="D16" i="10"/>
  <c r="J19" i="11"/>
  <c r="J16" i="11"/>
  <c r="F43" i="41"/>
  <c r="G43" i="41" s="1"/>
  <c r="G44" i="9"/>
  <c r="D33" i="9"/>
  <c r="J13" i="11"/>
  <c r="E42" i="18"/>
  <c r="D42" i="10"/>
  <c r="B12" i="19"/>
  <c r="H12" i="18"/>
  <c r="H20" i="18"/>
  <c r="H35" i="18"/>
  <c r="H41" i="18"/>
  <c r="D15" i="26"/>
  <c r="D15" i="19"/>
  <c r="D23" i="26"/>
  <c r="D34" i="26"/>
  <c r="D34" i="19"/>
  <c r="G33" i="38655"/>
  <c r="G37" i="38655"/>
  <c r="B12" i="40"/>
  <c r="D12" i="40" s="1"/>
  <c r="B18" i="40"/>
  <c r="D18" i="40" s="1"/>
  <c r="B20" i="40"/>
  <c r="D20" i="40" s="1"/>
  <c r="B23" i="40"/>
  <c r="D23" i="40" s="1"/>
  <c r="B25" i="40"/>
  <c r="D25" i="40" s="1"/>
  <c r="B28" i="40"/>
  <c r="D28" i="40" s="1"/>
  <c r="B34" i="40"/>
  <c r="D34" i="40" s="1"/>
  <c r="B37" i="39"/>
  <c r="B42" i="40"/>
  <c r="D42" i="40" s="1"/>
  <c r="B50" i="40"/>
  <c r="D15" i="38658"/>
  <c r="D39" i="38658"/>
  <c r="H24" i="18"/>
  <c r="H28" i="18"/>
  <c r="D38" i="10"/>
  <c r="J36" i="26"/>
  <c r="J46" i="26"/>
  <c r="D12" i="38656"/>
  <c r="G46" i="38655"/>
  <c r="B31" i="40"/>
  <c r="D31" i="40" s="1"/>
  <c r="E13" i="20"/>
  <c r="H15" i="18"/>
  <c r="H46" i="18"/>
  <c r="B51" i="40"/>
  <c r="B31" i="39"/>
  <c r="B35" i="39"/>
  <c r="D41" i="19"/>
  <c r="D41" i="26"/>
  <c r="G38" i="38655"/>
  <c r="B42" i="39"/>
  <c r="E20" i="18"/>
  <c r="D20" i="10"/>
  <c r="G43" i="38656"/>
  <c r="B33" i="18"/>
  <c r="D33" i="8"/>
  <c r="J14" i="11"/>
  <c r="H23" i="18"/>
  <c r="D38" i="38658"/>
  <c r="G12" i="26"/>
  <c r="G17" i="38655"/>
  <c r="G36" i="38655"/>
  <c r="J24" i="26"/>
  <c r="D39" i="19"/>
  <c r="D39" i="26"/>
  <c r="D28" i="19"/>
  <c r="D28" i="26"/>
  <c r="D16" i="26"/>
  <c r="G12" i="8"/>
  <c r="G43" i="10"/>
  <c r="G18" i="10"/>
  <c r="D32" i="9"/>
  <c r="J33" i="26"/>
  <c r="J44" i="26"/>
  <c r="G19" i="38655"/>
  <c r="J38" i="9"/>
  <c r="J15" i="26"/>
  <c r="H50" i="18"/>
  <c r="D23" i="9"/>
  <c r="J13" i="26"/>
  <c r="B26" i="20"/>
  <c r="E38" i="20"/>
  <c r="E44" i="20"/>
  <c r="E45" i="20"/>
  <c r="B51" i="41"/>
  <c r="C51" i="41" s="1"/>
  <c r="J50" i="26"/>
  <c r="B26" i="19"/>
  <c r="E12" i="20"/>
  <c r="D34" i="27"/>
  <c r="D34" i="76" s="1"/>
  <c r="B34" i="76"/>
  <c r="E44" i="18"/>
  <c r="D44" i="10"/>
  <c r="G13" i="26"/>
  <c r="G17" i="26"/>
  <c r="G16" i="38656"/>
  <c r="G25" i="10"/>
  <c r="G39" i="8"/>
  <c r="F23" i="41"/>
  <c r="G23" i="41" s="1"/>
  <c r="J41" i="11"/>
  <c r="B41" i="20"/>
  <c r="B39" i="18"/>
  <c r="D39" i="8"/>
  <c r="G31" i="8"/>
  <c r="G40" i="10"/>
  <c r="B17" i="40"/>
  <c r="D17" i="40" s="1"/>
  <c r="B40" i="19"/>
  <c r="G37" i="26"/>
  <c r="D33" i="38656"/>
  <c r="F14" i="41"/>
  <c r="G14" i="41" s="1"/>
  <c r="F18" i="41"/>
  <c r="G18" i="41" s="1"/>
  <c r="E23" i="20"/>
  <c r="F35" i="41"/>
  <c r="G35" i="41" s="1"/>
  <c r="B16" i="40"/>
  <c r="D16" i="40" s="1"/>
  <c r="B41" i="41"/>
  <c r="B50" i="41"/>
  <c r="D37" i="9"/>
  <c r="D45" i="9"/>
  <c r="G37" i="10"/>
  <c r="J22" i="38655"/>
  <c r="B13" i="41"/>
  <c r="D35" i="27"/>
  <c r="D35" i="76" s="1"/>
  <c r="B35" i="76"/>
  <c r="G44" i="38656"/>
  <c r="G12" i="38656"/>
  <c r="G40" i="38656"/>
  <c r="E36" i="20"/>
  <c r="J14" i="26"/>
  <c r="D28" i="11"/>
  <c r="B28" i="76"/>
  <c r="D28" i="27"/>
  <c r="D28" i="76" s="1"/>
  <c r="B27" i="20"/>
  <c r="F32" i="41"/>
  <c r="G32" i="41" s="1"/>
  <c r="G28" i="11"/>
  <c r="J45" i="38655"/>
  <c r="G19" i="26"/>
  <c r="G23" i="11"/>
  <c r="G46" i="38656"/>
  <c r="B15" i="20"/>
  <c r="B23" i="20"/>
  <c r="D12" i="27"/>
  <c r="D12" i="76" s="1"/>
  <c r="B12" i="76"/>
  <c r="B43" i="18"/>
  <c r="D43" i="8"/>
  <c r="G38" i="8"/>
  <c r="B31" i="18"/>
  <c r="D31" i="8"/>
  <c r="E36" i="18"/>
  <c r="D36" i="10"/>
  <c r="G42" i="10"/>
  <c r="B13" i="20"/>
  <c r="D21" i="38656"/>
  <c r="B17" i="19"/>
  <c r="B25" i="19"/>
  <c r="D24" i="9"/>
  <c r="D41" i="38656"/>
  <c r="D40" i="26"/>
  <c r="D26" i="38658"/>
  <c r="G33" i="11"/>
  <c r="B24" i="76"/>
  <c r="D24" i="27"/>
  <c r="D24" i="76" s="1"/>
  <c r="B34" i="20"/>
  <c r="G25" i="26"/>
  <c r="G13" i="38656"/>
  <c r="G21" i="38656"/>
  <c r="B33" i="20"/>
  <c r="B19" i="41"/>
  <c r="G40" i="8"/>
  <c r="J17" i="38655"/>
  <c r="J44" i="38655"/>
  <c r="G38" i="11"/>
  <c r="D22" i="27"/>
  <c r="D22" i="76" s="1"/>
  <c r="B22" i="76"/>
  <c r="F34" i="41"/>
  <c r="G34" i="41" s="1"/>
  <c r="G23" i="38656"/>
  <c r="G38" i="38656"/>
  <c r="B46" i="39"/>
  <c r="G28" i="26"/>
  <c r="B25" i="20"/>
  <c r="J39" i="26"/>
  <c r="J41" i="38655"/>
  <c r="F16" i="41"/>
  <c r="G16" i="41" s="1"/>
  <c r="G46" i="11"/>
  <c r="D19" i="27"/>
  <c r="D19" i="76" s="1"/>
  <c r="B19" i="76"/>
  <c r="J33" i="11"/>
  <c r="D19" i="19"/>
  <c r="D19" i="26"/>
  <c r="E21" i="20"/>
  <c r="D27" i="19"/>
  <c r="G31" i="11"/>
  <c r="G32" i="10"/>
  <c r="G46" i="10"/>
  <c r="B37" i="19"/>
  <c r="E27" i="18"/>
  <c r="D36" i="11"/>
  <c r="G40" i="11"/>
  <c r="B45" i="19"/>
  <c r="J33" i="38655"/>
  <c r="F37" i="41"/>
  <c r="G37" i="41" s="1"/>
  <c r="D34" i="8"/>
  <c r="B34" i="18"/>
  <c r="B45" i="20"/>
  <c r="B36" i="41"/>
  <c r="F12" i="41"/>
  <c r="G12" i="41" s="1"/>
  <c r="B44" i="76"/>
  <c r="D44" i="27"/>
  <c r="D44" i="76" s="1"/>
  <c r="J40" i="11"/>
  <c r="J38" i="38655"/>
  <c r="G24" i="26"/>
  <c r="B18" i="41"/>
  <c r="B38" i="20"/>
  <c r="J51" i="38655"/>
  <c r="D11" i="38656"/>
  <c r="D24" i="26"/>
  <c r="D24" i="19"/>
  <c r="H25" i="18"/>
  <c r="G30" i="18"/>
  <c r="K30" i="38667"/>
  <c r="D21" i="41"/>
  <c r="C21" i="41"/>
  <c r="C44" i="41"/>
  <c r="D44" i="41"/>
  <c r="D37" i="41"/>
  <c r="C37" i="41"/>
  <c r="F30" i="39"/>
  <c r="H30" i="39"/>
  <c r="D30" i="39"/>
  <c r="G30" i="20"/>
  <c r="C33" i="41"/>
  <c r="D33" i="41"/>
  <c r="D35" i="7"/>
  <c r="K12" i="3188"/>
  <c r="C12" i="5" s="1"/>
  <c r="F21" i="45"/>
  <c r="B30" i="18"/>
  <c r="F34" i="45"/>
  <c r="F28" i="45"/>
  <c r="B25" i="18"/>
  <c r="E34" i="20"/>
  <c r="G17" i="11"/>
  <c r="E12" i="18"/>
  <c r="D12" i="10"/>
  <c r="G13" i="10"/>
  <c r="E43" i="20"/>
  <c r="D19" i="11"/>
  <c r="G20" i="10"/>
  <c r="J21" i="11"/>
  <c r="G24" i="11"/>
  <c r="D25" i="11"/>
  <c r="D23" i="8"/>
  <c r="B23" i="18"/>
  <c r="D22" i="9"/>
  <c r="G43" i="8"/>
  <c r="G42" i="8"/>
  <c r="D36" i="9"/>
  <c r="J11" i="11"/>
  <c r="D26" i="11"/>
  <c r="D41" i="9"/>
  <c r="J43" i="38655"/>
  <c r="D27" i="10"/>
  <c r="E39" i="18"/>
  <c r="D39" i="10"/>
  <c r="H40" i="18"/>
  <c r="H45" i="18"/>
  <c r="D11" i="19"/>
  <c r="D11" i="26"/>
  <c r="D13" i="26"/>
  <c r="D13" i="19"/>
  <c r="J22" i="26"/>
  <c r="D38" i="26"/>
  <c r="D38" i="19"/>
  <c r="J12" i="38655"/>
  <c r="G16" i="38655"/>
  <c r="G20" i="38655"/>
  <c r="G24" i="38655"/>
  <c r="G28" i="38655"/>
  <c r="G40" i="38655"/>
  <c r="B13" i="40"/>
  <c r="D13" i="40" s="1"/>
  <c r="B14" i="39"/>
  <c r="B21" i="40"/>
  <c r="D21" i="40" s="1"/>
  <c r="B22" i="39"/>
  <c r="B24" i="39"/>
  <c r="B26" i="40"/>
  <c r="D26" i="40" s="1"/>
  <c r="B33" i="40"/>
  <c r="D33" i="40" s="1"/>
  <c r="B41" i="40"/>
  <c r="D41" i="40" s="1"/>
  <c r="B46" i="40"/>
  <c r="D46" i="40" s="1"/>
  <c r="B11" i="41"/>
  <c r="D18" i="38658"/>
  <c r="D22" i="38658"/>
  <c r="D41" i="38658"/>
  <c r="E28" i="18"/>
  <c r="D28" i="10"/>
  <c r="E45" i="18"/>
  <c r="D45" i="10"/>
  <c r="H22" i="18"/>
  <c r="H32" i="18"/>
  <c r="J12" i="26"/>
  <c r="J42" i="26"/>
  <c r="G45" i="38655"/>
  <c r="B11" i="20"/>
  <c r="B40" i="39"/>
  <c r="B12" i="39"/>
  <c r="F11" i="41"/>
  <c r="B39" i="40"/>
  <c r="D39" i="40" s="1"/>
  <c r="G44" i="38655"/>
  <c r="B33" i="39"/>
  <c r="G11" i="26"/>
  <c r="J32" i="26"/>
  <c r="G34" i="38655"/>
  <c r="B12" i="20"/>
  <c r="J20" i="26"/>
  <c r="D46" i="26"/>
  <c r="D33" i="26"/>
  <c r="D18" i="26"/>
  <c r="D18" i="19"/>
  <c r="D51" i="38655"/>
  <c r="G51" i="19"/>
  <c r="D43" i="10"/>
  <c r="J17" i="11"/>
  <c r="D27" i="8"/>
  <c r="B27" i="18"/>
  <c r="D50" i="9"/>
  <c r="J40" i="26"/>
  <c r="G11" i="11"/>
  <c r="H44" i="18"/>
  <c r="B36" i="39"/>
  <c r="G33" i="8"/>
  <c r="D12" i="9"/>
  <c r="F38" i="41"/>
  <c r="G38" i="41" s="1"/>
  <c r="F42" i="41"/>
  <c r="G42" i="41" s="1"/>
  <c r="B45" i="41"/>
  <c r="F44" i="41"/>
  <c r="G44" i="41" s="1"/>
  <c r="B22" i="19"/>
  <c r="D40" i="38656"/>
  <c r="D27" i="11"/>
  <c r="J44" i="11"/>
  <c r="G33" i="26"/>
  <c r="B21" i="76"/>
  <c r="D21" i="27"/>
  <c r="D21" i="76" s="1"/>
  <c r="F36" i="41"/>
  <c r="G36" i="41" s="1"/>
  <c r="G11" i="38656"/>
  <c r="G33" i="38656"/>
  <c r="B21" i="20"/>
  <c r="D40" i="9"/>
  <c r="D21" i="9"/>
  <c r="G34" i="10"/>
  <c r="J46" i="38655"/>
  <c r="J46" i="9"/>
  <c r="G39" i="38655"/>
  <c r="D15" i="38656"/>
  <c r="D20" i="38656"/>
  <c r="D23" i="38656"/>
  <c r="D28" i="38656"/>
  <c r="J39" i="38655"/>
  <c r="G51" i="38656"/>
  <c r="B12" i="41"/>
  <c r="E16" i="20"/>
  <c r="F22" i="41"/>
  <c r="G22" i="41" s="1"/>
  <c r="E32" i="20"/>
  <c r="G51" i="38655"/>
  <c r="D45" i="38656"/>
  <c r="E46" i="20"/>
  <c r="E51" i="20"/>
  <c r="B17" i="39"/>
  <c r="B21" i="18"/>
  <c r="D21" i="8"/>
  <c r="D17" i="8"/>
  <c r="J35" i="11"/>
  <c r="G39" i="10"/>
  <c r="G44" i="10"/>
  <c r="D31" i="11"/>
  <c r="F50" i="41"/>
  <c r="G50" i="41" s="1"/>
  <c r="E50" i="18"/>
  <c r="D50" i="10"/>
  <c r="D16" i="38656"/>
  <c r="E28" i="20"/>
  <c r="J31" i="26"/>
  <c r="B28" i="19"/>
  <c r="G51" i="10"/>
  <c r="B24" i="19"/>
  <c r="J37" i="11"/>
  <c r="G23" i="26"/>
  <c r="G27" i="26"/>
  <c r="E43" i="18"/>
  <c r="B15" i="39"/>
  <c r="J42" i="11"/>
  <c r="D42" i="11"/>
  <c r="G26" i="10"/>
  <c r="F20" i="41"/>
  <c r="G20" i="41" s="1"/>
  <c r="B28" i="20"/>
  <c r="H13" i="18"/>
  <c r="H51" i="18"/>
  <c r="D33" i="11"/>
  <c r="D41" i="11"/>
  <c r="D51" i="38656"/>
  <c r="J20" i="38655"/>
  <c r="B13" i="19"/>
  <c r="E24" i="20"/>
  <c r="J31" i="38655"/>
  <c r="D51" i="19"/>
  <c r="D51" i="26"/>
  <c r="D15" i="27"/>
  <c r="D15" i="76" s="1"/>
  <c r="B15" i="76"/>
  <c r="E18" i="20"/>
  <c r="G34" i="26"/>
  <c r="G20" i="38656"/>
  <c r="G35" i="38656"/>
  <c r="B31" i="20"/>
  <c r="B26" i="41"/>
  <c r="J13" i="38655"/>
  <c r="G42" i="38656"/>
  <c r="G45" i="38656"/>
  <c r="D42" i="9"/>
  <c r="D14" i="38656"/>
  <c r="B33" i="19"/>
  <c r="G32" i="38656"/>
  <c r="G15" i="26"/>
  <c r="G22" i="38656"/>
  <c r="G36" i="38656"/>
  <c r="J20" i="11"/>
  <c r="B17" i="20"/>
  <c r="B50" i="20"/>
  <c r="G51" i="11"/>
  <c r="B21" i="19"/>
  <c r="E17" i="20"/>
  <c r="E31" i="20"/>
  <c r="B17" i="41"/>
  <c r="G27" i="11"/>
  <c r="G41" i="11"/>
  <c r="B34" i="19"/>
  <c r="G41" i="26"/>
  <c r="D40" i="8"/>
  <c r="B40" i="18"/>
  <c r="G37" i="11"/>
  <c r="F25" i="41"/>
  <c r="G25" i="41" s="1"/>
  <c r="D32" i="11"/>
  <c r="G21" i="26"/>
  <c r="D27" i="9"/>
  <c r="D15" i="8"/>
  <c r="B15" i="18"/>
  <c r="D41" i="27"/>
  <c r="D41" i="76" s="1"/>
  <c r="B41" i="76"/>
  <c r="E22" i="20"/>
  <c r="B35" i="41"/>
  <c r="G21" i="11"/>
  <c r="D38" i="9"/>
  <c r="H38" i="18"/>
  <c r="E50" i="20"/>
  <c r="F33" i="41"/>
  <c r="G33" i="41" s="1"/>
  <c r="G27" i="10"/>
  <c r="D48" i="70"/>
  <c r="E30" i="5"/>
  <c r="C30" i="41"/>
  <c r="D30" i="41"/>
  <c r="D46" i="7"/>
  <c r="D39" i="11"/>
  <c r="E25" i="20"/>
  <c r="D38" i="7"/>
  <c r="D45" i="11"/>
  <c r="F22" i="45"/>
  <c r="J32" i="9"/>
  <c r="D46" i="9"/>
  <c r="G51" i="8"/>
  <c r="J18" i="11"/>
  <c r="E21" i="18"/>
  <c r="D21" i="10"/>
  <c r="D43" i="9"/>
  <c r="G35" i="8"/>
  <c r="D38" i="8"/>
  <c r="B38" i="18"/>
  <c r="D18" i="9"/>
  <c r="H27" i="18"/>
  <c r="H39" i="18"/>
  <c r="D21" i="26"/>
  <c r="D21" i="19"/>
  <c r="D27" i="26"/>
  <c r="J37" i="26"/>
  <c r="D30" i="38658"/>
  <c r="G32" i="38655"/>
  <c r="G42" i="38655"/>
  <c r="B19" i="39"/>
  <c r="B20" i="39"/>
  <c r="B27" i="40"/>
  <c r="B36" i="40"/>
  <c r="D36" i="40" s="1"/>
  <c r="B40" i="40"/>
  <c r="D40" i="40" s="1"/>
  <c r="F13" i="41"/>
  <c r="G13" i="41" s="1"/>
  <c r="D25" i="38658"/>
  <c r="D34" i="38658"/>
  <c r="D44" i="38658"/>
  <c r="H18" i="18"/>
  <c r="H26" i="18"/>
  <c r="H31" i="18"/>
  <c r="H36" i="18"/>
  <c r="H42" i="18"/>
  <c r="D11" i="27"/>
  <c r="D11" i="76" s="1"/>
  <c r="B11" i="76"/>
  <c r="J23" i="26"/>
  <c r="B14" i="41"/>
  <c r="H17" i="18"/>
  <c r="B13" i="39"/>
  <c r="B39" i="39"/>
  <c r="B45" i="39"/>
  <c r="B27" i="39"/>
  <c r="B11" i="40"/>
  <c r="J11" i="26"/>
  <c r="D11" i="9"/>
  <c r="E32" i="18"/>
  <c r="D32" i="10"/>
  <c r="B45" i="40"/>
  <c r="D45" i="40" s="1"/>
  <c r="D11" i="8"/>
  <c r="B11" i="18"/>
  <c r="D26" i="10"/>
  <c r="B22" i="18"/>
  <c r="D22" i="8"/>
  <c r="D25" i="9"/>
  <c r="G22" i="11"/>
  <c r="J25" i="26"/>
  <c r="G13" i="38655"/>
  <c r="J18" i="26"/>
  <c r="D44" i="26"/>
  <c r="D44" i="19"/>
  <c r="D35" i="26"/>
  <c r="D35" i="19"/>
  <c r="D20" i="26"/>
  <c r="D20" i="19"/>
  <c r="G50" i="38655"/>
  <c r="G15" i="8"/>
  <c r="G27" i="8"/>
  <c r="D16" i="8"/>
  <c r="J28" i="26"/>
  <c r="G25" i="38655"/>
  <c r="H34" i="18"/>
  <c r="B35" i="18"/>
  <c r="D35" i="8"/>
  <c r="B50" i="18"/>
  <c r="D50" i="8"/>
  <c r="B23" i="39"/>
  <c r="B20" i="20"/>
  <c r="B22" i="20"/>
  <c r="G43" i="11"/>
  <c r="E37" i="18"/>
  <c r="D37" i="10"/>
  <c r="G27" i="38655"/>
  <c r="E40" i="20"/>
  <c r="D26" i="8"/>
  <c r="B26" i="18"/>
  <c r="F40" i="41"/>
  <c r="G40" i="41" s="1"/>
  <c r="B40" i="41"/>
  <c r="B14" i="19"/>
  <c r="D25" i="27"/>
  <c r="D25" i="76" s="1"/>
  <c r="B25" i="76"/>
  <c r="F27" i="41"/>
  <c r="G27" i="41" s="1"/>
  <c r="D14" i="8"/>
  <c r="B14" i="18"/>
  <c r="D14" i="27"/>
  <c r="D14" i="76" s="1"/>
  <c r="B14" i="76"/>
  <c r="B40" i="20"/>
  <c r="G24" i="38656"/>
  <c r="B19" i="20"/>
  <c r="B44" i="39"/>
  <c r="G34" i="8"/>
  <c r="D26" i="27"/>
  <c r="D26" i="76" s="1"/>
  <c r="B26" i="76"/>
  <c r="G41" i="38656"/>
  <c r="B15" i="19"/>
  <c r="J14" i="38655"/>
  <c r="D36" i="38656"/>
  <c r="B16" i="20"/>
  <c r="E15" i="20"/>
  <c r="E19" i="20"/>
  <c r="F31" i="41"/>
  <c r="G31" i="41" s="1"/>
  <c r="E42" i="20"/>
  <c r="J24" i="9"/>
  <c r="D42" i="8"/>
  <c r="B42" i="18"/>
  <c r="G35" i="10"/>
  <c r="J35" i="38655"/>
  <c r="G15" i="38656"/>
  <c r="F19" i="41"/>
  <c r="G19" i="41" s="1"/>
  <c r="E35" i="18"/>
  <c r="D35" i="10"/>
  <c r="E41" i="18"/>
  <c r="D41" i="10"/>
  <c r="D31" i="26"/>
  <c r="D31" i="19"/>
  <c r="J45" i="26"/>
  <c r="B41" i="39"/>
  <c r="F28" i="41"/>
  <c r="G28" i="41" s="1"/>
  <c r="G34" i="11"/>
  <c r="D12" i="19"/>
  <c r="D12" i="26"/>
  <c r="D31" i="27"/>
  <c r="D31" i="76" s="1"/>
  <c r="B31" i="76"/>
  <c r="J24" i="38655"/>
  <c r="B37" i="40"/>
  <c r="D37" i="40" s="1"/>
  <c r="B11" i="19"/>
  <c r="B21" i="39"/>
  <c r="B37" i="20"/>
  <c r="J25" i="9"/>
  <c r="G26" i="26"/>
  <c r="F41" i="41"/>
  <c r="G41" i="41" s="1"/>
  <c r="J32" i="11"/>
  <c r="G41" i="10"/>
  <c r="B46" i="19"/>
  <c r="G50" i="38656"/>
  <c r="G25" i="38656"/>
  <c r="B20" i="19"/>
  <c r="E39" i="20"/>
  <c r="G33" i="10"/>
  <c r="E51" i="18"/>
  <c r="D51" i="10"/>
  <c r="J51" i="26"/>
  <c r="B42" i="76"/>
  <c r="D42" i="27"/>
  <c r="D42" i="76" s="1"/>
  <c r="E33" i="20"/>
  <c r="D26" i="19"/>
  <c r="D26" i="26"/>
  <c r="B27" i="19"/>
  <c r="D45" i="26"/>
  <c r="B35" i="20"/>
  <c r="G19" i="38656"/>
  <c r="G31" i="38656"/>
  <c r="G42" i="26"/>
  <c r="B20" i="41"/>
  <c r="G23" i="10"/>
  <c r="J28" i="11"/>
  <c r="G44" i="26"/>
  <c r="G13" i="8"/>
  <c r="B19" i="19"/>
  <c r="B50" i="76"/>
  <c r="D50" i="27"/>
  <c r="D50" i="76" s="1"/>
  <c r="G18" i="38656"/>
  <c r="G34" i="38656"/>
  <c r="B23" i="41"/>
  <c r="G35" i="26"/>
  <c r="G31" i="10"/>
  <c r="B51" i="76"/>
  <c r="D51" i="27"/>
  <c r="D51" i="76" s="1"/>
  <c r="F15" i="41"/>
  <c r="G15" i="41" s="1"/>
  <c r="B18" i="19"/>
  <c r="D39" i="27"/>
  <c r="D39" i="76" s="1"/>
  <c r="B39" i="76"/>
  <c r="D37" i="19"/>
  <c r="E11" i="20"/>
  <c r="G38" i="10"/>
  <c r="D45" i="19"/>
  <c r="D25" i="38656"/>
  <c r="E22" i="18"/>
  <c r="D22" i="10"/>
  <c r="G36" i="11"/>
  <c r="B42" i="19"/>
  <c r="F21" i="41"/>
  <c r="G21" i="41" s="1"/>
  <c r="D28" i="8"/>
  <c r="B28" i="18"/>
  <c r="E14" i="20"/>
  <c r="J25" i="38655"/>
  <c r="B51" i="20"/>
  <c r="D19" i="8"/>
  <c r="B19" i="18"/>
  <c r="B31" i="41"/>
  <c r="G50" i="11"/>
  <c r="D34" i="11"/>
  <c r="D13" i="27"/>
  <c r="D13" i="76" s="1"/>
  <c r="B13" i="76"/>
  <c r="E48" i="15"/>
  <c r="E48" i="41" s="1"/>
  <c r="E11" i="16"/>
  <c r="E48" i="16" s="1"/>
  <c r="E11" i="41"/>
  <c r="C25" i="41"/>
  <c r="D25" i="41"/>
  <c r="C34" i="41"/>
  <c r="D34" i="41"/>
  <c r="F48" i="52"/>
  <c r="C16" i="41"/>
  <c r="D16" i="41"/>
  <c r="C15" i="41"/>
  <c r="D15" i="41"/>
  <c r="C28" i="41"/>
  <c r="D28" i="41"/>
  <c r="D31" i="7"/>
  <c r="K11" i="3188"/>
  <c r="F20" i="45"/>
  <c r="F12" i="45"/>
  <c r="D24" i="7"/>
  <c r="F33" i="45"/>
  <c r="D32" i="7"/>
  <c r="F13" i="45"/>
  <c r="F31" i="45"/>
  <c r="F15" i="45"/>
  <c r="D40" i="11"/>
  <c r="F26" i="45"/>
  <c r="F51" i="45"/>
  <c r="G16" i="11"/>
  <c r="H43" i="18"/>
  <c r="G43" i="26"/>
  <c r="G14" i="11"/>
  <c r="E23" i="18"/>
  <c r="D23" i="10"/>
  <c r="G24" i="10"/>
  <c r="D35" i="9"/>
  <c r="D23" i="11"/>
  <c r="D32" i="8"/>
  <c r="B32" i="18"/>
  <c r="J13" i="9"/>
  <c r="D16" i="9"/>
  <c r="D36" i="8"/>
  <c r="B36" i="18"/>
  <c r="D43" i="38656"/>
  <c r="D16" i="11"/>
  <c r="G16" i="10"/>
  <c r="D21" i="11"/>
  <c r="G18" i="11"/>
  <c r="G45" i="8"/>
  <c r="E31" i="18"/>
  <c r="D31" i="10"/>
  <c r="H14" i="18"/>
  <c r="H37" i="18"/>
  <c r="D17" i="26"/>
  <c r="D17" i="19"/>
  <c r="D25" i="26"/>
  <c r="D25" i="19"/>
  <c r="D36" i="19"/>
  <c r="D36" i="26"/>
  <c r="G11" i="38655"/>
  <c r="G12" i="38655"/>
  <c r="G14" i="38655"/>
  <c r="G18" i="38655"/>
  <c r="G22" i="38655"/>
  <c r="G26" i="38655"/>
  <c r="G31" i="38655"/>
  <c r="G35" i="38655"/>
  <c r="G41" i="38655"/>
  <c r="D47" i="38658"/>
  <c r="B14" i="40"/>
  <c r="B15" i="40"/>
  <c r="D15" i="40" s="1"/>
  <c r="B19" i="40"/>
  <c r="D19" i="40" s="1"/>
  <c r="B22" i="40"/>
  <c r="D22" i="40" s="1"/>
  <c r="B24" i="40"/>
  <c r="D24" i="40" s="1"/>
  <c r="B25" i="39"/>
  <c r="B26" i="39"/>
  <c r="B28" i="39"/>
  <c r="B35" i="40"/>
  <c r="D35" i="40" s="1"/>
  <c r="B38" i="40"/>
  <c r="D38" i="40" s="1"/>
  <c r="B44" i="40"/>
  <c r="D44" i="40" s="1"/>
  <c r="B50" i="39"/>
  <c r="D40" i="38658"/>
  <c r="J31" i="11"/>
  <c r="H16" i="18"/>
  <c r="H33" i="18"/>
  <c r="J17" i="26"/>
  <c r="J27" i="26"/>
  <c r="J38" i="26"/>
  <c r="B11" i="39"/>
  <c r="B34" i="39"/>
  <c r="D50" i="19"/>
  <c r="D50" i="26"/>
  <c r="H11" i="18"/>
  <c r="E33" i="18"/>
  <c r="D33" i="10"/>
  <c r="E24" i="18"/>
  <c r="D24" i="10"/>
  <c r="D28" i="9"/>
  <c r="H21" i="18"/>
  <c r="G43" i="38655"/>
  <c r="D12" i="8"/>
  <c r="B12" i="18"/>
  <c r="J21" i="26"/>
  <c r="J34" i="26"/>
  <c r="G23" i="38655"/>
  <c r="J16" i="26"/>
  <c r="J41" i="26"/>
  <c r="G21" i="38655"/>
  <c r="D37" i="26"/>
  <c r="D22" i="19"/>
  <c r="D22" i="26"/>
  <c r="D14" i="26"/>
  <c r="D14" i="19"/>
  <c r="G17" i="8"/>
  <c r="G32" i="8"/>
  <c r="D24" i="8"/>
  <c r="B24" i="18"/>
  <c r="B24" i="20"/>
  <c r="G46" i="8"/>
  <c r="G13" i="11"/>
  <c r="G18" i="8"/>
  <c r="D44" i="9"/>
  <c r="G15" i="38655"/>
  <c r="H19" i="18"/>
  <c r="F39" i="41"/>
  <c r="G39" i="41" s="1"/>
  <c r="F51" i="41"/>
  <c r="D18" i="27"/>
  <c r="D18" i="76" s="1"/>
  <c r="B18" i="76"/>
  <c r="E20" i="20"/>
  <c r="J39" i="11"/>
  <c r="G45" i="26"/>
  <c r="J19" i="38655"/>
  <c r="B42" i="41"/>
  <c r="G20" i="8"/>
  <c r="B38" i="76"/>
  <c r="D38" i="27"/>
  <c r="D38" i="76" s="1"/>
  <c r="B18" i="39"/>
  <c r="B38" i="41"/>
  <c r="J26" i="9"/>
  <c r="G19" i="8"/>
  <c r="B36" i="19"/>
  <c r="F26" i="41"/>
  <c r="G26" i="41" s="1"/>
  <c r="J45" i="11"/>
  <c r="G20" i="26"/>
  <c r="B46" i="41"/>
  <c r="D19" i="9"/>
  <c r="G45" i="10"/>
  <c r="E40" i="18"/>
  <c r="D40" i="10"/>
  <c r="B23" i="19"/>
  <c r="J26" i="38655"/>
  <c r="E41" i="20"/>
  <c r="B18" i="20"/>
  <c r="D46" i="8"/>
  <c r="B46" i="18"/>
  <c r="D23" i="38658"/>
  <c r="J46" i="11"/>
  <c r="D24" i="38656"/>
  <c r="B44" i="20"/>
  <c r="B39" i="19"/>
  <c r="J50" i="38655"/>
  <c r="J26" i="26"/>
  <c r="D42" i="26"/>
  <c r="D42" i="19"/>
  <c r="B32" i="40"/>
  <c r="D32" i="40" s="1"/>
  <c r="J28" i="38655"/>
  <c r="J27" i="38655"/>
  <c r="E34" i="18"/>
  <c r="D34" i="10"/>
  <c r="G28" i="10"/>
  <c r="G37" i="38656"/>
  <c r="G25" i="11"/>
  <c r="D31" i="9"/>
  <c r="J51" i="11"/>
  <c r="D35" i="11"/>
  <c r="G14" i="26"/>
  <c r="G21" i="10"/>
  <c r="E26" i="20"/>
  <c r="G46" i="26"/>
  <c r="B36" i="20"/>
  <c r="J24" i="11"/>
  <c r="G16" i="26"/>
  <c r="E37" i="20"/>
  <c r="E25" i="18"/>
  <c r="D25" i="10"/>
  <c r="G39" i="11"/>
  <c r="G45" i="11"/>
  <c r="B41" i="19"/>
  <c r="G18" i="26"/>
  <c r="B16" i="39"/>
  <c r="J19" i="26"/>
  <c r="G32" i="11"/>
  <c r="D34" i="38656"/>
  <c r="G40" i="26"/>
  <c r="G17" i="38656"/>
  <c r="G26" i="38656"/>
  <c r="G39" i="38656"/>
  <c r="J40" i="38655"/>
  <c r="B27" i="41"/>
  <c r="B14" i="20"/>
  <c r="G14" i="38656"/>
  <c r="G28" i="38656"/>
  <c r="J42" i="38655"/>
  <c r="B38" i="39"/>
  <c r="G19" i="10"/>
  <c r="G31" i="26"/>
  <c r="B39" i="41"/>
  <c r="B24" i="41"/>
  <c r="B31" i="19"/>
  <c r="B44" i="19"/>
  <c r="D33" i="19"/>
  <c r="B39" i="20"/>
  <c r="G36" i="10"/>
  <c r="G50" i="10"/>
  <c r="B38" i="19"/>
  <c r="G22" i="26"/>
  <c r="D37" i="8"/>
  <c r="B37" i="18"/>
  <c r="G42" i="11"/>
  <c r="D32" i="19"/>
  <c r="G38" i="26"/>
  <c r="B51" i="39"/>
  <c r="H51" i="39" s="1"/>
  <c r="G26" i="8"/>
  <c r="G44" i="11"/>
  <c r="B50" i="19"/>
  <c r="B32" i="41"/>
  <c r="B32" i="19"/>
  <c r="B42" i="20"/>
  <c r="E46" i="18"/>
  <c r="D46" i="10"/>
  <c r="J35" i="26"/>
  <c r="G39" i="26"/>
  <c r="B22" i="41"/>
  <c r="B51" i="19"/>
  <c r="B35" i="19"/>
  <c r="B32" i="20"/>
  <c r="D30" i="38655"/>
  <c r="G30" i="19"/>
  <c r="F30" i="19"/>
  <c r="D30" i="20"/>
  <c r="H54" i="23"/>
  <c r="H48" i="7"/>
  <c r="G48" i="7"/>
  <c r="I48" i="7"/>
  <c r="F48" i="7"/>
  <c r="D22" i="7"/>
  <c r="D50" i="11"/>
  <c r="D21" i="7"/>
  <c r="D45" i="7"/>
  <c r="D37" i="7"/>
  <c r="D27" i="7"/>
  <c r="D44" i="11"/>
  <c r="F45" i="45"/>
  <c r="F36" i="45"/>
  <c r="B16" i="19"/>
  <c r="J48" i="20" l="1"/>
  <c r="I32" i="38658"/>
  <c r="I37" i="45"/>
  <c r="G37" i="44" s="1"/>
  <c r="E37" i="42" s="1"/>
  <c r="I35" i="45"/>
  <c r="G35" i="45" s="1"/>
  <c r="I40" i="45"/>
  <c r="G40" i="45" s="1"/>
  <c r="I23" i="45"/>
  <c r="I23" i="44" s="1"/>
  <c r="F23" i="42" s="1"/>
  <c r="I19" i="45"/>
  <c r="E19" i="45" s="1"/>
  <c r="H19" i="42" s="1"/>
  <c r="G18" i="44"/>
  <c r="E18" i="42" s="1"/>
  <c r="G18" i="45"/>
  <c r="E38" i="45"/>
  <c r="H38" i="42" s="1"/>
  <c r="G38" i="44"/>
  <c r="E38" i="42" s="1"/>
  <c r="I18" i="43"/>
  <c r="B18" i="42" s="1"/>
  <c r="E18" i="45"/>
  <c r="H18" i="42" s="1"/>
  <c r="E18" i="44"/>
  <c r="D18" i="42" s="1"/>
  <c r="C18" i="44"/>
  <c r="C18" i="42" s="1"/>
  <c r="C18" i="45"/>
  <c r="G18" i="42" s="1"/>
  <c r="I32" i="45"/>
  <c r="C32" i="44" s="1"/>
  <c r="C32" i="42" s="1"/>
  <c r="E50" i="45"/>
  <c r="H50" i="42" s="1"/>
  <c r="I45" i="45"/>
  <c r="G45" i="44" s="1"/>
  <c r="E45" i="42" s="1"/>
  <c r="I17" i="45"/>
  <c r="I43" i="45"/>
  <c r="I27" i="45"/>
  <c r="I27" i="43" s="1"/>
  <c r="B27" i="42" s="1"/>
  <c r="I14" i="45"/>
  <c r="G14" i="45" s="1"/>
  <c r="G42" i="44"/>
  <c r="E42" i="42" s="1"/>
  <c r="C44" i="45"/>
  <c r="G44" i="42" s="1"/>
  <c r="E41" i="44"/>
  <c r="D41" i="42" s="1"/>
  <c r="E41" i="45"/>
  <c r="H41" i="42" s="1"/>
  <c r="G24" i="44"/>
  <c r="E24" i="42" s="1"/>
  <c r="C16" i="44"/>
  <c r="C16" i="42" s="1"/>
  <c r="E24" i="45"/>
  <c r="H24" i="42" s="1"/>
  <c r="E25" i="45"/>
  <c r="H25" i="42" s="1"/>
  <c r="I25" i="44"/>
  <c r="F25" i="42" s="1"/>
  <c r="I16" i="43"/>
  <c r="B16" i="42" s="1"/>
  <c r="E25" i="44"/>
  <c r="D25" i="42" s="1"/>
  <c r="G50" i="44"/>
  <c r="E50" i="42" s="1"/>
  <c r="G44" i="44"/>
  <c r="E44" i="42" s="1"/>
  <c r="I50" i="44"/>
  <c r="F50" i="42" s="1"/>
  <c r="C42" i="44"/>
  <c r="C42" i="42" s="1"/>
  <c r="C41" i="44"/>
  <c r="C41" i="42" s="1"/>
  <c r="G41" i="45"/>
  <c r="G50" i="45"/>
  <c r="G41" i="44"/>
  <c r="E41" i="42" s="1"/>
  <c r="C50" i="44"/>
  <c r="C50" i="42" s="1"/>
  <c r="I41" i="44"/>
  <c r="F41" i="42" s="1"/>
  <c r="C41" i="45"/>
  <c r="G41" i="42" s="1"/>
  <c r="E42" i="45"/>
  <c r="H42" i="42" s="1"/>
  <c r="E44" i="45"/>
  <c r="H44" i="42" s="1"/>
  <c r="I50" i="43"/>
  <c r="B50" i="42" s="1"/>
  <c r="G25" i="44"/>
  <c r="E25" i="42" s="1"/>
  <c r="E16" i="44"/>
  <c r="D16" i="42" s="1"/>
  <c r="I25" i="43"/>
  <c r="B25" i="42" s="1"/>
  <c r="E16" i="45"/>
  <c r="H16" i="42" s="1"/>
  <c r="G16" i="44"/>
  <c r="E16" i="42" s="1"/>
  <c r="I16" i="44"/>
  <c r="F16" i="42" s="1"/>
  <c r="C25" i="45"/>
  <c r="G25" i="42" s="1"/>
  <c r="C16" i="45"/>
  <c r="G16" i="42" s="1"/>
  <c r="C25" i="44"/>
  <c r="C25" i="42" s="1"/>
  <c r="C50" i="45"/>
  <c r="G50" i="42" s="1"/>
  <c r="E42" i="44"/>
  <c r="D42" i="42" s="1"/>
  <c r="G42" i="45"/>
  <c r="I42" i="44"/>
  <c r="F42" i="42" s="1"/>
  <c r="I42" i="43"/>
  <c r="B42" i="42" s="1"/>
  <c r="D42" i="38658"/>
  <c r="I42" i="38658" s="1"/>
  <c r="F48" i="45"/>
  <c r="I46" i="45"/>
  <c r="J48" i="11"/>
  <c r="D48" i="38656"/>
  <c r="D29" i="38658"/>
  <c r="I29" i="38658" s="1"/>
  <c r="F32" i="19"/>
  <c r="G43" i="18"/>
  <c r="K43" i="38667"/>
  <c r="F33" i="19"/>
  <c r="G27" i="18"/>
  <c r="K27" i="38667"/>
  <c r="J48" i="9"/>
  <c r="C39" i="44"/>
  <c r="C39" i="42" s="1"/>
  <c r="E39" i="44"/>
  <c r="D39" i="42" s="1"/>
  <c r="I39" i="43"/>
  <c r="B39" i="42" s="1"/>
  <c r="C39" i="45"/>
  <c r="G39" i="42" s="1"/>
  <c r="I39" i="44"/>
  <c r="F39" i="42" s="1"/>
  <c r="I36" i="45"/>
  <c r="G36" i="45" s="1"/>
  <c r="D32" i="20"/>
  <c r="D50" i="38656"/>
  <c r="D39" i="20"/>
  <c r="C24" i="41"/>
  <c r="D24" i="41"/>
  <c r="C39" i="41"/>
  <c r="D39" i="41"/>
  <c r="D14" i="20"/>
  <c r="D16" i="39"/>
  <c r="F16" i="39"/>
  <c r="H16" i="39"/>
  <c r="K40" i="38667"/>
  <c r="G40" i="18"/>
  <c r="C38" i="41"/>
  <c r="D38" i="41"/>
  <c r="D24" i="20"/>
  <c r="F44" i="38659"/>
  <c r="I44" i="38658"/>
  <c r="B48" i="39"/>
  <c r="F11" i="39"/>
  <c r="H11" i="39"/>
  <c r="D11" i="39"/>
  <c r="E16" i="5"/>
  <c r="H26" i="39"/>
  <c r="D26" i="39"/>
  <c r="F26" i="39"/>
  <c r="D45" i="38655"/>
  <c r="G45" i="19"/>
  <c r="F25" i="19"/>
  <c r="E14" i="5"/>
  <c r="D32" i="18"/>
  <c r="J32" i="38667"/>
  <c r="K23" i="38667"/>
  <c r="G23" i="18"/>
  <c r="I33" i="45"/>
  <c r="G33" i="45" s="1"/>
  <c r="D31" i="41"/>
  <c r="C31" i="41"/>
  <c r="D19" i="18"/>
  <c r="J19" i="38667"/>
  <c r="D16" i="27"/>
  <c r="D16" i="76" s="1"/>
  <c r="B16" i="76"/>
  <c r="D23" i="41"/>
  <c r="C23" i="41"/>
  <c r="D25" i="38655"/>
  <c r="G25" i="19"/>
  <c r="B48" i="19"/>
  <c r="F12" i="19"/>
  <c r="H41" i="39"/>
  <c r="D41" i="39"/>
  <c r="F41" i="39"/>
  <c r="F31" i="19"/>
  <c r="G41" i="18"/>
  <c r="K41" i="38667"/>
  <c r="G19" i="20"/>
  <c r="D16" i="20"/>
  <c r="D40" i="41"/>
  <c r="C40" i="41"/>
  <c r="J26" i="38667"/>
  <c r="D26" i="18"/>
  <c r="G37" i="18"/>
  <c r="K37" i="38667"/>
  <c r="D22" i="20"/>
  <c r="D23" i="39"/>
  <c r="F23" i="39"/>
  <c r="H23" i="39"/>
  <c r="E34" i="5"/>
  <c r="F35" i="19"/>
  <c r="D34" i="38655"/>
  <c r="G34" i="19"/>
  <c r="D48" i="9"/>
  <c r="I38" i="38658"/>
  <c r="F38" i="38659"/>
  <c r="H45" i="39"/>
  <c r="D45" i="39"/>
  <c r="F45" i="39"/>
  <c r="F13" i="39"/>
  <c r="H13" i="39"/>
  <c r="D13" i="39"/>
  <c r="E17" i="5"/>
  <c r="D14" i="41"/>
  <c r="C14" i="41"/>
  <c r="E42" i="5"/>
  <c r="E31" i="5"/>
  <c r="E18" i="5"/>
  <c r="D39" i="38655"/>
  <c r="G39" i="19"/>
  <c r="D28" i="38655"/>
  <c r="G28" i="19"/>
  <c r="D20" i="38655"/>
  <c r="G20" i="19"/>
  <c r="G25" i="20"/>
  <c r="E38" i="5"/>
  <c r="D35" i="41"/>
  <c r="C35" i="41"/>
  <c r="G22" i="20"/>
  <c r="D15" i="18"/>
  <c r="J15" i="38667"/>
  <c r="J23" i="38655"/>
  <c r="J34" i="11"/>
  <c r="D17" i="41"/>
  <c r="C17" i="41"/>
  <c r="G17" i="20"/>
  <c r="D50" i="20"/>
  <c r="D17" i="20"/>
  <c r="D26" i="41"/>
  <c r="C26" i="41"/>
  <c r="F51" i="19"/>
  <c r="G24" i="20"/>
  <c r="E51" i="5"/>
  <c r="D28" i="20"/>
  <c r="D17" i="38655"/>
  <c r="G17" i="19"/>
  <c r="G28" i="20"/>
  <c r="D27" i="18"/>
  <c r="J27" i="38667"/>
  <c r="I51" i="19"/>
  <c r="D12" i="39"/>
  <c r="F12" i="39"/>
  <c r="H12" i="39"/>
  <c r="D12" i="38655"/>
  <c r="G12" i="19"/>
  <c r="G45" i="18"/>
  <c r="K45" i="38667"/>
  <c r="D24" i="39"/>
  <c r="F24" i="39"/>
  <c r="H24" i="39"/>
  <c r="D37" i="38655"/>
  <c r="G37" i="19"/>
  <c r="F38" i="19"/>
  <c r="D48" i="26"/>
  <c r="E45" i="5"/>
  <c r="D25" i="18"/>
  <c r="J25" i="38667"/>
  <c r="F24" i="19"/>
  <c r="D38" i="20"/>
  <c r="J38" i="11"/>
  <c r="D46" i="39"/>
  <c r="F46" i="39"/>
  <c r="H46" i="39"/>
  <c r="G15" i="19"/>
  <c r="D15" i="38655"/>
  <c r="D15" i="20"/>
  <c r="C50" i="41"/>
  <c r="D50" i="41"/>
  <c r="G23" i="20"/>
  <c r="G44" i="18"/>
  <c r="K44" i="38667"/>
  <c r="K20" i="38667"/>
  <c r="G20" i="18"/>
  <c r="E24" i="5"/>
  <c r="D26" i="38655"/>
  <c r="G26" i="19"/>
  <c r="D18" i="38655"/>
  <c r="G18" i="19"/>
  <c r="F34" i="19"/>
  <c r="G42" i="18"/>
  <c r="K42" i="38667"/>
  <c r="G17" i="18"/>
  <c r="K17" i="38667"/>
  <c r="K13" i="38667"/>
  <c r="G13" i="18"/>
  <c r="D51" i="18"/>
  <c r="I38" i="43"/>
  <c r="B38" i="42" s="1"/>
  <c r="I38" i="44"/>
  <c r="F38" i="42" s="1"/>
  <c r="E38" i="44"/>
  <c r="D38" i="42" s="1"/>
  <c r="C38" i="44"/>
  <c r="C38" i="42" s="1"/>
  <c r="C38" i="45"/>
  <c r="G38" i="42" s="1"/>
  <c r="D48" i="10"/>
  <c r="C43" i="41"/>
  <c r="D43" i="41"/>
  <c r="I44" i="43"/>
  <c r="B44" i="42" s="1"/>
  <c r="E44" i="44"/>
  <c r="D44" i="42" s="1"/>
  <c r="I44" i="44"/>
  <c r="F44" i="42" s="1"/>
  <c r="C44" i="44"/>
  <c r="C44" i="42" s="1"/>
  <c r="F32" i="39"/>
  <c r="H32" i="39"/>
  <c r="D32" i="39"/>
  <c r="D37" i="38658"/>
  <c r="D21" i="38658"/>
  <c r="E26" i="18"/>
  <c r="D46" i="38658"/>
  <c r="D35" i="38658"/>
  <c r="D16" i="7"/>
  <c r="G16" i="8"/>
  <c r="D19" i="38656"/>
  <c r="D27" i="38656"/>
  <c r="D42" i="20"/>
  <c r="D32" i="41"/>
  <c r="C32" i="41"/>
  <c r="D37" i="18"/>
  <c r="J37" i="38667"/>
  <c r="D38" i="38656"/>
  <c r="D40" i="27"/>
  <c r="D40" i="76" s="1"/>
  <c r="B40" i="76"/>
  <c r="J26" i="11"/>
  <c r="D18" i="20"/>
  <c r="G41" i="20"/>
  <c r="C42" i="41"/>
  <c r="D42" i="41"/>
  <c r="F37" i="19"/>
  <c r="E21" i="5"/>
  <c r="G13" i="19"/>
  <c r="D13" i="38655"/>
  <c r="D38" i="38655"/>
  <c r="G38" i="19"/>
  <c r="I47" i="38658"/>
  <c r="F47" i="38659"/>
  <c r="F17" i="19"/>
  <c r="G31" i="18"/>
  <c r="K31" i="38667"/>
  <c r="I51" i="45"/>
  <c r="G51" i="45" s="1"/>
  <c r="I13" i="45"/>
  <c r="G13" i="45" s="1"/>
  <c r="C11" i="5"/>
  <c r="C48" i="5" s="1"/>
  <c r="K48" i="3188"/>
  <c r="F48" i="78"/>
  <c r="B11" i="43"/>
  <c r="E48" i="20"/>
  <c r="G11" i="20"/>
  <c r="F45" i="19"/>
  <c r="G33" i="20"/>
  <c r="D37" i="20"/>
  <c r="D35" i="38655"/>
  <c r="G35" i="19"/>
  <c r="G35" i="18"/>
  <c r="K35" i="38667"/>
  <c r="J42" i="38667"/>
  <c r="D42" i="18"/>
  <c r="G19" i="19"/>
  <c r="D19" i="38655"/>
  <c r="D19" i="20"/>
  <c r="D40" i="20"/>
  <c r="G40" i="20"/>
  <c r="D50" i="18"/>
  <c r="F44" i="19"/>
  <c r="D22" i="18"/>
  <c r="J22" i="38667"/>
  <c r="J11" i="38667"/>
  <c r="D11" i="18"/>
  <c r="G36" i="19"/>
  <c r="D36" i="38655"/>
  <c r="D19" i="39"/>
  <c r="F19" i="39"/>
  <c r="H19" i="39"/>
  <c r="F26" i="38659"/>
  <c r="I26" i="38658"/>
  <c r="I18" i="38658"/>
  <c r="F18" i="38659"/>
  <c r="F27" i="19"/>
  <c r="E27" i="5"/>
  <c r="D40" i="18"/>
  <c r="J40" i="38667"/>
  <c r="D31" i="38656"/>
  <c r="D23" i="27"/>
  <c r="D23" i="76" s="1"/>
  <c r="B23" i="76"/>
  <c r="D18" i="38656"/>
  <c r="F17" i="39"/>
  <c r="H17" i="39"/>
  <c r="D17" i="39"/>
  <c r="G46" i="20"/>
  <c r="G32" i="20"/>
  <c r="G16" i="20"/>
  <c r="C45" i="41"/>
  <c r="D45" i="41"/>
  <c r="E44" i="5"/>
  <c r="F18" i="19"/>
  <c r="D13" i="38658"/>
  <c r="E32" i="5"/>
  <c r="K28" i="38667"/>
  <c r="G28" i="18"/>
  <c r="G44" i="19"/>
  <c r="D44" i="38655"/>
  <c r="I39" i="38658"/>
  <c r="F39" i="38659"/>
  <c r="F45" i="38659"/>
  <c r="I45" i="38658"/>
  <c r="G12" i="18"/>
  <c r="K12" i="38667"/>
  <c r="G34" i="20"/>
  <c r="D45" i="20"/>
  <c r="D34" i="18"/>
  <c r="J34" i="38667"/>
  <c r="J27" i="11"/>
  <c r="J16" i="38655"/>
  <c r="D27" i="27"/>
  <c r="D27" i="76" s="1"/>
  <c r="B27" i="76"/>
  <c r="D19" i="41"/>
  <c r="C19" i="41"/>
  <c r="J43" i="38667"/>
  <c r="D43" i="18"/>
  <c r="G36" i="20"/>
  <c r="G44" i="20"/>
  <c r="D26" i="20"/>
  <c r="F28" i="19"/>
  <c r="D33" i="18"/>
  <c r="J33" i="38667"/>
  <c r="F41" i="19"/>
  <c r="D31" i="39"/>
  <c r="F31" i="39"/>
  <c r="H31" i="39"/>
  <c r="E46" i="5"/>
  <c r="E15" i="5"/>
  <c r="E35" i="5"/>
  <c r="E12" i="5"/>
  <c r="J25" i="11"/>
  <c r="D43" i="20"/>
  <c r="G19" i="18"/>
  <c r="K19" i="38667"/>
  <c r="J13" i="38667"/>
  <c r="D13" i="18"/>
  <c r="K14" i="38667"/>
  <c r="G14" i="18"/>
  <c r="D44" i="18"/>
  <c r="J44" i="38667"/>
  <c r="F43" i="19"/>
  <c r="K15" i="38667"/>
  <c r="G15" i="18"/>
  <c r="D27" i="38658"/>
  <c r="D36" i="38658"/>
  <c r="D19" i="38658"/>
  <c r="D16" i="19"/>
  <c r="D28" i="38658"/>
  <c r="D23" i="19"/>
  <c r="B18" i="18"/>
  <c r="B45" i="18"/>
  <c r="D45" i="8"/>
  <c r="C22" i="41"/>
  <c r="D22" i="41"/>
  <c r="D32" i="27"/>
  <c r="D32" i="76" s="1"/>
  <c r="B32" i="76"/>
  <c r="D38" i="39"/>
  <c r="F38" i="39"/>
  <c r="H38" i="39"/>
  <c r="C27" i="41"/>
  <c r="D27" i="41"/>
  <c r="D21" i="38655"/>
  <c r="G21" i="19"/>
  <c r="G34" i="18"/>
  <c r="K34" i="38667"/>
  <c r="F42" i="19"/>
  <c r="D44" i="20"/>
  <c r="D46" i="18"/>
  <c r="J46" i="38667"/>
  <c r="D44" i="38656"/>
  <c r="J18" i="38655"/>
  <c r="C46" i="41"/>
  <c r="D46" i="41"/>
  <c r="H18" i="39"/>
  <c r="D18" i="39"/>
  <c r="F18" i="39"/>
  <c r="E19" i="5"/>
  <c r="D24" i="18"/>
  <c r="J24" i="38667"/>
  <c r="D12" i="18"/>
  <c r="J12" i="38667"/>
  <c r="G24" i="18"/>
  <c r="K24" i="38667"/>
  <c r="D40" i="38655"/>
  <c r="G40" i="19"/>
  <c r="F15" i="38659"/>
  <c r="I15" i="38658"/>
  <c r="I40" i="38658"/>
  <c r="F40" i="38659"/>
  <c r="E33" i="5"/>
  <c r="D28" i="39"/>
  <c r="F28" i="39"/>
  <c r="H28" i="39"/>
  <c r="F25" i="39"/>
  <c r="H25" i="39"/>
  <c r="D25" i="39"/>
  <c r="G48" i="38655"/>
  <c r="F36" i="19"/>
  <c r="E37" i="5"/>
  <c r="E43" i="5"/>
  <c r="I26" i="45"/>
  <c r="G26" i="45" s="1"/>
  <c r="I20" i="45"/>
  <c r="D42" i="38656"/>
  <c r="D45" i="27"/>
  <c r="D45" i="76" s="1"/>
  <c r="B45" i="76"/>
  <c r="G42" i="20"/>
  <c r="G15" i="20"/>
  <c r="D14" i="18"/>
  <c r="J14" i="38667"/>
  <c r="D20" i="20"/>
  <c r="D35" i="18"/>
  <c r="J35" i="38667"/>
  <c r="J48" i="26"/>
  <c r="I34" i="38658"/>
  <c r="F34" i="38659"/>
  <c r="D39" i="39"/>
  <c r="F39" i="39"/>
  <c r="H39" i="39"/>
  <c r="I25" i="38658"/>
  <c r="F25" i="38659"/>
  <c r="D41" i="38655"/>
  <c r="G41" i="19"/>
  <c r="E36" i="5"/>
  <c r="E26" i="5"/>
  <c r="D24" i="38655"/>
  <c r="G24" i="19"/>
  <c r="D16" i="38655"/>
  <c r="G16" i="19"/>
  <c r="F21" i="19"/>
  <c r="G50" i="20"/>
  <c r="D17" i="38656"/>
  <c r="G31" i="20"/>
  <c r="D31" i="20"/>
  <c r="G18" i="20"/>
  <c r="E13" i="5"/>
  <c r="D15" i="39"/>
  <c r="F15" i="39"/>
  <c r="H15" i="39"/>
  <c r="J11" i="38655"/>
  <c r="G48" i="38656"/>
  <c r="G48" i="11"/>
  <c r="D12" i="20"/>
  <c r="G11" i="19"/>
  <c r="D11" i="38655"/>
  <c r="D27" i="38655"/>
  <c r="G27" i="19"/>
  <c r="F48" i="41"/>
  <c r="G48" i="41" s="1"/>
  <c r="G11" i="41"/>
  <c r="F40" i="39"/>
  <c r="H40" i="39"/>
  <c r="D40" i="39"/>
  <c r="C11" i="41"/>
  <c r="D11" i="41"/>
  <c r="B48" i="41"/>
  <c r="H22" i="39"/>
  <c r="D22" i="39"/>
  <c r="F22" i="39"/>
  <c r="H14" i="39"/>
  <c r="D14" i="39"/>
  <c r="F14" i="39"/>
  <c r="D46" i="38655"/>
  <c r="G46" i="19"/>
  <c r="F11" i="19"/>
  <c r="E40" i="5"/>
  <c r="D43" i="38655"/>
  <c r="G43" i="19"/>
  <c r="G43" i="20"/>
  <c r="I34" i="45"/>
  <c r="G34" i="45" s="1"/>
  <c r="J30" i="38667"/>
  <c r="D30" i="18"/>
  <c r="I21" i="45"/>
  <c r="G21" i="45" s="1"/>
  <c r="E25" i="5"/>
  <c r="C18" i="41"/>
  <c r="D18" i="41"/>
  <c r="G21" i="20"/>
  <c r="D25" i="20"/>
  <c r="G36" i="18"/>
  <c r="K36" i="38667"/>
  <c r="D23" i="20"/>
  <c r="D27" i="20"/>
  <c r="D13" i="41"/>
  <c r="C13" i="41"/>
  <c r="C41" i="41"/>
  <c r="D41" i="41"/>
  <c r="F39" i="19"/>
  <c r="E23" i="5"/>
  <c r="D42" i="39"/>
  <c r="F42" i="39"/>
  <c r="H42" i="39"/>
  <c r="E28" i="5"/>
  <c r="H37" i="39"/>
  <c r="D37" i="39"/>
  <c r="F37" i="39"/>
  <c r="G22" i="19"/>
  <c r="D22" i="38655"/>
  <c r="D14" i="38655"/>
  <c r="G14" i="19"/>
  <c r="F15" i="19"/>
  <c r="K18" i="38667"/>
  <c r="G18" i="18"/>
  <c r="D41" i="18"/>
  <c r="J41" i="38667"/>
  <c r="D20" i="18"/>
  <c r="J20" i="38667"/>
  <c r="D52" i="38658"/>
  <c r="G39" i="45"/>
  <c r="B16" i="18"/>
  <c r="B17" i="18"/>
  <c r="D40" i="19"/>
  <c r="E38" i="18"/>
  <c r="D33" i="38658"/>
  <c r="L30" i="38667"/>
  <c r="I30" i="19"/>
  <c r="J34" i="38655"/>
  <c r="G46" i="18"/>
  <c r="K46" i="38667"/>
  <c r="D22" i="38656"/>
  <c r="J15" i="38655"/>
  <c r="D33" i="27"/>
  <c r="D33" i="76" s="1"/>
  <c r="B33" i="76"/>
  <c r="D46" i="27"/>
  <c r="D46" i="76" s="1"/>
  <c r="B46" i="76"/>
  <c r="F23" i="38659"/>
  <c r="I23" i="38658"/>
  <c r="K25" i="38667"/>
  <c r="G25" i="18"/>
  <c r="G37" i="20"/>
  <c r="D36" i="20"/>
  <c r="G26" i="20"/>
  <c r="G20" i="20"/>
  <c r="F14" i="19"/>
  <c r="F22" i="19"/>
  <c r="G33" i="18"/>
  <c r="K33" i="38667"/>
  <c r="H48" i="18"/>
  <c r="E11" i="5"/>
  <c r="F50" i="19"/>
  <c r="G42" i="19"/>
  <c r="D42" i="38655"/>
  <c r="D34" i="39"/>
  <c r="F34" i="39"/>
  <c r="H34" i="39"/>
  <c r="D50" i="38655"/>
  <c r="G50" i="19"/>
  <c r="D36" i="18"/>
  <c r="J36" i="38667"/>
  <c r="I15" i="45"/>
  <c r="G15" i="45" s="1"/>
  <c r="I31" i="45"/>
  <c r="G31" i="45" s="1"/>
  <c r="I12" i="45"/>
  <c r="G12" i="45" s="1"/>
  <c r="J21" i="38655"/>
  <c r="D51" i="20"/>
  <c r="G14" i="20"/>
  <c r="D28" i="18"/>
  <c r="J28" i="38667"/>
  <c r="D36" i="27"/>
  <c r="D36" i="76" s="1"/>
  <c r="B36" i="76"/>
  <c r="K22" i="38667"/>
  <c r="G22" i="18"/>
  <c r="D37" i="27"/>
  <c r="D37" i="76" s="1"/>
  <c r="B37" i="76"/>
  <c r="D20" i="41"/>
  <c r="C20" i="41"/>
  <c r="D35" i="20"/>
  <c r="F26" i="19"/>
  <c r="G51" i="18"/>
  <c r="G39" i="20"/>
  <c r="F21" i="39"/>
  <c r="H21" i="39"/>
  <c r="D21" i="39"/>
  <c r="F44" i="39"/>
  <c r="H44" i="39"/>
  <c r="D44" i="39"/>
  <c r="F20" i="19"/>
  <c r="G32" i="18"/>
  <c r="K32" i="38667"/>
  <c r="B48" i="40"/>
  <c r="D48" i="40" s="1"/>
  <c r="D11" i="40"/>
  <c r="D32" i="38655"/>
  <c r="G32" i="19"/>
  <c r="G23" i="19"/>
  <c r="D23" i="38655"/>
  <c r="D20" i="39"/>
  <c r="F20" i="39"/>
  <c r="H20" i="39"/>
  <c r="I41" i="38658"/>
  <c r="F41" i="38659"/>
  <c r="I30" i="38658"/>
  <c r="F30" i="38659"/>
  <c r="I22" i="38658"/>
  <c r="F22" i="38659"/>
  <c r="E39" i="5"/>
  <c r="D38" i="18"/>
  <c r="J38" i="38667"/>
  <c r="K21" i="38667"/>
  <c r="G21" i="18"/>
  <c r="J32" i="38655"/>
  <c r="J36" i="38655"/>
  <c r="D13" i="38656"/>
  <c r="B20" i="76"/>
  <c r="D20" i="27"/>
  <c r="D20" i="76" s="1"/>
  <c r="D37" i="38656"/>
  <c r="J43" i="11"/>
  <c r="G50" i="18"/>
  <c r="J21" i="38667"/>
  <c r="D21" i="18"/>
  <c r="G51" i="20"/>
  <c r="C12" i="41"/>
  <c r="D12" i="41"/>
  <c r="D21" i="20"/>
  <c r="F36" i="39"/>
  <c r="H36" i="39"/>
  <c r="D36" i="39"/>
  <c r="G48" i="26"/>
  <c r="H33" i="39"/>
  <c r="D33" i="39"/>
  <c r="F33" i="39"/>
  <c r="D11" i="20"/>
  <c r="B48" i="20"/>
  <c r="E22" i="5"/>
  <c r="F13" i="19"/>
  <c r="G39" i="18"/>
  <c r="K39" i="38667"/>
  <c r="D23" i="18"/>
  <c r="J23" i="38667"/>
  <c r="I28" i="45"/>
  <c r="C36" i="41"/>
  <c r="D36" i="41"/>
  <c r="D35" i="38656"/>
  <c r="D46" i="38656"/>
  <c r="F19" i="19"/>
  <c r="D33" i="20"/>
  <c r="D34" i="20"/>
  <c r="D13" i="20"/>
  <c r="D31" i="18"/>
  <c r="J31" i="38667"/>
  <c r="D39" i="18"/>
  <c r="J39" i="38667"/>
  <c r="D41" i="20"/>
  <c r="G12" i="20"/>
  <c r="G45" i="20"/>
  <c r="G38" i="20"/>
  <c r="E50" i="5"/>
  <c r="D35" i="39"/>
  <c r="F35" i="39"/>
  <c r="H35" i="39"/>
  <c r="D33" i="38655"/>
  <c r="G33" i="19"/>
  <c r="G13" i="20"/>
  <c r="D31" i="38655"/>
  <c r="G31" i="19"/>
  <c r="E41" i="5"/>
  <c r="E20" i="5"/>
  <c r="G16" i="18"/>
  <c r="K16" i="38667"/>
  <c r="D43" i="39"/>
  <c r="F43" i="39"/>
  <c r="H43" i="39"/>
  <c r="E24" i="44"/>
  <c r="D24" i="42" s="1"/>
  <c r="C24" i="44"/>
  <c r="C24" i="42" s="1"/>
  <c r="I24" i="43"/>
  <c r="B24" i="42" s="1"/>
  <c r="I24" i="44"/>
  <c r="F24" i="42" s="1"/>
  <c r="C24" i="45"/>
  <c r="G24" i="42" s="1"/>
  <c r="G11" i="18"/>
  <c r="K11" i="38667"/>
  <c r="G48" i="10"/>
  <c r="D48" i="11"/>
  <c r="E39" i="45"/>
  <c r="H39" i="42" s="1"/>
  <c r="D43" i="38658"/>
  <c r="G39" i="44"/>
  <c r="E39" i="42" s="1"/>
  <c r="E40" i="45"/>
  <c r="H40" i="42" s="1"/>
  <c r="D46" i="19"/>
  <c r="D14" i="38658"/>
  <c r="D48" i="38658"/>
  <c r="I22" i="45"/>
  <c r="D17" i="38658"/>
  <c r="D24" i="38658"/>
  <c r="C35" i="44" l="1"/>
  <c r="C35" i="42" s="1"/>
  <c r="I40" i="43"/>
  <c r="B40" i="42" s="1"/>
  <c r="C35" i="45"/>
  <c r="G35" i="42" s="1"/>
  <c r="C14" i="44"/>
  <c r="C14" i="42" s="1"/>
  <c r="M30" i="38667"/>
  <c r="G23" i="44"/>
  <c r="E23" i="42" s="1"/>
  <c r="C14" i="45"/>
  <c r="G14" i="42" s="1"/>
  <c r="I19" i="44"/>
  <c r="F19" i="42" s="1"/>
  <c r="E40" i="44"/>
  <c r="D40" i="42" s="1"/>
  <c r="C40" i="44"/>
  <c r="C40" i="42" s="1"/>
  <c r="E35" i="44"/>
  <c r="D35" i="42" s="1"/>
  <c r="I14" i="44"/>
  <c r="F14" i="42" s="1"/>
  <c r="I35" i="44"/>
  <c r="F35" i="42" s="1"/>
  <c r="I35" i="43"/>
  <c r="B35" i="42" s="1"/>
  <c r="I14" i="43"/>
  <c r="B14" i="42" s="1"/>
  <c r="E14" i="44"/>
  <c r="D14" i="42" s="1"/>
  <c r="G40" i="44"/>
  <c r="E40" i="42" s="1"/>
  <c r="C40" i="45"/>
  <c r="G40" i="42" s="1"/>
  <c r="G23" i="45"/>
  <c r="E45" i="44"/>
  <c r="D45" i="42" s="1"/>
  <c r="I40" i="44"/>
  <c r="F40" i="42" s="1"/>
  <c r="I37" i="43"/>
  <c r="B37" i="42" s="1"/>
  <c r="C45" i="44"/>
  <c r="C45" i="42" s="1"/>
  <c r="G45" i="45"/>
  <c r="I45" i="44"/>
  <c r="F45" i="42" s="1"/>
  <c r="C19" i="45"/>
  <c r="G19" i="42" s="1"/>
  <c r="E45" i="45"/>
  <c r="H45" i="42" s="1"/>
  <c r="C45" i="45"/>
  <c r="G45" i="42" s="1"/>
  <c r="I45" i="43"/>
  <c r="B45" i="42" s="1"/>
  <c r="E23" i="44"/>
  <c r="D23" i="42" s="1"/>
  <c r="C23" i="44"/>
  <c r="C23" i="42" s="1"/>
  <c r="I23" i="43"/>
  <c r="B23" i="42" s="1"/>
  <c r="E23" i="45"/>
  <c r="H23" i="42" s="1"/>
  <c r="C23" i="45"/>
  <c r="G23" i="42" s="1"/>
  <c r="E35" i="45"/>
  <c r="H35" i="42" s="1"/>
  <c r="G35" i="44"/>
  <c r="E35" i="42" s="1"/>
  <c r="I37" i="44"/>
  <c r="F37" i="42" s="1"/>
  <c r="E19" i="44"/>
  <c r="D19" i="42" s="1"/>
  <c r="G37" i="45"/>
  <c r="E37" i="45"/>
  <c r="H37" i="42" s="1"/>
  <c r="G19" i="44"/>
  <c r="E19" i="42" s="1"/>
  <c r="E48" i="18"/>
  <c r="G48" i="18" s="1"/>
  <c r="E37" i="44"/>
  <c r="D37" i="42" s="1"/>
  <c r="F29" i="38659"/>
  <c r="C19" i="44"/>
  <c r="C19" i="42" s="1"/>
  <c r="G19" i="45"/>
  <c r="C37" i="44"/>
  <c r="C37" i="42" s="1"/>
  <c r="C37" i="45"/>
  <c r="G37" i="42" s="1"/>
  <c r="I19" i="43"/>
  <c r="B19" i="42" s="1"/>
  <c r="J18" i="42"/>
  <c r="E32" i="44"/>
  <c r="D32" i="42" s="1"/>
  <c r="E32" i="45"/>
  <c r="H32" i="42" s="1"/>
  <c r="C32" i="45"/>
  <c r="G32" i="42" s="1"/>
  <c r="I32" i="43"/>
  <c r="B32" i="42" s="1"/>
  <c r="G32" i="45"/>
  <c r="G32" i="44"/>
  <c r="E32" i="42" s="1"/>
  <c r="I32" i="44"/>
  <c r="F32" i="42" s="1"/>
  <c r="C43" i="44"/>
  <c r="C43" i="42" s="1"/>
  <c r="G43" i="45"/>
  <c r="E43" i="44"/>
  <c r="D43" i="42" s="1"/>
  <c r="E43" i="45"/>
  <c r="H43" i="42" s="1"/>
  <c r="G43" i="44"/>
  <c r="E43" i="42" s="1"/>
  <c r="I43" i="44"/>
  <c r="F43" i="42" s="1"/>
  <c r="C43" i="45"/>
  <c r="G43" i="42" s="1"/>
  <c r="I43" i="43"/>
  <c r="B43" i="42" s="1"/>
  <c r="E17" i="44"/>
  <c r="D17" i="42" s="1"/>
  <c r="E17" i="45"/>
  <c r="H17" i="42" s="1"/>
  <c r="G17" i="44"/>
  <c r="E17" i="42" s="1"/>
  <c r="I17" i="44"/>
  <c r="F17" i="42" s="1"/>
  <c r="G17" i="45"/>
  <c r="C17" i="44"/>
  <c r="C17" i="42" s="1"/>
  <c r="C17" i="45"/>
  <c r="G17" i="42" s="1"/>
  <c r="I17" i="43"/>
  <c r="B17" i="42" s="1"/>
  <c r="G14" i="44"/>
  <c r="E14" i="42" s="1"/>
  <c r="I27" i="44"/>
  <c r="F27" i="42" s="1"/>
  <c r="G27" i="44"/>
  <c r="E27" i="42" s="1"/>
  <c r="G27" i="45"/>
  <c r="E27" i="44"/>
  <c r="D27" i="42" s="1"/>
  <c r="E27" i="45"/>
  <c r="H27" i="42" s="1"/>
  <c r="C27" i="44"/>
  <c r="C27" i="42" s="1"/>
  <c r="C27" i="45"/>
  <c r="G27" i="42" s="1"/>
  <c r="E14" i="45"/>
  <c r="H14" i="42" s="1"/>
  <c r="J42" i="42"/>
  <c r="J25" i="42"/>
  <c r="J50" i="42"/>
  <c r="J41" i="42"/>
  <c r="J16" i="42"/>
  <c r="G46" i="44"/>
  <c r="E46" i="42" s="1"/>
  <c r="C46" i="44"/>
  <c r="C46" i="42" s="1"/>
  <c r="E46" i="45"/>
  <c r="H46" i="42" s="1"/>
  <c r="I46" i="44"/>
  <c r="F46" i="42" s="1"/>
  <c r="G46" i="45"/>
  <c r="E46" i="44"/>
  <c r="D46" i="42" s="1"/>
  <c r="C46" i="45"/>
  <c r="G46" i="42" s="1"/>
  <c r="F42" i="38659"/>
  <c r="I46" i="43"/>
  <c r="B46" i="42" s="1"/>
  <c r="I22" i="43"/>
  <c r="B22" i="42" s="1"/>
  <c r="I22" i="44"/>
  <c r="F22" i="42" s="1"/>
  <c r="C22" i="44"/>
  <c r="C22" i="42" s="1"/>
  <c r="C22" i="45"/>
  <c r="G22" i="42" s="1"/>
  <c r="E22" i="44"/>
  <c r="D22" i="42" s="1"/>
  <c r="E22" i="45"/>
  <c r="H22" i="42" s="1"/>
  <c r="G22" i="44"/>
  <c r="E22" i="42" s="1"/>
  <c r="I28" i="44"/>
  <c r="F28" i="42" s="1"/>
  <c r="C28" i="44"/>
  <c r="C28" i="42" s="1"/>
  <c r="E28" i="44"/>
  <c r="D28" i="42" s="1"/>
  <c r="I28" i="43"/>
  <c r="B28" i="42" s="1"/>
  <c r="C28" i="45"/>
  <c r="G28" i="42" s="1"/>
  <c r="E28" i="45"/>
  <c r="H28" i="42" s="1"/>
  <c r="G28" i="44"/>
  <c r="E28" i="42" s="1"/>
  <c r="I32" i="19"/>
  <c r="L32" i="38667"/>
  <c r="M32" i="38667" s="1"/>
  <c r="I42" i="19"/>
  <c r="L42" i="38667"/>
  <c r="M42" i="38667" s="1"/>
  <c r="G38" i="18"/>
  <c r="K38" i="38667"/>
  <c r="D48" i="8"/>
  <c r="L43" i="38667"/>
  <c r="M43" i="38667" s="1"/>
  <c r="I43" i="19"/>
  <c r="I46" i="19"/>
  <c r="L46" i="38667"/>
  <c r="M46" i="38667" s="1"/>
  <c r="C48" i="41"/>
  <c r="D48" i="41"/>
  <c r="L41" i="38667"/>
  <c r="M41" i="38667" s="1"/>
  <c r="I41" i="19"/>
  <c r="I20" i="43"/>
  <c r="B20" i="42" s="1"/>
  <c r="C20" i="44"/>
  <c r="C20" i="42" s="1"/>
  <c r="E20" i="44"/>
  <c r="D20" i="42" s="1"/>
  <c r="I20" i="44"/>
  <c r="F20" i="42" s="1"/>
  <c r="C20" i="45"/>
  <c r="G20" i="42" s="1"/>
  <c r="G20" i="44"/>
  <c r="E20" i="42" s="1"/>
  <c r="E20" i="45"/>
  <c r="H20" i="42" s="1"/>
  <c r="F16" i="19"/>
  <c r="F27" i="38659"/>
  <c r="I27" i="38658"/>
  <c r="G48" i="9"/>
  <c r="I13" i="38658"/>
  <c r="D50" i="38658"/>
  <c r="I50" i="38658" s="1"/>
  <c r="F13" i="38659"/>
  <c r="F11" i="43"/>
  <c r="B48" i="43"/>
  <c r="I38" i="19"/>
  <c r="L38" i="38667"/>
  <c r="I13" i="19"/>
  <c r="L13" i="38667"/>
  <c r="M13" i="38667" s="1"/>
  <c r="F46" i="38659"/>
  <c r="I46" i="38658"/>
  <c r="L12" i="38667"/>
  <c r="M12" i="38667" s="1"/>
  <c r="I12" i="19"/>
  <c r="I28" i="19"/>
  <c r="L28" i="38667"/>
  <c r="M28" i="38667" s="1"/>
  <c r="H52" i="22"/>
  <c r="J24" i="42"/>
  <c r="E48" i="5"/>
  <c r="G22" i="45"/>
  <c r="I14" i="38658"/>
  <c r="F14" i="38659"/>
  <c r="G48" i="8"/>
  <c r="I33" i="19"/>
  <c r="L33" i="38667"/>
  <c r="M33" i="38667" s="1"/>
  <c r="C12" i="44"/>
  <c r="C12" i="42" s="1"/>
  <c r="I12" i="43"/>
  <c r="B12" i="42" s="1"/>
  <c r="I12" i="44"/>
  <c r="F12" i="42" s="1"/>
  <c r="C12" i="45"/>
  <c r="G12" i="42" s="1"/>
  <c r="E12" i="44"/>
  <c r="D12" i="42" s="1"/>
  <c r="G12" i="44"/>
  <c r="E12" i="42" s="1"/>
  <c r="E12" i="45"/>
  <c r="H12" i="42" s="1"/>
  <c r="E15" i="44"/>
  <c r="D15" i="42" s="1"/>
  <c r="I15" i="44"/>
  <c r="F15" i="42" s="1"/>
  <c r="C15" i="44"/>
  <c r="C15" i="42" s="1"/>
  <c r="C15" i="45"/>
  <c r="G15" i="42" s="1"/>
  <c r="I15" i="43"/>
  <c r="B15" i="42" s="1"/>
  <c r="G15" i="44"/>
  <c r="E15" i="42" s="1"/>
  <c r="E15" i="45"/>
  <c r="H15" i="42" s="1"/>
  <c r="F33" i="38659"/>
  <c r="I33" i="38658"/>
  <c r="I14" i="19"/>
  <c r="L14" i="38667"/>
  <c r="M14" i="38667" s="1"/>
  <c r="L22" i="38667"/>
  <c r="M22" i="38667" s="1"/>
  <c r="I22" i="19"/>
  <c r="J45" i="38667"/>
  <c r="D45" i="18"/>
  <c r="D18" i="18"/>
  <c r="J18" i="38667"/>
  <c r="I28" i="38658"/>
  <c r="F28" i="38659"/>
  <c r="F19" i="38659"/>
  <c r="I19" i="38658"/>
  <c r="L44" i="38667"/>
  <c r="M44" i="38667" s="1"/>
  <c r="I44" i="19"/>
  <c r="L36" i="38667"/>
  <c r="M36" i="38667" s="1"/>
  <c r="I36" i="19"/>
  <c r="F54" i="23"/>
  <c r="G48" i="20"/>
  <c r="G26" i="18"/>
  <c r="K26" i="38667"/>
  <c r="L15" i="38667"/>
  <c r="M15" i="38667" s="1"/>
  <c r="I15" i="19"/>
  <c r="I37" i="19"/>
  <c r="L37" i="38667"/>
  <c r="M37" i="38667" s="1"/>
  <c r="L39" i="38667"/>
  <c r="M39" i="38667" s="1"/>
  <c r="I39" i="19"/>
  <c r="I45" i="19"/>
  <c r="L45" i="38667"/>
  <c r="J38" i="42"/>
  <c r="F24" i="38659"/>
  <c r="I24" i="38658"/>
  <c r="I17" i="38658"/>
  <c r="F17" i="38659"/>
  <c r="F46" i="19"/>
  <c r="I43" i="38658"/>
  <c r="F43" i="38659"/>
  <c r="I31" i="19"/>
  <c r="L31" i="38667"/>
  <c r="M31" i="38667" s="1"/>
  <c r="L23" i="38667"/>
  <c r="M23" i="38667" s="1"/>
  <c r="I23" i="19"/>
  <c r="I52" i="38658"/>
  <c r="I34" i="44"/>
  <c r="F34" i="42" s="1"/>
  <c r="C34" i="44"/>
  <c r="C34" i="42" s="1"/>
  <c r="E34" i="44"/>
  <c r="D34" i="42" s="1"/>
  <c r="I34" i="43"/>
  <c r="B34" i="42" s="1"/>
  <c r="C34" i="45"/>
  <c r="G34" i="42" s="1"/>
  <c r="G34" i="44"/>
  <c r="E34" i="42" s="1"/>
  <c r="E34" i="45"/>
  <c r="H34" i="42" s="1"/>
  <c r="D48" i="38655"/>
  <c r="J48" i="38655"/>
  <c r="L16" i="38667"/>
  <c r="I16" i="19"/>
  <c r="C26" i="44"/>
  <c r="C26" i="42" s="1"/>
  <c r="E26" i="44"/>
  <c r="D26" i="42" s="1"/>
  <c r="I26" i="44"/>
  <c r="F26" i="42" s="1"/>
  <c r="I26" i="43"/>
  <c r="B26" i="42" s="1"/>
  <c r="C26" i="45"/>
  <c r="G26" i="42" s="1"/>
  <c r="E26" i="45"/>
  <c r="H26" i="42" s="1"/>
  <c r="G26" i="44"/>
  <c r="E26" i="42" s="1"/>
  <c r="L21" i="38667"/>
  <c r="M21" i="38667" s="1"/>
  <c r="I21" i="19"/>
  <c r="F23" i="19"/>
  <c r="E51" i="45"/>
  <c r="H51" i="42" s="1"/>
  <c r="C51" i="44"/>
  <c r="C51" i="42" s="1"/>
  <c r="C51" i="45"/>
  <c r="G51" i="42" s="1"/>
  <c r="I51" i="44"/>
  <c r="F51" i="42" s="1"/>
  <c r="I51" i="43"/>
  <c r="B51" i="42" s="1"/>
  <c r="E51" i="44"/>
  <c r="D51" i="42" s="1"/>
  <c r="G51" i="44"/>
  <c r="E51" i="42" s="1"/>
  <c r="D48" i="27"/>
  <c r="D48" i="76" s="1"/>
  <c r="F37" i="38659"/>
  <c r="I37" i="38658"/>
  <c r="L18" i="38667"/>
  <c r="I18" i="19"/>
  <c r="I34" i="19"/>
  <c r="L34" i="38667"/>
  <c r="M34" i="38667" s="1"/>
  <c r="I25" i="19"/>
  <c r="L25" i="38667"/>
  <c r="M25" i="38667" s="1"/>
  <c r="C33" i="44"/>
  <c r="C33" i="42" s="1"/>
  <c r="I33" i="44"/>
  <c r="F33" i="42" s="1"/>
  <c r="C33" i="45"/>
  <c r="G33" i="42" s="1"/>
  <c r="E33" i="44"/>
  <c r="D33" i="42" s="1"/>
  <c r="I33" i="43"/>
  <c r="B33" i="42" s="1"/>
  <c r="G33" i="44"/>
  <c r="E33" i="42" s="1"/>
  <c r="E33" i="45"/>
  <c r="H33" i="42" s="1"/>
  <c r="E36" i="45"/>
  <c r="H36" i="42" s="1"/>
  <c r="I36" i="43"/>
  <c r="B36" i="42" s="1"/>
  <c r="I36" i="44"/>
  <c r="F36" i="42" s="1"/>
  <c r="C36" i="45"/>
  <c r="G36" i="42" s="1"/>
  <c r="C36" i="44"/>
  <c r="C36" i="42" s="1"/>
  <c r="E36" i="44"/>
  <c r="D36" i="42" s="1"/>
  <c r="G36" i="44"/>
  <c r="E36" i="42" s="1"/>
  <c r="J44" i="42"/>
  <c r="J39" i="42"/>
  <c r="I48" i="38658"/>
  <c r="F48" i="38659"/>
  <c r="D48" i="7"/>
  <c r="D48" i="20"/>
  <c r="D54" i="23"/>
  <c r="G31" i="44"/>
  <c r="E31" i="42" s="1"/>
  <c r="C31" i="44"/>
  <c r="C31" i="42" s="1"/>
  <c r="E31" i="44"/>
  <c r="D31" i="42" s="1"/>
  <c r="I31" i="43"/>
  <c r="B31" i="42" s="1"/>
  <c r="I31" i="44"/>
  <c r="F31" i="42" s="1"/>
  <c r="C31" i="45"/>
  <c r="G31" i="42" s="1"/>
  <c r="E31" i="45"/>
  <c r="H31" i="42" s="1"/>
  <c r="I50" i="19"/>
  <c r="F54" i="22"/>
  <c r="F52" i="22"/>
  <c r="F40" i="19"/>
  <c r="J17" i="38667"/>
  <c r="D17" i="18"/>
  <c r="J16" i="38667"/>
  <c r="D16" i="18"/>
  <c r="I21" i="44"/>
  <c r="F21" i="42" s="1"/>
  <c r="C21" i="45"/>
  <c r="G21" i="42" s="1"/>
  <c r="C21" i="44"/>
  <c r="C21" i="42" s="1"/>
  <c r="E21" i="44"/>
  <c r="D21" i="42" s="1"/>
  <c r="I21" i="43"/>
  <c r="B21" i="42" s="1"/>
  <c r="G21" i="44"/>
  <c r="E21" i="42" s="1"/>
  <c r="E21" i="45"/>
  <c r="H21" i="42" s="1"/>
  <c r="L27" i="38667"/>
  <c r="M27" i="38667" s="1"/>
  <c r="I27" i="19"/>
  <c r="I11" i="19"/>
  <c r="L11" i="38667"/>
  <c r="M11" i="38667" s="1"/>
  <c r="G48" i="19"/>
  <c r="I24" i="19"/>
  <c r="L24" i="38667"/>
  <c r="M24" i="38667" s="1"/>
  <c r="L40" i="38667"/>
  <c r="M40" i="38667" s="1"/>
  <c r="I40" i="19"/>
  <c r="F36" i="38659"/>
  <c r="I36" i="38658"/>
  <c r="L19" i="38667"/>
  <c r="M19" i="38667" s="1"/>
  <c r="I19" i="19"/>
  <c r="L35" i="38667"/>
  <c r="M35" i="38667" s="1"/>
  <c r="I35" i="19"/>
  <c r="C13" i="44"/>
  <c r="C13" i="42" s="1"/>
  <c r="E13" i="44"/>
  <c r="D13" i="42" s="1"/>
  <c r="C13" i="45"/>
  <c r="G13" i="42" s="1"/>
  <c r="I13" i="44"/>
  <c r="F13" i="42" s="1"/>
  <c r="G13" i="44"/>
  <c r="E13" i="42" s="1"/>
  <c r="I13" i="43"/>
  <c r="B13" i="42" s="1"/>
  <c r="E13" i="45"/>
  <c r="H13" i="42" s="1"/>
  <c r="I35" i="38658"/>
  <c r="F35" i="38659"/>
  <c r="F21" i="38659"/>
  <c r="I21" i="38658"/>
  <c r="I26" i="19"/>
  <c r="L26" i="38667"/>
  <c r="I17" i="19"/>
  <c r="L17" i="38667"/>
  <c r="I20" i="19"/>
  <c r="L20" i="38667"/>
  <c r="M20" i="38667" s="1"/>
  <c r="B48" i="76"/>
  <c r="G28" i="45"/>
  <c r="D48" i="19"/>
  <c r="G20" i="45"/>
  <c r="B48" i="18"/>
  <c r="M38" i="38667" l="1"/>
  <c r="I11" i="38658"/>
  <c r="J40" i="42"/>
  <c r="K48" i="38667"/>
  <c r="D52" i="22"/>
  <c r="J45" i="42"/>
  <c r="J35" i="42"/>
  <c r="J23" i="42"/>
  <c r="J37" i="42"/>
  <c r="J19" i="42"/>
  <c r="J32" i="42"/>
  <c r="J27" i="42"/>
  <c r="J14" i="42"/>
  <c r="J17" i="42"/>
  <c r="J43" i="42"/>
  <c r="M26" i="38667"/>
  <c r="J46" i="42"/>
  <c r="M17" i="38667"/>
  <c r="J31" i="42"/>
  <c r="B37" i="38659"/>
  <c r="E37" i="38659" s="1"/>
  <c r="K37" i="38659" s="1"/>
  <c r="D35" i="5"/>
  <c r="E35" i="70"/>
  <c r="D34" i="5"/>
  <c r="B36" i="38659"/>
  <c r="E36" i="38659" s="1"/>
  <c r="K36" i="38659" s="1"/>
  <c r="E34" i="70"/>
  <c r="J52" i="22"/>
  <c r="J54" i="22"/>
  <c r="F48" i="19"/>
  <c r="I48" i="19"/>
  <c r="B54" i="23"/>
  <c r="L48" i="38667"/>
  <c r="H11" i="43"/>
  <c r="F48" i="43"/>
  <c r="J21" i="42"/>
  <c r="M16" i="38667"/>
  <c r="J34" i="42"/>
  <c r="J15" i="42"/>
  <c r="J20" i="42"/>
  <c r="J22" i="42"/>
  <c r="D27" i="5"/>
  <c r="B29" i="38659"/>
  <c r="E29" i="38659" s="1"/>
  <c r="G29" i="38659" s="1"/>
  <c r="E27" i="70"/>
  <c r="D30" i="5"/>
  <c r="B32" i="38659"/>
  <c r="E32" i="38659" s="1"/>
  <c r="G32" i="38659" s="1"/>
  <c r="E30" i="70"/>
  <c r="J48" i="38667"/>
  <c r="B52" i="22"/>
  <c r="D48" i="18"/>
  <c r="B34" i="38659"/>
  <c r="E34" i="38659" s="1"/>
  <c r="G34" i="38659" s="1"/>
  <c r="D32" i="5"/>
  <c r="E32" i="70"/>
  <c r="J36" i="42"/>
  <c r="J26" i="42"/>
  <c r="J12" i="42"/>
  <c r="J28" i="42"/>
  <c r="D29" i="5"/>
  <c r="B31" i="38659"/>
  <c r="E31" i="38659" s="1"/>
  <c r="G31" i="38659" s="1"/>
  <c r="E29" i="70"/>
  <c r="D26" i="5"/>
  <c r="B28" i="38659"/>
  <c r="E28" i="38659" s="1"/>
  <c r="K28" i="38659" s="1"/>
  <c r="E26" i="70"/>
  <c r="F50" i="38659"/>
  <c r="J13" i="42"/>
  <c r="J33" i="42"/>
  <c r="M18" i="38667"/>
  <c r="M45" i="38667"/>
  <c r="G28" i="38659" l="1"/>
  <c r="G36" i="38659"/>
  <c r="G37" i="38659"/>
  <c r="D50" i="5"/>
  <c r="E50" i="70"/>
  <c r="F26" i="5"/>
  <c r="C26" i="38"/>
  <c r="E26" i="38"/>
  <c r="G26" i="38"/>
  <c r="F26" i="11"/>
  <c r="C26" i="38656"/>
  <c r="I26" i="20"/>
  <c r="C26" i="35"/>
  <c r="C26" i="34"/>
  <c r="G26" i="34"/>
  <c r="C26" i="37"/>
  <c r="E26" i="82"/>
  <c r="C26" i="27"/>
  <c r="C26" i="76" s="1"/>
  <c r="E26" i="25"/>
  <c r="E26" i="35"/>
  <c r="I26" i="25"/>
  <c r="C26" i="11"/>
  <c r="C26" i="36"/>
  <c r="C26" i="10"/>
  <c r="G26" i="25"/>
  <c r="I26" i="9"/>
  <c r="F26" i="9"/>
  <c r="C26" i="9"/>
  <c r="F26" i="10"/>
  <c r="E26" i="36"/>
  <c r="C26" i="82"/>
  <c r="C26" i="8"/>
  <c r="C26" i="26"/>
  <c r="F26" i="38655"/>
  <c r="E26" i="34"/>
  <c r="G26" i="36"/>
  <c r="F26" i="38656"/>
  <c r="F26" i="8"/>
  <c r="C26" i="25"/>
  <c r="F26" i="26"/>
  <c r="I26" i="10"/>
  <c r="I26" i="38655"/>
  <c r="I26" i="26"/>
  <c r="E26" i="37"/>
  <c r="C26" i="7"/>
  <c r="I26" i="11"/>
  <c r="C26" i="19"/>
  <c r="E26" i="19"/>
  <c r="C26" i="20"/>
  <c r="I26" i="18"/>
  <c r="F26" i="20"/>
  <c r="C26" i="18"/>
  <c r="C26" i="38655"/>
  <c r="H26" i="19"/>
  <c r="F26" i="18"/>
  <c r="K31" i="38659"/>
  <c r="L31" i="38659"/>
  <c r="D25" i="5"/>
  <c r="B27" i="38659"/>
  <c r="E27" i="38659" s="1"/>
  <c r="G27" i="38659" s="1"/>
  <c r="E25" i="70"/>
  <c r="K34" i="38659"/>
  <c r="L34" i="38659"/>
  <c r="F30" i="5"/>
  <c r="E30" i="38"/>
  <c r="C30" i="38"/>
  <c r="G30" i="38"/>
  <c r="I30" i="20"/>
  <c r="I30" i="11"/>
  <c r="I30" i="26"/>
  <c r="F30" i="38655"/>
  <c r="G30" i="36"/>
  <c r="C30" i="9"/>
  <c r="C30" i="27"/>
  <c r="C30" i="76" s="1"/>
  <c r="C30" i="7"/>
  <c r="E30" i="36"/>
  <c r="C30" i="82"/>
  <c r="I30" i="38655"/>
  <c r="C30" i="25"/>
  <c r="F30" i="26"/>
  <c r="C30" i="10"/>
  <c r="E30" i="82"/>
  <c r="C30" i="35"/>
  <c r="G30" i="25"/>
  <c r="E30" i="25"/>
  <c r="C30" i="11"/>
  <c r="E30" i="37"/>
  <c r="E30" i="34"/>
  <c r="C30" i="8"/>
  <c r="I30" i="10"/>
  <c r="I30" i="25"/>
  <c r="F30" i="10"/>
  <c r="C30" i="37"/>
  <c r="F30" i="11"/>
  <c r="C30" i="38656"/>
  <c r="C30" i="36"/>
  <c r="E30" i="35"/>
  <c r="C30" i="26"/>
  <c r="C30" i="34"/>
  <c r="F30" i="38656"/>
  <c r="G30" i="34"/>
  <c r="F30" i="20"/>
  <c r="I30" i="18"/>
  <c r="F30" i="9"/>
  <c r="F30" i="18"/>
  <c r="C30" i="19"/>
  <c r="I30" i="9"/>
  <c r="E30" i="19"/>
  <c r="F30" i="8"/>
  <c r="C30" i="38655"/>
  <c r="C30" i="20"/>
  <c r="H30" i="19"/>
  <c r="C30" i="18"/>
  <c r="K29" i="38659"/>
  <c r="L29" i="38659"/>
  <c r="L28" i="38659"/>
  <c r="M48" i="38667"/>
  <c r="L37" i="38659"/>
  <c r="B43" i="38659"/>
  <c r="E43" i="38659" s="1"/>
  <c r="G43" i="38659" s="1"/>
  <c r="D41" i="5"/>
  <c r="E41" i="70"/>
  <c r="D22" i="5"/>
  <c r="B24" i="38659"/>
  <c r="E24" i="38659" s="1"/>
  <c r="G24" i="38659" s="1"/>
  <c r="E22" i="70"/>
  <c r="B22" i="38659"/>
  <c r="E22" i="38659" s="1"/>
  <c r="G22" i="38659" s="1"/>
  <c r="D20" i="5"/>
  <c r="E20" i="70"/>
  <c r="D23" i="5"/>
  <c r="B25" i="38659"/>
  <c r="E25" i="38659" s="1"/>
  <c r="G25" i="38659" s="1"/>
  <c r="E23" i="70"/>
  <c r="D36" i="5"/>
  <c r="B38" i="38659"/>
  <c r="E38" i="38659" s="1"/>
  <c r="G38" i="38659" s="1"/>
  <c r="E36" i="70"/>
  <c r="D17" i="5"/>
  <c r="B19" i="38659"/>
  <c r="E19" i="38659" s="1"/>
  <c r="G19" i="38659" s="1"/>
  <c r="E17" i="70"/>
  <c r="F32" i="5"/>
  <c r="C32" i="38"/>
  <c r="E32" i="38"/>
  <c r="G32" i="38"/>
  <c r="C32" i="38656"/>
  <c r="F32" i="26"/>
  <c r="C32" i="37"/>
  <c r="I32" i="20"/>
  <c r="F32" i="10"/>
  <c r="I32" i="26"/>
  <c r="F32" i="38656"/>
  <c r="G32" i="34"/>
  <c r="F32" i="8"/>
  <c r="F32" i="9"/>
  <c r="C32" i="9"/>
  <c r="E32" i="82"/>
  <c r="E32" i="37"/>
  <c r="C32" i="82"/>
  <c r="F32" i="38655"/>
  <c r="E32" i="36"/>
  <c r="E32" i="34"/>
  <c r="C32" i="26"/>
  <c r="G32" i="36"/>
  <c r="C32" i="7"/>
  <c r="I32" i="10"/>
  <c r="C32" i="11"/>
  <c r="C32" i="25"/>
  <c r="I32" i="9"/>
  <c r="C32" i="36"/>
  <c r="C32" i="10"/>
  <c r="C32" i="8"/>
  <c r="C32" i="34"/>
  <c r="F32" i="11"/>
  <c r="E32" i="35"/>
  <c r="E32" i="25"/>
  <c r="C32" i="35"/>
  <c r="I32" i="11"/>
  <c r="G32" i="25"/>
  <c r="I32" i="25"/>
  <c r="E32" i="19"/>
  <c r="F32" i="20"/>
  <c r="C32" i="27"/>
  <c r="C32" i="76" s="1"/>
  <c r="I32" i="38655"/>
  <c r="C32" i="18"/>
  <c r="I32" i="18"/>
  <c r="C32" i="38655"/>
  <c r="C32" i="19"/>
  <c r="C32" i="20"/>
  <c r="F32" i="18"/>
  <c r="H32" i="19"/>
  <c r="B46" i="38659"/>
  <c r="E46" i="38659" s="1"/>
  <c r="G46" i="38659" s="1"/>
  <c r="D44" i="5"/>
  <c r="E44" i="70"/>
  <c r="D43" i="5"/>
  <c r="B45" i="38659"/>
  <c r="E45" i="38659" s="1"/>
  <c r="G45" i="38659" s="1"/>
  <c r="E43" i="70"/>
  <c r="D40" i="5"/>
  <c r="B42" i="38659"/>
  <c r="E42" i="38659" s="1"/>
  <c r="G42" i="38659" s="1"/>
  <c r="E40" i="70"/>
  <c r="K32" i="38659"/>
  <c r="L32" i="38659"/>
  <c r="F34" i="5"/>
  <c r="G34" i="38"/>
  <c r="C34" i="38"/>
  <c r="E34" i="38"/>
  <c r="E34" i="36"/>
  <c r="C34" i="35"/>
  <c r="E34" i="37"/>
  <c r="I34" i="20"/>
  <c r="C34" i="27"/>
  <c r="C34" i="76" s="1"/>
  <c r="G34" i="36"/>
  <c r="C34" i="37"/>
  <c r="I34" i="25"/>
  <c r="C34" i="7"/>
  <c r="F34" i="11"/>
  <c r="F34" i="38656"/>
  <c r="C34" i="36"/>
  <c r="I34" i="26"/>
  <c r="C34" i="38656"/>
  <c r="C34" i="8"/>
  <c r="C34" i="25"/>
  <c r="F34" i="9"/>
  <c r="C34" i="26"/>
  <c r="C34" i="34"/>
  <c r="E34" i="25"/>
  <c r="F34" i="38655"/>
  <c r="F34" i="26"/>
  <c r="G34" i="34"/>
  <c r="E34" i="82"/>
  <c r="F34" i="8"/>
  <c r="C34" i="11"/>
  <c r="I34" i="9"/>
  <c r="C34" i="9"/>
  <c r="E34" i="35"/>
  <c r="I34" i="10"/>
  <c r="G34" i="25"/>
  <c r="F34" i="10"/>
  <c r="E34" i="34"/>
  <c r="C34" i="10"/>
  <c r="C34" i="82"/>
  <c r="C34" i="38655"/>
  <c r="C34" i="18"/>
  <c r="I34" i="18"/>
  <c r="F34" i="18"/>
  <c r="C34" i="19"/>
  <c r="I34" i="11"/>
  <c r="E34" i="19"/>
  <c r="I34" i="38655"/>
  <c r="F34" i="20"/>
  <c r="C34" i="20"/>
  <c r="H34" i="19"/>
  <c r="D51" i="5"/>
  <c r="E51" i="70"/>
  <c r="D37" i="5"/>
  <c r="B39" i="38659"/>
  <c r="E39" i="38659" s="1"/>
  <c r="G39" i="38659" s="1"/>
  <c r="E37" i="70"/>
  <c r="B26" i="38659"/>
  <c r="E26" i="38659" s="1"/>
  <c r="G26" i="38659" s="1"/>
  <c r="D24" i="5"/>
  <c r="E24" i="70"/>
  <c r="L36" i="38659"/>
  <c r="B41" i="38659"/>
  <c r="E41" i="38659" s="1"/>
  <c r="G41" i="38659" s="1"/>
  <c r="D39" i="5"/>
  <c r="E39" i="70"/>
  <c r="H48" i="43"/>
  <c r="I11" i="45"/>
  <c r="I11" i="43" s="1"/>
  <c r="B11" i="42" s="1"/>
  <c r="B13" i="38659"/>
  <c r="D11" i="5"/>
  <c r="E11" i="70"/>
  <c r="D42" i="5"/>
  <c r="B44" i="38659"/>
  <c r="E44" i="38659" s="1"/>
  <c r="G44" i="38659" s="1"/>
  <c r="E42" i="70"/>
  <c r="B21" i="38659"/>
  <c r="E21" i="38659" s="1"/>
  <c r="G21" i="38659" s="1"/>
  <c r="D19" i="5"/>
  <c r="E19" i="70"/>
  <c r="D18" i="5"/>
  <c r="E18" i="70"/>
  <c r="B23" i="38659"/>
  <c r="E23" i="38659" s="1"/>
  <c r="G23" i="38659" s="1"/>
  <c r="D21" i="5"/>
  <c r="E21" i="70"/>
  <c r="B14" i="38659"/>
  <c r="E14" i="38659" s="1"/>
  <c r="G14" i="38659" s="1"/>
  <c r="D12" i="5"/>
  <c r="E12" i="70"/>
  <c r="B47" i="38659"/>
  <c r="E47" i="38659" s="1"/>
  <c r="G47" i="38659" s="1"/>
  <c r="D45" i="5"/>
  <c r="E45" i="70"/>
  <c r="D33" i="5"/>
  <c r="B35" i="38659"/>
  <c r="E35" i="38659" s="1"/>
  <c r="G35" i="38659" s="1"/>
  <c r="E33" i="70"/>
  <c r="B48" i="38659"/>
  <c r="E48" i="38659" s="1"/>
  <c r="G48" i="38659" s="1"/>
  <c r="D46" i="5"/>
  <c r="E46" i="70"/>
  <c r="F29" i="5"/>
  <c r="C29" i="38"/>
  <c r="G29" i="38"/>
  <c r="E29" i="38"/>
  <c r="G29" i="25"/>
  <c r="E29" i="35"/>
  <c r="I29" i="20"/>
  <c r="E29" i="37"/>
  <c r="I29" i="11"/>
  <c r="I29" i="26"/>
  <c r="C29" i="35"/>
  <c r="C29" i="8"/>
  <c r="I29" i="38655"/>
  <c r="C29" i="36"/>
  <c r="C29" i="37"/>
  <c r="C29" i="34"/>
  <c r="F29" i="11"/>
  <c r="C29" i="25"/>
  <c r="C29" i="9"/>
  <c r="F29" i="38656"/>
  <c r="I29" i="10"/>
  <c r="C29" i="10"/>
  <c r="F29" i="38655"/>
  <c r="E29" i="82"/>
  <c r="F29" i="8"/>
  <c r="E29" i="36"/>
  <c r="F29" i="26"/>
  <c r="C29" i="38656"/>
  <c r="G29" i="36"/>
  <c r="F29" i="10"/>
  <c r="I29" i="25"/>
  <c r="F29" i="9"/>
  <c r="E29" i="34"/>
  <c r="C29" i="27"/>
  <c r="C29" i="76" s="1"/>
  <c r="C29" i="26"/>
  <c r="C29" i="11"/>
  <c r="E29" i="25"/>
  <c r="C29" i="82"/>
  <c r="G29" i="34"/>
  <c r="I29" i="9"/>
  <c r="C29" i="7"/>
  <c r="C29" i="20"/>
  <c r="C29" i="19"/>
  <c r="E29" i="19"/>
  <c r="C29" i="38655"/>
  <c r="I29" i="18"/>
  <c r="F29" i="18"/>
  <c r="F29" i="20"/>
  <c r="C29" i="18"/>
  <c r="H29" i="19"/>
  <c r="D15" i="5"/>
  <c r="B17" i="38659"/>
  <c r="E17" i="38659" s="1"/>
  <c r="G17" i="38659" s="1"/>
  <c r="E15" i="70"/>
  <c r="D31" i="5"/>
  <c r="B33" i="38659"/>
  <c r="E33" i="38659" s="1"/>
  <c r="G33" i="38659" s="1"/>
  <c r="E31" i="70"/>
  <c r="B18" i="38659"/>
  <c r="E18" i="38659" s="1"/>
  <c r="G18" i="38659" s="1"/>
  <c r="D16" i="5"/>
  <c r="E16" i="70"/>
  <c r="D13" i="5"/>
  <c r="B15" i="38659"/>
  <c r="E15" i="38659" s="1"/>
  <c r="G15" i="38659" s="1"/>
  <c r="E13" i="70"/>
  <c r="D38" i="5"/>
  <c r="B40" i="38659"/>
  <c r="E40" i="38659" s="1"/>
  <c r="G40" i="38659" s="1"/>
  <c r="E38" i="70"/>
  <c r="F27" i="5"/>
  <c r="C27" i="38"/>
  <c r="G27" i="38"/>
  <c r="E27" i="38"/>
  <c r="I27" i="20"/>
  <c r="E27" i="37"/>
  <c r="F27" i="38656"/>
  <c r="F27" i="20"/>
  <c r="E27" i="35"/>
  <c r="C27" i="36"/>
  <c r="E27" i="25"/>
  <c r="G27" i="34"/>
  <c r="F27" i="11"/>
  <c r="F27" i="10"/>
  <c r="E27" i="34"/>
  <c r="F27" i="8"/>
  <c r="I27" i="25"/>
  <c r="E27" i="36"/>
  <c r="I27" i="10"/>
  <c r="C27" i="10"/>
  <c r="C27" i="9"/>
  <c r="E27" i="82"/>
  <c r="C27" i="26"/>
  <c r="C27" i="34"/>
  <c r="G27" i="25"/>
  <c r="F27" i="9"/>
  <c r="C27" i="8"/>
  <c r="C27" i="11"/>
  <c r="F27" i="26"/>
  <c r="C27" i="35"/>
  <c r="I27" i="26"/>
  <c r="I27" i="38655"/>
  <c r="I27" i="9"/>
  <c r="C27" i="25"/>
  <c r="F27" i="38655"/>
  <c r="G27" i="36"/>
  <c r="C27" i="7"/>
  <c r="C27" i="82"/>
  <c r="C27" i="37"/>
  <c r="I27" i="18"/>
  <c r="C27" i="27"/>
  <c r="C27" i="76" s="1"/>
  <c r="C27" i="20"/>
  <c r="F27" i="18"/>
  <c r="C27" i="18"/>
  <c r="C27" i="38656"/>
  <c r="I27" i="11"/>
  <c r="E27" i="19"/>
  <c r="C27" i="38655"/>
  <c r="C27" i="19"/>
  <c r="H27" i="19"/>
  <c r="F35" i="5"/>
  <c r="C35" i="38"/>
  <c r="E35" i="38"/>
  <c r="G35" i="38"/>
  <c r="I35" i="20"/>
  <c r="G35" i="34"/>
  <c r="E35" i="37"/>
  <c r="F35" i="11"/>
  <c r="E35" i="25"/>
  <c r="C35" i="35"/>
  <c r="G35" i="36"/>
  <c r="G35" i="25"/>
  <c r="C35" i="10"/>
  <c r="C35" i="36"/>
  <c r="I35" i="26"/>
  <c r="I35" i="25"/>
  <c r="C35" i="25"/>
  <c r="F35" i="9"/>
  <c r="E35" i="82"/>
  <c r="C35" i="27"/>
  <c r="C35" i="76" s="1"/>
  <c r="C35" i="7"/>
  <c r="I35" i="11"/>
  <c r="C35" i="82"/>
  <c r="I35" i="38655"/>
  <c r="C35" i="9"/>
  <c r="F35" i="20"/>
  <c r="I35" i="9"/>
  <c r="I35" i="10"/>
  <c r="F35" i="38656"/>
  <c r="E35" i="36"/>
  <c r="C35" i="26"/>
  <c r="F35" i="26"/>
  <c r="F35" i="38655"/>
  <c r="C35" i="34"/>
  <c r="C35" i="11"/>
  <c r="E35" i="34"/>
  <c r="F35" i="8"/>
  <c r="C35" i="8"/>
  <c r="F35" i="10"/>
  <c r="E35" i="35"/>
  <c r="C35" i="37"/>
  <c r="F35" i="18"/>
  <c r="C35" i="19"/>
  <c r="I35" i="18"/>
  <c r="C35" i="18"/>
  <c r="C35" i="20"/>
  <c r="E35" i="19"/>
  <c r="C35" i="38655"/>
  <c r="C35" i="38656"/>
  <c r="H35" i="19"/>
  <c r="B30" i="38659"/>
  <c r="E30" i="38659" s="1"/>
  <c r="G30" i="38659" s="1"/>
  <c r="D28" i="5"/>
  <c r="E28" i="70"/>
  <c r="D14" i="5"/>
  <c r="E14" i="70"/>
  <c r="F14" i="5" l="1"/>
  <c r="C14" i="38"/>
  <c r="E14" i="38"/>
  <c r="G14" i="38"/>
  <c r="I14" i="20"/>
  <c r="C14" i="11"/>
  <c r="C14" i="10"/>
  <c r="E14" i="34"/>
  <c r="C14" i="38656"/>
  <c r="I14" i="25"/>
  <c r="C14" i="8"/>
  <c r="I14" i="38655"/>
  <c r="F14" i="11"/>
  <c r="F14" i="38655"/>
  <c r="C14" i="82"/>
  <c r="G14" i="34"/>
  <c r="C14" i="35"/>
  <c r="C14" i="36"/>
  <c r="C14" i="37"/>
  <c r="G14" i="25"/>
  <c r="F14" i="10"/>
  <c r="I14" i="11"/>
  <c r="G14" i="36"/>
  <c r="C14" i="7"/>
  <c r="C14" i="25"/>
  <c r="E14" i="36"/>
  <c r="E14" i="25"/>
  <c r="C14" i="9"/>
  <c r="E14" i="82"/>
  <c r="C14" i="34"/>
  <c r="E14" i="35"/>
  <c r="F14" i="38656"/>
  <c r="I14" i="9"/>
  <c r="F14" i="9"/>
  <c r="I14" i="10"/>
  <c r="I14" i="26"/>
  <c r="C14" i="27"/>
  <c r="C14" i="76" s="1"/>
  <c r="E14" i="37"/>
  <c r="C14" i="26"/>
  <c r="F14" i="26"/>
  <c r="F14" i="8"/>
  <c r="F14" i="20"/>
  <c r="C14" i="20"/>
  <c r="I14" i="18"/>
  <c r="C14" i="38655"/>
  <c r="C14" i="19"/>
  <c r="E14" i="19"/>
  <c r="F14" i="18"/>
  <c r="C14" i="18"/>
  <c r="H14" i="19"/>
  <c r="D35" i="6"/>
  <c r="E35" i="6" s="1"/>
  <c r="C35" i="38648" s="1"/>
  <c r="K40" i="38659"/>
  <c r="L40" i="38659"/>
  <c r="F13" i="5"/>
  <c r="G13" i="38"/>
  <c r="C13" i="38"/>
  <c r="E13" i="38"/>
  <c r="I13" i="20"/>
  <c r="C13" i="8"/>
  <c r="C13" i="9"/>
  <c r="I13" i="11"/>
  <c r="E13" i="36"/>
  <c r="E13" i="82"/>
  <c r="I13" i="25"/>
  <c r="I13" i="38655"/>
  <c r="F13" i="38655"/>
  <c r="F13" i="8"/>
  <c r="G13" i="25"/>
  <c r="C13" i="82"/>
  <c r="C13" i="11"/>
  <c r="C13" i="10"/>
  <c r="I13" i="10"/>
  <c r="G13" i="34"/>
  <c r="I13" i="9"/>
  <c r="C13" i="36"/>
  <c r="F13" i="10"/>
  <c r="C13" i="34"/>
  <c r="C13" i="35"/>
  <c r="G13" i="36"/>
  <c r="E13" i="34"/>
  <c r="C13" i="27"/>
  <c r="C13" i="76" s="1"/>
  <c r="F13" i="11"/>
  <c r="C13" i="25"/>
  <c r="C13" i="7"/>
  <c r="E13" i="37"/>
  <c r="I13" i="26"/>
  <c r="F13" i="26"/>
  <c r="E13" i="35"/>
  <c r="F13" i="38656"/>
  <c r="C13" i="26"/>
  <c r="C13" i="37"/>
  <c r="E13" i="25"/>
  <c r="F13" i="9"/>
  <c r="C13" i="38656"/>
  <c r="F13" i="18"/>
  <c r="C13" i="38655"/>
  <c r="C13" i="20"/>
  <c r="C13" i="18"/>
  <c r="I13" i="18"/>
  <c r="C13" i="19"/>
  <c r="E13" i="19"/>
  <c r="F13" i="20"/>
  <c r="H13" i="19"/>
  <c r="K17" i="38659"/>
  <c r="L17" i="38659"/>
  <c r="K35" i="38659"/>
  <c r="L35" i="38659"/>
  <c r="K47" i="38659"/>
  <c r="L47" i="38659"/>
  <c r="F18" i="5"/>
  <c r="E18" i="38"/>
  <c r="G18" i="38"/>
  <c r="C18" i="38"/>
  <c r="I18" i="20"/>
  <c r="C18" i="8"/>
  <c r="C18" i="34"/>
  <c r="G18" i="36"/>
  <c r="E18" i="36"/>
  <c r="C18" i="36"/>
  <c r="E18" i="37"/>
  <c r="I18" i="26"/>
  <c r="C18" i="82"/>
  <c r="E18" i="34"/>
  <c r="F18" i="26"/>
  <c r="G18" i="34"/>
  <c r="C18" i="37"/>
  <c r="C18" i="11"/>
  <c r="C18" i="25"/>
  <c r="C18" i="35"/>
  <c r="C18" i="26"/>
  <c r="C18" i="9"/>
  <c r="I18" i="25"/>
  <c r="F18" i="11"/>
  <c r="F18" i="8"/>
  <c r="C18" i="27"/>
  <c r="C18" i="76" s="1"/>
  <c r="E18" i="35"/>
  <c r="E18" i="25"/>
  <c r="C18" i="7"/>
  <c r="E18" i="82"/>
  <c r="F18" i="38656"/>
  <c r="F18" i="38655"/>
  <c r="I18" i="9"/>
  <c r="C18" i="10"/>
  <c r="F18" i="10"/>
  <c r="G18" i="25"/>
  <c r="I18" i="11"/>
  <c r="I18" i="10"/>
  <c r="I18" i="18"/>
  <c r="C18" i="38655"/>
  <c r="F18" i="9"/>
  <c r="C18" i="20"/>
  <c r="E18" i="19"/>
  <c r="F18" i="20"/>
  <c r="F18" i="18"/>
  <c r="C18" i="19"/>
  <c r="I18" i="38655"/>
  <c r="C18" i="38656"/>
  <c r="C18" i="18"/>
  <c r="H18" i="19"/>
  <c r="E48" i="70"/>
  <c r="I48" i="45"/>
  <c r="C11" i="45"/>
  <c r="G11" i="42" s="1"/>
  <c r="C11" i="44"/>
  <c r="C11" i="42" s="1"/>
  <c r="I11" i="44"/>
  <c r="F11" i="42" s="1"/>
  <c r="E11" i="44"/>
  <c r="D11" i="42" s="1"/>
  <c r="G11" i="45"/>
  <c r="E11" i="45"/>
  <c r="H11" i="42" s="1"/>
  <c r="G11" i="44"/>
  <c r="E11" i="42" s="1"/>
  <c r="K41" i="38659"/>
  <c r="L41" i="38659"/>
  <c r="F24" i="5"/>
  <c r="C24" i="38"/>
  <c r="E24" i="38"/>
  <c r="G24" i="38"/>
  <c r="I24" i="20"/>
  <c r="G24" i="36"/>
  <c r="C24" i="82"/>
  <c r="C24" i="37"/>
  <c r="G24" i="34"/>
  <c r="F24" i="11"/>
  <c r="I24" i="25"/>
  <c r="I24" i="38655"/>
  <c r="C24" i="35"/>
  <c r="C24" i="8"/>
  <c r="C24" i="11"/>
  <c r="C24" i="9"/>
  <c r="C24" i="27"/>
  <c r="C24" i="76" s="1"/>
  <c r="E24" i="25"/>
  <c r="I24" i="11"/>
  <c r="F24" i="8"/>
  <c r="E24" i="82"/>
  <c r="I24" i="26"/>
  <c r="C24" i="36"/>
  <c r="F24" i="26"/>
  <c r="C24" i="26"/>
  <c r="F24" i="38655"/>
  <c r="E24" i="34"/>
  <c r="E24" i="37"/>
  <c r="G24" i="25"/>
  <c r="C24" i="34"/>
  <c r="E24" i="35"/>
  <c r="C24" i="38656"/>
  <c r="E24" i="36"/>
  <c r="I24" i="10"/>
  <c r="C24" i="7"/>
  <c r="F24" i="38656"/>
  <c r="I24" i="9"/>
  <c r="F24" i="9"/>
  <c r="F24" i="10"/>
  <c r="C24" i="10"/>
  <c r="C24" i="25"/>
  <c r="C24" i="18"/>
  <c r="F24" i="20"/>
  <c r="E24" i="19"/>
  <c r="I24" i="18"/>
  <c r="F24" i="18"/>
  <c r="C24" i="19"/>
  <c r="C24" i="20"/>
  <c r="C24" i="38655"/>
  <c r="H24" i="19"/>
  <c r="F37" i="5"/>
  <c r="C37" i="38"/>
  <c r="G37" i="38"/>
  <c r="E37" i="38"/>
  <c r="I37" i="38655"/>
  <c r="G37" i="34"/>
  <c r="E37" i="36"/>
  <c r="E37" i="25"/>
  <c r="I37" i="20"/>
  <c r="F37" i="9"/>
  <c r="F37" i="38655"/>
  <c r="E37" i="34"/>
  <c r="C37" i="36"/>
  <c r="C37" i="9"/>
  <c r="F37" i="10"/>
  <c r="I37" i="25"/>
  <c r="G37" i="36"/>
  <c r="C37" i="82"/>
  <c r="E37" i="82"/>
  <c r="C37" i="25"/>
  <c r="C37" i="10"/>
  <c r="E37" i="35"/>
  <c r="G37" i="25"/>
  <c r="C37" i="26"/>
  <c r="C37" i="8"/>
  <c r="C37" i="37"/>
  <c r="C37" i="35"/>
  <c r="F37" i="26"/>
  <c r="C37" i="7"/>
  <c r="I37" i="11"/>
  <c r="C37" i="34"/>
  <c r="C37" i="11"/>
  <c r="I37" i="9"/>
  <c r="F37" i="11"/>
  <c r="F37" i="8"/>
  <c r="I37" i="26"/>
  <c r="I37" i="10"/>
  <c r="F37" i="38656"/>
  <c r="E37" i="37"/>
  <c r="F37" i="18"/>
  <c r="E37" i="19"/>
  <c r="C37" i="27"/>
  <c r="C37" i="76" s="1"/>
  <c r="C37" i="38655"/>
  <c r="I37" i="18"/>
  <c r="C37" i="19"/>
  <c r="C37" i="20"/>
  <c r="F37" i="20"/>
  <c r="C37" i="18"/>
  <c r="C37" i="38656"/>
  <c r="H37" i="19"/>
  <c r="D34" i="6"/>
  <c r="E34" i="6" s="1"/>
  <c r="C34" i="38648" s="1"/>
  <c r="K42" i="38659"/>
  <c r="L42" i="38659"/>
  <c r="F43" i="5"/>
  <c r="C43" i="38"/>
  <c r="E43" i="38"/>
  <c r="G43" i="38"/>
  <c r="I43" i="20"/>
  <c r="I43" i="25"/>
  <c r="C43" i="37"/>
  <c r="C43" i="27"/>
  <c r="C43" i="76" s="1"/>
  <c r="C43" i="8"/>
  <c r="E43" i="37"/>
  <c r="I43" i="38655"/>
  <c r="F43" i="9"/>
  <c r="C43" i="9"/>
  <c r="F43" i="11"/>
  <c r="E43" i="82"/>
  <c r="C43" i="26"/>
  <c r="C43" i="25"/>
  <c r="E43" i="35"/>
  <c r="F43" i="10"/>
  <c r="C43" i="7"/>
  <c r="C43" i="38656"/>
  <c r="C43" i="11"/>
  <c r="E43" i="36"/>
  <c r="C43" i="34"/>
  <c r="C43" i="35"/>
  <c r="G43" i="36"/>
  <c r="I43" i="10"/>
  <c r="F43" i="8"/>
  <c r="I43" i="9"/>
  <c r="F43" i="26"/>
  <c r="E43" i="25"/>
  <c r="I43" i="26"/>
  <c r="E43" i="34"/>
  <c r="C43" i="36"/>
  <c r="F43" i="38656"/>
  <c r="C43" i="10"/>
  <c r="G43" i="25"/>
  <c r="C43" i="82"/>
  <c r="G43" i="34"/>
  <c r="F43" i="38655"/>
  <c r="C43" i="20"/>
  <c r="F43" i="20"/>
  <c r="E43" i="19"/>
  <c r="C43" i="19"/>
  <c r="I43" i="11"/>
  <c r="C43" i="18"/>
  <c r="C43" i="38655"/>
  <c r="F43" i="18"/>
  <c r="I43" i="18"/>
  <c r="H43" i="19"/>
  <c r="F17" i="5"/>
  <c r="C17" i="38"/>
  <c r="E17" i="38"/>
  <c r="G17" i="38"/>
  <c r="I17" i="20"/>
  <c r="G17" i="36"/>
  <c r="C17" i="27"/>
  <c r="C17" i="76" s="1"/>
  <c r="C17" i="37"/>
  <c r="C17" i="9"/>
  <c r="I17" i="10"/>
  <c r="C17" i="34"/>
  <c r="E17" i="25"/>
  <c r="G17" i="34"/>
  <c r="I17" i="26"/>
  <c r="F17" i="38656"/>
  <c r="C17" i="10"/>
  <c r="F17" i="26"/>
  <c r="I17" i="11"/>
  <c r="E17" i="34"/>
  <c r="C17" i="35"/>
  <c r="C17" i="25"/>
  <c r="C17" i="26"/>
  <c r="F17" i="10"/>
  <c r="F17" i="38655"/>
  <c r="G17" i="25"/>
  <c r="E17" i="35"/>
  <c r="E17" i="37"/>
  <c r="E17" i="36"/>
  <c r="E17" i="82"/>
  <c r="F17" i="8"/>
  <c r="C17" i="11"/>
  <c r="I17" i="25"/>
  <c r="I17" i="38655"/>
  <c r="C17" i="82"/>
  <c r="F17" i="11"/>
  <c r="C17" i="8"/>
  <c r="C17" i="36"/>
  <c r="F17" i="9"/>
  <c r="C17" i="7"/>
  <c r="I17" i="18"/>
  <c r="F17" i="18"/>
  <c r="C17" i="19"/>
  <c r="I17" i="9"/>
  <c r="F17" i="20"/>
  <c r="C17" i="20"/>
  <c r="E17" i="19"/>
  <c r="C17" i="38656"/>
  <c r="C17" i="38655"/>
  <c r="H17" i="19"/>
  <c r="C17" i="18"/>
  <c r="F20" i="5"/>
  <c r="E20" i="38"/>
  <c r="C20" i="38"/>
  <c r="G20" i="38"/>
  <c r="C20" i="37"/>
  <c r="I20" i="20"/>
  <c r="C20" i="8"/>
  <c r="C20" i="25"/>
  <c r="F20" i="10"/>
  <c r="F20" i="38655"/>
  <c r="G20" i="36"/>
  <c r="F20" i="38656"/>
  <c r="I20" i="11"/>
  <c r="E20" i="35"/>
  <c r="C20" i="35"/>
  <c r="F20" i="8"/>
  <c r="C20" i="82"/>
  <c r="C20" i="9"/>
  <c r="C20" i="11"/>
  <c r="C20" i="10"/>
  <c r="G20" i="25"/>
  <c r="C20" i="38656"/>
  <c r="I20" i="25"/>
  <c r="I20" i="9"/>
  <c r="C20" i="34"/>
  <c r="F20" i="9"/>
  <c r="I20" i="26"/>
  <c r="I20" i="38655"/>
  <c r="F20" i="26"/>
  <c r="F20" i="11"/>
  <c r="E20" i="82"/>
  <c r="I20" i="10"/>
  <c r="G20" i="34"/>
  <c r="C20" i="36"/>
  <c r="C20" i="7"/>
  <c r="E20" i="34"/>
  <c r="C20" i="26"/>
  <c r="E20" i="36"/>
  <c r="E20" i="25"/>
  <c r="E20" i="37"/>
  <c r="F20" i="18"/>
  <c r="F20" i="20"/>
  <c r="I20" i="18"/>
  <c r="C20" i="20"/>
  <c r="C20" i="27"/>
  <c r="C20" i="76" s="1"/>
  <c r="C20" i="19"/>
  <c r="C20" i="18"/>
  <c r="E20" i="19"/>
  <c r="C20" i="38655"/>
  <c r="H20" i="19"/>
  <c r="F22" i="5"/>
  <c r="C22" i="38"/>
  <c r="G22" i="38"/>
  <c r="E22" i="38"/>
  <c r="I22" i="20"/>
  <c r="I22" i="11"/>
  <c r="E22" i="34"/>
  <c r="F22" i="38656"/>
  <c r="F22" i="8"/>
  <c r="C22" i="37"/>
  <c r="C22" i="8"/>
  <c r="F22" i="11"/>
  <c r="G22" i="25"/>
  <c r="F22" i="38655"/>
  <c r="C22" i="34"/>
  <c r="F22" i="26"/>
  <c r="E22" i="36"/>
  <c r="I22" i="10"/>
  <c r="C22" i="25"/>
  <c r="F22" i="10"/>
  <c r="I22" i="9"/>
  <c r="C22" i="35"/>
  <c r="I22" i="26"/>
  <c r="I22" i="25"/>
  <c r="C22" i="11"/>
  <c r="I22" i="38655"/>
  <c r="C22" i="27"/>
  <c r="C22" i="76" s="1"/>
  <c r="E22" i="37"/>
  <c r="E22" i="35"/>
  <c r="C22" i="10"/>
  <c r="E22" i="25"/>
  <c r="C22" i="7"/>
  <c r="C22" i="36"/>
  <c r="C22" i="26"/>
  <c r="C22" i="9"/>
  <c r="E22" i="82"/>
  <c r="G22" i="36"/>
  <c r="F22" i="9"/>
  <c r="G22" i="34"/>
  <c r="C22" i="82"/>
  <c r="C22" i="19"/>
  <c r="C22" i="38655"/>
  <c r="E22" i="19"/>
  <c r="C22" i="38656"/>
  <c r="I22" i="18"/>
  <c r="C22" i="20"/>
  <c r="F22" i="20"/>
  <c r="C22" i="18"/>
  <c r="F22" i="18"/>
  <c r="H22" i="19"/>
  <c r="K27" i="38659"/>
  <c r="L27" i="38659"/>
  <c r="F50" i="5"/>
  <c r="D50" i="6" s="1"/>
  <c r="E50" i="6" s="1"/>
  <c r="C50" i="38648" s="1"/>
  <c r="G50" i="38"/>
  <c r="C50" i="38"/>
  <c r="E50" i="38"/>
  <c r="F50" i="26"/>
  <c r="I50" i="20"/>
  <c r="I50" i="11"/>
  <c r="F50" i="8"/>
  <c r="C50" i="34"/>
  <c r="E50" i="25"/>
  <c r="C50" i="11"/>
  <c r="C50" i="9"/>
  <c r="E50" i="37"/>
  <c r="G50" i="25"/>
  <c r="C50" i="8"/>
  <c r="F50" i="11"/>
  <c r="E50" i="34"/>
  <c r="C50" i="37"/>
  <c r="C50" i="35"/>
  <c r="I50" i="9"/>
  <c r="G50" i="36"/>
  <c r="F50" i="9"/>
  <c r="F50" i="38655"/>
  <c r="F50" i="38656"/>
  <c r="I50" i="38655"/>
  <c r="I50" i="25"/>
  <c r="E50" i="36"/>
  <c r="C50" i="10"/>
  <c r="E50" i="35"/>
  <c r="C50" i="27"/>
  <c r="C50" i="76" s="1"/>
  <c r="C50" i="25"/>
  <c r="C50" i="7"/>
  <c r="G50" i="34"/>
  <c r="C50" i="26"/>
  <c r="C50" i="36"/>
  <c r="F50" i="10"/>
  <c r="E50" i="82"/>
  <c r="I50" i="26"/>
  <c r="C50" i="82"/>
  <c r="I50" i="10"/>
  <c r="C50" i="20"/>
  <c r="C50" i="18"/>
  <c r="F50" i="20"/>
  <c r="E50" i="19"/>
  <c r="C50" i="38656"/>
  <c r="C50" i="19"/>
  <c r="C50" i="38655"/>
  <c r="F50" i="18"/>
  <c r="I50" i="18"/>
  <c r="H50" i="19"/>
  <c r="K15" i="38659"/>
  <c r="L15" i="38659"/>
  <c r="K18" i="38659"/>
  <c r="L18" i="38659"/>
  <c r="D29" i="6"/>
  <c r="E29" i="6" s="1"/>
  <c r="C29" i="38648" s="1"/>
  <c r="F45" i="5"/>
  <c r="C45" i="38"/>
  <c r="G45" i="38"/>
  <c r="E45" i="38"/>
  <c r="G45" i="36"/>
  <c r="I45" i="20"/>
  <c r="G45" i="34"/>
  <c r="C45" i="36"/>
  <c r="I45" i="25"/>
  <c r="I45" i="10"/>
  <c r="F45" i="38656"/>
  <c r="C45" i="25"/>
  <c r="C45" i="34"/>
  <c r="I45" i="26"/>
  <c r="C45" i="37"/>
  <c r="F45" i="8"/>
  <c r="I45" i="11"/>
  <c r="F45" i="10"/>
  <c r="F45" i="11"/>
  <c r="G45" i="25"/>
  <c r="E45" i="35"/>
  <c r="C45" i="10"/>
  <c r="F45" i="38655"/>
  <c r="E45" i="36"/>
  <c r="C45" i="26"/>
  <c r="F45" i="26"/>
  <c r="F45" i="9"/>
  <c r="C45" i="9"/>
  <c r="I45" i="38655"/>
  <c r="E45" i="25"/>
  <c r="C45" i="11"/>
  <c r="E45" i="82"/>
  <c r="C45" i="7"/>
  <c r="E45" i="34"/>
  <c r="C45" i="35"/>
  <c r="E45" i="37"/>
  <c r="C45" i="38656"/>
  <c r="I45" i="9"/>
  <c r="C45" i="82"/>
  <c r="C45" i="8"/>
  <c r="C45" i="38655"/>
  <c r="E45" i="19"/>
  <c r="C45" i="27"/>
  <c r="C45" i="76" s="1"/>
  <c r="C45" i="19"/>
  <c r="F45" i="18"/>
  <c r="I45" i="18"/>
  <c r="C45" i="20"/>
  <c r="F45" i="20"/>
  <c r="H45" i="19"/>
  <c r="C45" i="18"/>
  <c r="K14" i="38659"/>
  <c r="L14" i="38659"/>
  <c r="K21" i="38659"/>
  <c r="L21" i="38659"/>
  <c r="F39" i="5"/>
  <c r="E39" i="38"/>
  <c r="C39" i="38"/>
  <c r="G39" i="38"/>
  <c r="C39" i="38656"/>
  <c r="I39" i="20"/>
  <c r="F39" i="9"/>
  <c r="G39" i="34"/>
  <c r="C39" i="9"/>
  <c r="E39" i="25"/>
  <c r="C39" i="82"/>
  <c r="I39" i="9"/>
  <c r="C39" i="35"/>
  <c r="E39" i="34"/>
  <c r="F39" i="38656"/>
  <c r="F39" i="38655"/>
  <c r="G39" i="25"/>
  <c r="C39" i="37"/>
  <c r="F39" i="8"/>
  <c r="C39" i="8"/>
  <c r="I39" i="26"/>
  <c r="C39" i="10"/>
  <c r="C39" i="27"/>
  <c r="C39" i="76" s="1"/>
  <c r="G39" i="36"/>
  <c r="F39" i="11"/>
  <c r="E39" i="36"/>
  <c r="E39" i="35"/>
  <c r="F39" i="26"/>
  <c r="I39" i="10"/>
  <c r="C39" i="26"/>
  <c r="C39" i="7"/>
  <c r="C39" i="11"/>
  <c r="C39" i="36"/>
  <c r="C39" i="34"/>
  <c r="I39" i="38655"/>
  <c r="F39" i="10"/>
  <c r="C39" i="25"/>
  <c r="E39" i="82"/>
  <c r="E39" i="37"/>
  <c r="I39" i="11"/>
  <c r="I39" i="25"/>
  <c r="F39" i="20"/>
  <c r="I39" i="18"/>
  <c r="F39" i="18"/>
  <c r="C39" i="38655"/>
  <c r="E39" i="19"/>
  <c r="C39" i="18"/>
  <c r="C39" i="19"/>
  <c r="C39" i="20"/>
  <c r="H39" i="19"/>
  <c r="K39" i="38659"/>
  <c r="L39" i="38659"/>
  <c r="K45" i="38659"/>
  <c r="L45" i="38659"/>
  <c r="K46" i="38659"/>
  <c r="L46" i="38659"/>
  <c r="K19" i="38659"/>
  <c r="L19" i="38659"/>
  <c r="F36" i="5"/>
  <c r="E36" i="38"/>
  <c r="G36" i="38"/>
  <c r="C36" i="38"/>
  <c r="F36" i="26"/>
  <c r="I36" i="20"/>
  <c r="G36" i="34"/>
  <c r="I36" i="11"/>
  <c r="F36" i="38655"/>
  <c r="C36" i="11"/>
  <c r="E36" i="25"/>
  <c r="I36" i="9"/>
  <c r="E36" i="82"/>
  <c r="F36" i="11"/>
  <c r="I36" i="25"/>
  <c r="F36" i="10"/>
  <c r="I36" i="26"/>
  <c r="E36" i="37"/>
  <c r="C36" i="35"/>
  <c r="C36" i="37"/>
  <c r="C36" i="9"/>
  <c r="C36" i="25"/>
  <c r="F36" i="8"/>
  <c r="C36" i="36"/>
  <c r="G36" i="36"/>
  <c r="F36" i="38656"/>
  <c r="C36" i="7"/>
  <c r="C36" i="38656"/>
  <c r="F36" i="9"/>
  <c r="I36" i="10"/>
  <c r="C36" i="10"/>
  <c r="E36" i="36"/>
  <c r="C36" i="82"/>
  <c r="E36" i="34"/>
  <c r="C36" i="34"/>
  <c r="C36" i="8"/>
  <c r="C36" i="26"/>
  <c r="E36" i="35"/>
  <c r="G36" i="25"/>
  <c r="C36" i="38655"/>
  <c r="F36" i="20"/>
  <c r="I36" i="18"/>
  <c r="C36" i="20"/>
  <c r="C36" i="18"/>
  <c r="F36" i="18"/>
  <c r="C36" i="27"/>
  <c r="C36" i="76" s="1"/>
  <c r="I36" i="38655"/>
  <c r="E36" i="19"/>
  <c r="C36" i="19"/>
  <c r="H36" i="19"/>
  <c r="K24" i="38659"/>
  <c r="L24" i="38659"/>
  <c r="K43" i="38659"/>
  <c r="L43" i="38659"/>
  <c r="K30" i="38659"/>
  <c r="L30" i="38659"/>
  <c r="D27" i="6"/>
  <c r="E27" i="6" s="1"/>
  <c r="C27" i="38648" s="1"/>
  <c r="F31" i="5"/>
  <c r="G31" i="38"/>
  <c r="C31" i="38"/>
  <c r="E31" i="38"/>
  <c r="I31" i="20"/>
  <c r="G31" i="34"/>
  <c r="C31" i="37"/>
  <c r="E31" i="25"/>
  <c r="C31" i="11"/>
  <c r="I31" i="26"/>
  <c r="I31" i="38655"/>
  <c r="E31" i="35"/>
  <c r="E31" i="37"/>
  <c r="G31" i="36"/>
  <c r="C31" i="27"/>
  <c r="C31" i="76" s="1"/>
  <c r="F31" i="10"/>
  <c r="F31" i="9"/>
  <c r="C31" i="10"/>
  <c r="F31" i="38655"/>
  <c r="I31" i="11"/>
  <c r="F31" i="26"/>
  <c r="I31" i="25"/>
  <c r="C31" i="34"/>
  <c r="E31" i="34"/>
  <c r="F31" i="8"/>
  <c r="I31" i="9"/>
  <c r="I31" i="10"/>
  <c r="C31" i="35"/>
  <c r="C31" i="9"/>
  <c r="C31" i="82"/>
  <c r="C31" i="25"/>
  <c r="C31" i="8"/>
  <c r="F31" i="11"/>
  <c r="C31" i="7"/>
  <c r="E31" i="82"/>
  <c r="C31" i="26"/>
  <c r="E31" i="36"/>
  <c r="G31" i="25"/>
  <c r="C31" i="36"/>
  <c r="F31" i="38656"/>
  <c r="C31" i="38656"/>
  <c r="F31" i="20"/>
  <c r="C31" i="38655"/>
  <c r="C31" i="19"/>
  <c r="I31" i="18"/>
  <c r="C31" i="20"/>
  <c r="C31" i="18"/>
  <c r="E31" i="19"/>
  <c r="F31" i="18"/>
  <c r="H31" i="19"/>
  <c r="K23" i="38659"/>
  <c r="L23" i="38659"/>
  <c r="F44" i="5"/>
  <c r="C44" i="38"/>
  <c r="E44" i="38"/>
  <c r="G44" i="38"/>
  <c r="E44" i="36"/>
  <c r="I44" i="20"/>
  <c r="C44" i="7"/>
  <c r="C44" i="27"/>
  <c r="C44" i="76" s="1"/>
  <c r="F44" i="8"/>
  <c r="C44" i="25"/>
  <c r="C44" i="9"/>
  <c r="E44" i="35"/>
  <c r="C44" i="8"/>
  <c r="F44" i="9"/>
  <c r="I44" i="26"/>
  <c r="E44" i="37"/>
  <c r="C44" i="10"/>
  <c r="I44" i="38655"/>
  <c r="C44" i="37"/>
  <c r="F44" i="38655"/>
  <c r="C44" i="36"/>
  <c r="E44" i="82"/>
  <c r="F44" i="10"/>
  <c r="I44" i="9"/>
  <c r="C44" i="11"/>
  <c r="G44" i="25"/>
  <c r="C44" i="26"/>
  <c r="F44" i="26"/>
  <c r="E44" i="25"/>
  <c r="C44" i="82"/>
  <c r="I44" i="10"/>
  <c r="G44" i="34"/>
  <c r="C44" i="34"/>
  <c r="I44" i="25"/>
  <c r="C44" i="35"/>
  <c r="F44" i="38656"/>
  <c r="G44" i="36"/>
  <c r="I44" i="11"/>
  <c r="E44" i="34"/>
  <c r="F44" i="11"/>
  <c r="C44" i="19"/>
  <c r="C44" i="38655"/>
  <c r="F44" i="20"/>
  <c r="C44" i="38656"/>
  <c r="C44" i="20"/>
  <c r="E44" i="19"/>
  <c r="I44" i="18"/>
  <c r="F44" i="18"/>
  <c r="C44" i="18"/>
  <c r="H44" i="19"/>
  <c r="K38" i="38659"/>
  <c r="L38" i="38659"/>
  <c r="F23" i="5"/>
  <c r="C23" i="38"/>
  <c r="G23" i="38"/>
  <c r="E23" i="38"/>
  <c r="I23" i="20"/>
  <c r="F23" i="8"/>
  <c r="C23" i="34"/>
  <c r="E23" i="82"/>
  <c r="E23" i="35"/>
  <c r="I23" i="10"/>
  <c r="G23" i="25"/>
  <c r="F23" i="26"/>
  <c r="C23" i="82"/>
  <c r="C23" i="36"/>
  <c r="I23" i="26"/>
  <c r="C23" i="26"/>
  <c r="C23" i="9"/>
  <c r="C23" i="25"/>
  <c r="F23" i="9"/>
  <c r="F23" i="10"/>
  <c r="G23" i="34"/>
  <c r="C23" i="10"/>
  <c r="I23" i="25"/>
  <c r="E23" i="37"/>
  <c r="F23" i="11"/>
  <c r="F23" i="38656"/>
  <c r="E23" i="25"/>
  <c r="E23" i="34"/>
  <c r="E23" i="36"/>
  <c r="I23" i="9"/>
  <c r="F23" i="38655"/>
  <c r="I23" i="11"/>
  <c r="G23" i="36"/>
  <c r="C23" i="8"/>
  <c r="C23" i="38656"/>
  <c r="C23" i="7"/>
  <c r="C23" i="37"/>
  <c r="C23" i="11"/>
  <c r="C23" i="35"/>
  <c r="I23" i="38655"/>
  <c r="C23" i="27"/>
  <c r="C23" i="76" s="1"/>
  <c r="C23" i="19"/>
  <c r="C23" i="18"/>
  <c r="F23" i="20"/>
  <c r="F23" i="18"/>
  <c r="C23" i="20"/>
  <c r="I23" i="18"/>
  <c r="C23" i="38655"/>
  <c r="H23" i="19"/>
  <c r="E23" i="19"/>
  <c r="F41" i="5"/>
  <c r="C41" i="38"/>
  <c r="G41" i="38"/>
  <c r="E41" i="38"/>
  <c r="I41" i="10"/>
  <c r="I41" i="20"/>
  <c r="C41" i="26"/>
  <c r="E41" i="36"/>
  <c r="I41" i="38655"/>
  <c r="I41" i="9"/>
  <c r="C41" i="34"/>
  <c r="F41" i="26"/>
  <c r="F41" i="38655"/>
  <c r="C41" i="82"/>
  <c r="C41" i="7"/>
  <c r="I41" i="11"/>
  <c r="C41" i="35"/>
  <c r="C41" i="10"/>
  <c r="G41" i="36"/>
  <c r="F41" i="10"/>
  <c r="C41" i="36"/>
  <c r="E41" i="37"/>
  <c r="C41" i="9"/>
  <c r="C41" i="11"/>
  <c r="F41" i="11"/>
  <c r="C41" i="27"/>
  <c r="C41" i="76" s="1"/>
  <c r="F41" i="38656"/>
  <c r="E41" i="34"/>
  <c r="G41" i="34"/>
  <c r="I41" i="26"/>
  <c r="I41" i="25"/>
  <c r="C41" i="8"/>
  <c r="E41" i="82"/>
  <c r="E41" i="35"/>
  <c r="C41" i="38656"/>
  <c r="F41" i="9"/>
  <c r="G41" i="25"/>
  <c r="C41" i="25"/>
  <c r="F41" i="8"/>
  <c r="C41" i="37"/>
  <c r="E41" i="25"/>
  <c r="F41" i="18"/>
  <c r="C41" i="18"/>
  <c r="F41" i="20"/>
  <c r="C41" i="38655"/>
  <c r="I41" i="18"/>
  <c r="C41" i="19"/>
  <c r="E41" i="19"/>
  <c r="C41" i="20"/>
  <c r="H41" i="19"/>
  <c r="D30" i="6"/>
  <c r="E30" i="6" s="1"/>
  <c r="C30" i="38648" s="1"/>
  <c r="F16" i="5"/>
  <c r="G16" i="38"/>
  <c r="C16" i="38"/>
  <c r="E16" i="38"/>
  <c r="G16" i="34"/>
  <c r="E16" i="36"/>
  <c r="I16" i="20"/>
  <c r="I16" i="25"/>
  <c r="E16" i="25"/>
  <c r="I16" i="11"/>
  <c r="C16" i="38656"/>
  <c r="C16" i="8"/>
  <c r="F16" i="11"/>
  <c r="C16" i="11"/>
  <c r="I16" i="26"/>
  <c r="C16" i="26"/>
  <c r="C16" i="36"/>
  <c r="E16" i="37"/>
  <c r="I16" i="9"/>
  <c r="F16" i="10"/>
  <c r="F16" i="26"/>
  <c r="G16" i="25"/>
  <c r="C16" i="10"/>
  <c r="C16" i="34"/>
  <c r="G16" i="36"/>
  <c r="F16" i="9"/>
  <c r="F16" i="38655"/>
  <c r="E16" i="35"/>
  <c r="C16" i="9"/>
  <c r="E16" i="82"/>
  <c r="E16" i="34"/>
  <c r="C16" i="25"/>
  <c r="C16" i="82"/>
  <c r="F16" i="38656"/>
  <c r="I16" i="10"/>
  <c r="C16" i="37"/>
  <c r="C16" i="35"/>
  <c r="C16" i="20"/>
  <c r="C16" i="7"/>
  <c r="F16" i="8"/>
  <c r="I16" i="38655"/>
  <c r="C16" i="38655"/>
  <c r="C16" i="27"/>
  <c r="C16" i="76" s="1"/>
  <c r="F16" i="18"/>
  <c r="F16" i="20"/>
  <c r="I16" i="18"/>
  <c r="C16" i="19"/>
  <c r="C16" i="18"/>
  <c r="H16" i="19"/>
  <c r="E16" i="19"/>
  <c r="K48" i="38659"/>
  <c r="L48" i="38659"/>
  <c r="F12" i="5"/>
  <c r="E12" i="38"/>
  <c r="G12" i="38"/>
  <c r="C12" i="38"/>
  <c r="C12" i="37"/>
  <c r="I12" i="20"/>
  <c r="I12" i="10"/>
  <c r="C12" i="11"/>
  <c r="F12" i="26"/>
  <c r="F12" i="8"/>
  <c r="C12" i="10"/>
  <c r="I12" i="38655"/>
  <c r="E12" i="35"/>
  <c r="C12" i="36"/>
  <c r="C12" i="25"/>
  <c r="I12" i="9"/>
  <c r="C12" i="8"/>
  <c r="F12" i="9"/>
  <c r="G12" i="34"/>
  <c r="I12" i="11"/>
  <c r="E12" i="82"/>
  <c r="C12" i="38656"/>
  <c r="F12" i="38656"/>
  <c r="C12" i="26"/>
  <c r="C12" i="35"/>
  <c r="G12" i="25"/>
  <c r="F12" i="10"/>
  <c r="F12" i="11"/>
  <c r="C12" i="34"/>
  <c r="E12" i="34"/>
  <c r="C12" i="7"/>
  <c r="F12" i="38655"/>
  <c r="C12" i="82"/>
  <c r="I12" i="25"/>
  <c r="E12" i="37"/>
  <c r="C12" i="27"/>
  <c r="C12" i="76" s="1"/>
  <c r="G12" i="36"/>
  <c r="I12" i="26"/>
  <c r="C12" i="9"/>
  <c r="E12" i="36"/>
  <c r="E12" i="25"/>
  <c r="E12" i="19"/>
  <c r="I12" i="18"/>
  <c r="C12" i="19"/>
  <c r="F12" i="18"/>
  <c r="C12" i="18"/>
  <c r="F12" i="20"/>
  <c r="C12" i="38655"/>
  <c r="C12" i="20"/>
  <c r="H12" i="19"/>
  <c r="F19" i="5"/>
  <c r="C19" i="38"/>
  <c r="G19" i="38"/>
  <c r="E19" i="38"/>
  <c r="F19" i="11"/>
  <c r="G19" i="34"/>
  <c r="I19" i="20"/>
  <c r="C19" i="37"/>
  <c r="C19" i="10"/>
  <c r="I19" i="11"/>
  <c r="F19" i="26"/>
  <c r="C19" i="82"/>
  <c r="C19" i="25"/>
  <c r="C19" i="36"/>
  <c r="E19" i="82"/>
  <c r="C19" i="9"/>
  <c r="I19" i="26"/>
  <c r="E19" i="36"/>
  <c r="C19" i="27"/>
  <c r="C19" i="76" s="1"/>
  <c r="E19" i="34"/>
  <c r="E19" i="35"/>
  <c r="F19" i="38656"/>
  <c r="I19" i="25"/>
  <c r="G19" i="25"/>
  <c r="C19" i="26"/>
  <c r="C19" i="35"/>
  <c r="E19" i="37"/>
  <c r="C19" i="8"/>
  <c r="F19" i="9"/>
  <c r="C19" i="34"/>
  <c r="F19" i="10"/>
  <c r="I19" i="10"/>
  <c r="F19" i="38655"/>
  <c r="I19" i="9"/>
  <c r="C19" i="7"/>
  <c r="C19" i="11"/>
  <c r="E19" i="25"/>
  <c r="G19" i="36"/>
  <c r="I19" i="38655"/>
  <c r="F19" i="8"/>
  <c r="C19" i="18"/>
  <c r="C19" i="38656"/>
  <c r="C19" i="20"/>
  <c r="C19" i="19"/>
  <c r="F19" i="18"/>
  <c r="F19" i="20"/>
  <c r="C19" i="38655"/>
  <c r="I19" i="18"/>
  <c r="E19" i="19"/>
  <c r="H19" i="19"/>
  <c r="F42" i="5"/>
  <c r="C42" i="38"/>
  <c r="E42" i="38"/>
  <c r="G42" i="38"/>
  <c r="I42" i="20"/>
  <c r="G42" i="34"/>
  <c r="C42" i="35"/>
  <c r="C42" i="7"/>
  <c r="E42" i="34"/>
  <c r="F42" i="8"/>
  <c r="C42" i="11"/>
  <c r="C42" i="37"/>
  <c r="C42" i="36"/>
  <c r="E42" i="37"/>
  <c r="E42" i="25"/>
  <c r="C42" i="26"/>
  <c r="F42" i="9"/>
  <c r="I42" i="10"/>
  <c r="C42" i="10"/>
  <c r="F42" i="10"/>
  <c r="I42" i="26"/>
  <c r="F42" i="38655"/>
  <c r="C42" i="8"/>
  <c r="F42" i="26"/>
  <c r="E42" i="36"/>
  <c r="E42" i="35"/>
  <c r="C42" i="34"/>
  <c r="G42" i="25"/>
  <c r="I42" i="11"/>
  <c r="F42" i="38656"/>
  <c r="C42" i="9"/>
  <c r="C42" i="25"/>
  <c r="E42" i="82"/>
  <c r="I42" i="25"/>
  <c r="I42" i="38655"/>
  <c r="C42" i="82"/>
  <c r="I42" i="9"/>
  <c r="G42" i="36"/>
  <c r="C42" i="27"/>
  <c r="C42" i="76" s="1"/>
  <c r="F42" i="11"/>
  <c r="I42" i="18"/>
  <c r="C42" i="20"/>
  <c r="F42" i="20"/>
  <c r="C42" i="18"/>
  <c r="C42" i="38656"/>
  <c r="C42" i="38655"/>
  <c r="F42" i="18"/>
  <c r="C42" i="19"/>
  <c r="E42" i="19"/>
  <c r="H42" i="19"/>
  <c r="E13" i="38659"/>
  <c r="G13" i="38659" s="1"/>
  <c r="B50" i="38659"/>
  <c r="F51" i="5"/>
  <c r="D51" i="6" s="1"/>
  <c r="E51" i="6" s="1"/>
  <c r="C51" i="38648" s="1"/>
  <c r="C51" i="38"/>
  <c r="E51" i="38"/>
  <c r="G51" i="38"/>
  <c r="F51" i="26"/>
  <c r="I51" i="20"/>
  <c r="G51" i="34"/>
  <c r="C51" i="9"/>
  <c r="C51" i="7"/>
  <c r="I51" i="38655"/>
  <c r="C51" i="38656"/>
  <c r="C51" i="11"/>
  <c r="I51" i="26"/>
  <c r="G51" i="36"/>
  <c r="E51" i="36"/>
  <c r="F51" i="9"/>
  <c r="F51" i="38656"/>
  <c r="F51" i="38655"/>
  <c r="C51" i="26"/>
  <c r="C51" i="27"/>
  <c r="C51" i="76" s="1"/>
  <c r="C51" i="37"/>
  <c r="E51" i="34"/>
  <c r="C51" i="8"/>
  <c r="C51" i="25"/>
  <c r="C51" i="38655"/>
  <c r="F51" i="10"/>
  <c r="E51" i="82"/>
  <c r="F51" i="11"/>
  <c r="C51" i="36"/>
  <c r="F51" i="8"/>
  <c r="C51" i="10"/>
  <c r="I51" i="10"/>
  <c r="I51" i="25"/>
  <c r="C51" i="35"/>
  <c r="E51" i="25"/>
  <c r="I51" i="9"/>
  <c r="C51" i="34"/>
  <c r="E51" i="37"/>
  <c r="C51" i="82"/>
  <c r="E51" i="35"/>
  <c r="I51" i="11"/>
  <c r="G51" i="25"/>
  <c r="E51" i="19"/>
  <c r="I51" i="18"/>
  <c r="H51" i="19"/>
  <c r="C51" i="19"/>
  <c r="C51" i="20"/>
  <c r="F51" i="18"/>
  <c r="F51" i="20"/>
  <c r="C51" i="18"/>
  <c r="F28" i="5"/>
  <c r="E28" i="38"/>
  <c r="G28" i="38"/>
  <c r="C28" i="38"/>
  <c r="E28" i="36"/>
  <c r="I28" i="20"/>
  <c r="F28" i="9"/>
  <c r="C28" i="34"/>
  <c r="C28" i="36"/>
  <c r="E28" i="82"/>
  <c r="C28" i="26"/>
  <c r="F28" i="11"/>
  <c r="F28" i="38655"/>
  <c r="C28" i="10"/>
  <c r="I28" i="25"/>
  <c r="I28" i="10"/>
  <c r="G28" i="36"/>
  <c r="E28" i="34"/>
  <c r="I28" i="38655"/>
  <c r="F28" i="38656"/>
  <c r="C28" i="38656"/>
  <c r="C28" i="82"/>
  <c r="I28" i="9"/>
  <c r="F28" i="10"/>
  <c r="C28" i="25"/>
  <c r="C28" i="11"/>
  <c r="C28" i="27"/>
  <c r="C28" i="76" s="1"/>
  <c r="F28" i="26"/>
  <c r="G28" i="25"/>
  <c r="E28" i="37"/>
  <c r="E28" i="35"/>
  <c r="G28" i="34"/>
  <c r="C28" i="35"/>
  <c r="I28" i="26"/>
  <c r="F28" i="8"/>
  <c r="C28" i="37"/>
  <c r="I28" i="11"/>
  <c r="C28" i="8"/>
  <c r="E28" i="25"/>
  <c r="C28" i="9"/>
  <c r="C28" i="7"/>
  <c r="E28" i="19"/>
  <c r="F28" i="20"/>
  <c r="C28" i="19"/>
  <c r="C28" i="18"/>
  <c r="C28" i="38655"/>
  <c r="C28" i="20"/>
  <c r="I28" i="18"/>
  <c r="F28" i="18"/>
  <c r="H28" i="19"/>
  <c r="F38" i="5"/>
  <c r="E38" i="38"/>
  <c r="C38" i="38"/>
  <c r="G38" i="38"/>
  <c r="I38" i="20"/>
  <c r="C38" i="35"/>
  <c r="F38" i="38656"/>
  <c r="I38" i="38655"/>
  <c r="C38" i="9"/>
  <c r="E38" i="25"/>
  <c r="C38" i="25"/>
  <c r="C38" i="82"/>
  <c r="G38" i="34"/>
  <c r="C38" i="34"/>
  <c r="I38" i="26"/>
  <c r="C38" i="27"/>
  <c r="C38" i="76" s="1"/>
  <c r="E38" i="34"/>
  <c r="I38" i="25"/>
  <c r="F38" i="9"/>
  <c r="F38" i="11"/>
  <c r="G38" i="36"/>
  <c r="F38" i="10"/>
  <c r="C38" i="11"/>
  <c r="F38" i="38655"/>
  <c r="I38" i="9"/>
  <c r="F38" i="8"/>
  <c r="E38" i="35"/>
  <c r="C38" i="26"/>
  <c r="E38" i="82"/>
  <c r="C38" i="7"/>
  <c r="C38" i="36"/>
  <c r="E38" i="36"/>
  <c r="C38" i="10"/>
  <c r="E38" i="37"/>
  <c r="G38" i="25"/>
  <c r="C38" i="8"/>
  <c r="I38" i="10"/>
  <c r="F38" i="26"/>
  <c r="C38" i="37"/>
  <c r="C38" i="20"/>
  <c r="C38" i="38656"/>
  <c r="C38" i="18"/>
  <c r="F38" i="20"/>
  <c r="I38" i="11"/>
  <c r="C38" i="38655"/>
  <c r="C38" i="19"/>
  <c r="I38" i="18"/>
  <c r="E38" i="19"/>
  <c r="F38" i="18"/>
  <c r="H38" i="19"/>
  <c r="K33" i="38659"/>
  <c r="L33" i="38659"/>
  <c r="F15" i="5"/>
  <c r="G15" i="38"/>
  <c r="E15" i="38"/>
  <c r="C15" i="38"/>
  <c r="E15" i="36"/>
  <c r="I15" i="20"/>
  <c r="C15" i="10"/>
  <c r="F15" i="10"/>
  <c r="F15" i="11"/>
  <c r="C15" i="9"/>
  <c r="I15" i="11"/>
  <c r="C15" i="26"/>
  <c r="E15" i="34"/>
  <c r="F15" i="8"/>
  <c r="E15" i="37"/>
  <c r="C15" i="37"/>
  <c r="C15" i="34"/>
  <c r="C15" i="7"/>
  <c r="I15" i="9"/>
  <c r="E15" i="82"/>
  <c r="I15" i="26"/>
  <c r="C15" i="35"/>
  <c r="C15" i="25"/>
  <c r="G15" i="34"/>
  <c r="F15" i="38656"/>
  <c r="C15" i="82"/>
  <c r="C15" i="11"/>
  <c r="E15" i="35"/>
  <c r="E15" i="25"/>
  <c r="C15" i="27"/>
  <c r="C15" i="76" s="1"/>
  <c r="F15" i="26"/>
  <c r="C15" i="8"/>
  <c r="F15" i="9"/>
  <c r="I15" i="25"/>
  <c r="C15" i="36"/>
  <c r="F15" i="38655"/>
  <c r="I15" i="10"/>
  <c r="C15" i="38656"/>
  <c r="G15" i="36"/>
  <c r="G15" i="25"/>
  <c r="C15" i="38655"/>
  <c r="I15" i="18"/>
  <c r="C15" i="18"/>
  <c r="C15" i="20"/>
  <c r="F15" i="18"/>
  <c r="F15" i="20"/>
  <c r="C15" i="19"/>
  <c r="E15" i="19"/>
  <c r="I15" i="38655"/>
  <c r="H15" i="19"/>
  <c r="F46" i="5"/>
  <c r="E46" i="38"/>
  <c r="G46" i="38"/>
  <c r="C46" i="38"/>
  <c r="C46" i="37"/>
  <c r="E46" i="35"/>
  <c r="C46" i="35"/>
  <c r="G46" i="36"/>
  <c r="I46" i="20"/>
  <c r="F46" i="38656"/>
  <c r="F46" i="11"/>
  <c r="C46" i="7"/>
  <c r="E46" i="36"/>
  <c r="C46" i="8"/>
  <c r="I46" i="11"/>
  <c r="E46" i="25"/>
  <c r="E46" i="82"/>
  <c r="E46" i="37"/>
  <c r="F46" i="9"/>
  <c r="G46" i="34"/>
  <c r="G46" i="25"/>
  <c r="F46" i="8"/>
  <c r="F46" i="26"/>
  <c r="C46" i="36"/>
  <c r="C46" i="11"/>
  <c r="E46" i="34"/>
  <c r="F46" i="10"/>
  <c r="C46" i="25"/>
  <c r="C46" i="34"/>
  <c r="I46" i="9"/>
  <c r="I46" i="10"/>
  <c r="C46" i="10"/>
  <c r="C46" i="20"/>
  <c r="I46" i="26"/>
  <c r="F46" i="38655"/>
  <c r="C46" i="82"/>
  <c r="C46" i="26"/>
  <c r="I46" i="38655"/>
  <c r="C46" i="9"/>
  <c r="I46" i="25"/>
  <c r="C46" i="27"/>
  <c r="C46" i="76" s="1"/>
  <c r="C46" i="38656"/>
  <c r="F46" i="20"/>
  <c r="I46" i="18"/>
  <c r="C46" i="18"/>
  <c r="C46" i="38655"/>
  <c r="C46" i="19"/>
  <c r="F46" i="18"/>
  <c r="E46" i="19"/>
  <c r="H46" i="19"/>
  <c r="F33" i="5"/>
  <c r="G33" i="38"/>
  <c r="E33" i="38"/>
  <c r="C33" i="38"/>
  <c r="I33" i="20"/>
  <c r="C33" i="37"/>
  <c r="E33" i="36"/>
  <c r="G33" i="34"/>
  <c r="C33" i="8"/>
  <c r="C33" i="38656"/>
  <c r="F33" i="11"/>
  <c r="C33" i="26"/>
  <c r="F33" i="9"/>
  <c r="E33" i="82"/>
  <c r="I33" i="9"/>
  <c r="I33" i="11"/>
  <c r="C33" i="82"/>
  <c r="F33" i="26"/>
  <c r="F33" i="38656"/>
  <c r="C33" i="11"/>
  <c r="G33" i="25"/>
  <c r="F33" i="10"/>
  <c r="E33" i="37"/>
  <c r="C33" i="25"/>
  <c r="C33" i="9"/>
  <c r="F33" i="38655"/>
  <c r="C33" i="36"/>
  <c r="I33" i="38655"/>
  <c r="C33" i="35"/>
  <c r="C33" i="34"/>
  <c r="F33" i="8"/>
  <c r="I33" i="25"/>
  <c r="G33" i="36"/>
  <c r="E33" i="25"/>
  <c r="C33" i="10"/>
  <c r="I33" i="10"/>
  <c r="C33" i="7"/>
  <c r="I33" i="26"/>
  <c r="E33" i="35"/>
  <c r="E33" i="34"/>
  <c r="F33" i="20"/>
  <c r="C33" i="27"/>
  <c r="C33" i="76" s="1"/>
  <c r="E33" i="19"/>
  <c r="C33" i="19"/>
  <c r="C33" i="18"/>
  <c r="I33" i="18"/>
  <c r="F33" i="18"/>
  <c r="C33" i="20"/>
  <c r="C33" i="38655"/>
  <c r="H33" i="19"/>
  <c r="F21" i="5"/>
  <c r="E21" i="38"/>
  <c r="C21" i="38"/>
  <c r="G21" i="38"/>
  <c r="I21" i="20"/>
  <c r="E21" i="36"/>
  <c r="E21" i="37"/>
  <c r="C21" i="27"/>
  <c r="C21" i="76" s="1"/>
  <c r="I21" i="25"/>
  <c r="C21" i="26"/>
  <c r="G21" i="34"/>
  <c r="C21" i="11"/>
  <c r="F21" i="38655"/>
  <c r="C21" i="38656"/>
  <c r="F21" i="38656"/>
  <c r="C21" i="35"/>
  <c r="C21" i="9"/>
  <c r="F21" i="26"/>
  <c r="E21" i="82"/>
  <c r="F21" i="10"/>
  <c r="I21" i="10"/>
  <c r="F21" i="8"/>
  <c r="I21" i="11"/>
  <c r="C21" i="34"/>
  <c r="C21" i="8"/>
  <c r="F21" i="11"/>
  <c r="C21" i="25"/>
  <c r="F21" i="9"/>
  <c r="C21" i="10"/>
  <c r="G21" i="36"/>
  <c r="I21" i="26"/>
  <c r="C21" i="36"/>
  <c r="E21" i="25"/>
  <c r="C21" i="37"/>
  <c r="E21" i="35"/>
  <c r="C21" i="7"/>
  <c r="G21" i="25"/>
  <c r="E21" i="34"/>
  <c r="C21" i="82"/>
  <c r="I21" i="9"/>
  <c r="C21" i="38655"/>
  <c r="C21" i="19"/>
  <c r="I21" i="38655"/>
  <c r="C21" i="18"/>
  <c r="I21" i="18"/>
  <c r="E21" i="19"/>
  <c r="F21" i="20"/>
  <c r="F21" i="18"/>
  <c r="C21" i="20"/>
  <c r="H21" i="19"/>
  <c r="K44" i="38659"/>
  <c r="L44" i="38659"/>
  <c r="F11" i="5"/>
  <c r="D48" i="5"/>
  <c r="C11" i="38"/>
  <c r="E11" i="38"/>
  <c r="G11" i="38"/>
  <c r="I11" i="20"/>
  <c r="I11" i="26"/>
  <c r="C11" i="8"/>
  <c r="F11" i="38655"/>
  <c r="C11" i="37"/>
  <c r="G11" i="34"/>
  <c r="C11" i="10"/>
  <c r="G11" i="25"/>
  <c r="C11" i="38656"/>
  <c r="C11" i="9"/>
  <c r="I11" i="25"/>
  <c r="E11" i="37"/>
  <c r="E11" i="34"/>
  <c r="F11" i="9"/>
  <c r="F11" i="10"/>
  <c r="C11" i="25"/>
  <c r="I11" i="11"/>
  <c r="C11" i="26"/>
  <c r="E11" i="35"/>
  <c r="F11" i="26"/>
  <c r="C11" i="36"/>
  <c r="C11" i="27"/>
  <c r="C11" i="76" s="1"/>
  <c r="I11" i="10"/>
  <c r="E11" i="25"/>
  <c r="I11" i="9"/>
  <c r="C11" i="11"/>
  <c r="E11" i="36"/>
  <c r="G11" i="36"/>
  <c r="C11" i="7"/>
  <c r="F11" i="11"/>
  <c r="F11" i="38656"/>
  <c r="F11" i="8"/>
  <c r="C11" i="82"/>
  <c r="C11" i="35"/>
  <c r="C11" i="34"/>
  <c r="E11" i="82"/>
  <c r="F11" i="20"/>
  <c r="I11" i="38655"/>
  <c r="F11" i="18"/>
  <c r="C11" i="19"/>
  <c r="C11" i="38655"/>
  <c r="I11" i="18"/>
  <c r="C11" i="18"/>
  <c r="E11" i="19"/>
  <c r="C11" i="20"/>
  <c r="H11" i="19"/>
  <c r="K26" i="38659"/>
  <c r="L26" i="38659"/>
  <c r="F40" i="5"/>
  <c r="C40" i="38"/>
  <c r="G40" i="38"/>
  <c r="E40" i="38"/>
  <c r="C40" i="7"/>
  <c r="I40" i="20"/>
  <c r="C40" i="26"/>
  <c r="F40" i="8"/>
  <c r="G40" i="25"/>
  <c r="E40" i="82"/>
  <c r="F40" i="38655"/>
  <c r="E40" i="34"/>
  <c r="G40" i="36"/>
  <c r="C40" i="11"/>
  <c r="C40" i="35"/>
  <c r="C40" i="9"/>
  <c r="C40" i="8"/>
  <c r="C40" i="82"/>
  <c r="C40" i="34"/>
  <c r="E40" i="37"/>
  <c r="E40" i="35"/>
  <c r="C40" i="37"/>
  <c r="C40" i="10"/>
  <c r="E40" i="25"/>
  <c r="I40" i="9"/>
  <c r="C40" i="36"/>
  <c r="F40" i="10"/>
  <c r="I40" i="25"/>
  <c r="F40" i="11"/>
  <c r="I40" i="11"/>
  <c r="I40" i="26"/>
  <c r="E40" i="36"/>
  <c r="I40" i="10"/>
  <c r="F40" i="26"/>
  <c r="I40" i="38655"/>
  <c r="F40" i="9"/>
  <c r="F40" i="38656"/>
  <c r="G40" i="34"/>
  <c r="C40" i="38656"/>
  <c r="C40" i="25"/>
  <c r="I40" i="18"/>
  <c r="C40" i="19"/>
  <c r="C40" i="27"/>
  <c r="C40" i="76" s="1"/>
  <c r="C40" i="20"/>
  <c r="F40" i="20"/>
  <c r="C40" i="18"/>
  <c r="F40" i="18"/>
  <c r="C40" i="38655"/>
  <c r="H40" i="19"/>
  <c r="E40" i="19"/>
  <c r="D32" i="6"/>
  <c r="E32" i="6" s="1"/>
  <c r="C32" i="38648" s="1"/>
  <c r="K25" i="38659"/>
  <c r="L25" i="38659"/>
  <c r="K22" i="38659"/>
  <c r="L22" i="38659"/>
  <c r="F25" i="5"/>
  <c r="C25" i="38"/>
  <c r="E25" i="38"/>
  <c r="G25" i="38"/>
  <c r="E25" i="36"/>
  <c r="E25" i="37"/>
  <c r="C25" i="8"/>
  <c r="I25" i="20"/>
  <c r="E25" i="35"/>
  <c r="E25" i="82"/>
  <c r="C25" i="25"/>
  <c r="F25" i="38655"/>
  <c r="I25" i="9"/>
  <c r="E25" i="34"/>
  <c r="C25" i="36"/>
  <c r="C25" i="7"/>
  <c r="F25" i="10"/>
  <c r="I25" i="25"/>
  <c r="F25" i="26"/>
  <c r="E25" i="25"/>
  <c r="C25" i="37"/>
  <c r="C25" i="27"/>
  <c r="C25" i="76" s="1"/>
  <c r="I25" i="38655"/>
  <c r="F25" i="11"/>
  <c r="G25" i="25"/>
  <c r="F25" i="8"/>
  <c r="C25" i="34"/>
  <c r="I25" i="10"/>
  <c r="C25" i="9"/>
  <c r="I25" i="26"/>
  <c r="C25" i="26"/>
  <c r="C25" i="10"/>
  <c r="C25" i="82"/>
  <c r="G25" i="34"/>
  <c r="C25" i="35"/>
  <c r="F25" i="9"/>
  <c r="C25" i="11"/>
  <c r="G25" i="36"/>
  <c r="F25" i="38656"/>
  <c r="C25" i="38656"/>
  <c r="C25" i="38655"/>
  <c r="C25" i="18"/>
  <c r="C25" i="20"/>
  <c r="F25" i="18"/>
  <c r="F25" i="20"/>
  <c r="C25" i="19"/>
  <c r="I25" i="11"/>
  <c r="I25" i="18"/>
  <c r="E25" i="19"/>
  <c r="H25" i="19"/>
  <c r="D26" i="6"/>
  <c r="E26" i="6" s="1"/>
  <c r="C26" i="38648" s="1"/>
  <c r="J11" i="42" l="1"/>
  <c r="D11" i="6"/>
  <c r="F48" i="5"/>
  <c r="D21" i="6"/>
  <c r="E21" i="6" s="1"/>
  <c r="C21" i="38648" s="1"/>
  <c r="D46" i="6"/>
  <c r="E46" i="6" s="1"/>
  <c r="C46" i="38648" s="1"/>
  <c r="D28" i="6"/>
  <c r="E28" i="6" s="1"/>
  <c r="C28" i="38648" s="1"/>
  <c r="E50" i="38659"/>
  <c r="G50" i="38659" s="1"/>
  <c r="K13" i="38659"/>
  <c r="L13" i="38659"/>
  <c r="D19" i="6"/>
  <c r="E19" i="6" s="1"/>
  <c r="C19" i="38648" s="1"/>
  <c r="D23" i="6"/>
  <c r="E23" i="6" s="1"/>
  <c r="C23" i="38648" s="1"/>
  <c r="D44" i="6"/>
  <c r="E44" i="6" s="1"/>
  <c r="C44" i="38648" s="1"/>
  <c r="D31" i="6"/>
  <c r="E31" i="6" s="1"/>
  <c r="C31" i="38648" s="1"/>
  <c r="D14" i="6"/>
  <c r="E14" i="6" s="1"/>
  <c r="C14" i="38648" s="1"/>
  <c r="J54" i="23"/>
  <c r="M25" i="21"/>
  <c r="G48" i="38"/>
  <c r="C48" i="38"/>
  <c r="I48" i="20"/>
  <c r="C48" i="10"/>
  <c r="E48" i="35"/>
  <c r="I48" i="26"/>
  <c r="F48" i="11"/>
  <c r="C48" i="37"/>
  <c r="C48" i="11"/>
  <c r="C48" i="26"/>
  <c r="I48" i="10"/>
  <c r="C48" i="25"/>
  <c r="I48" i="25"/>
  <c r="F48" i="38655"/>
  <c r="F48" i="26"/>
  <c r="C48" i="82"/>
  <c r="E48" i="36"/>
  <c r="I48" i="11"/>
  <c r="C48" i="38656"/>
  <c r="C48" i="9"/>
  <c r="E48" i="25"/>
  <c r="E48" i="37"/>
  <c r="E48" i="34"/>
  <c r="G48" i="25"/>
  <c r="F48" i="38656"/>
  <c r="E48" i="82"/>
  <c r="C48" i="34"/>
  <c r="F48" i="10"/>
  <c r="C48" i="35"/>
  <c r="I48" i="9"/>
  <c r="G48" i="34"/>
  <c r="C48" i="36"/>
  <c r="G48" i="36"/>
  <c r="C48" i="19"/>
  <c r="I48" i="38655"/>
  <c r="C48" i="27"/>
  <c r="C48" i="76" s="1"/>
  <c r="C48" i="8"/>
  <c r="C48" i="7"/>
  <c r="F48" i="8"/>
  <c r="F48" i="18"/>
  <c r="F48" i="20"/>
  <c r="C48" i="38655"/>
  <c r="C48" i="20"/>
  <c r="I48" i="18"/>
  <c r="F48" i="9"/>
  <c r="E48" i="19"/>
  <c r="C48" i="18"/>
  <c r="H48" i="19"/>
  <c r="D39" i="6"/>
  <c r="E39" i="6" s="1"/>
  <c r="C39" i="38648" s="1"/>
  <c r="D20" i="6"/>
  <c r="E20" i="6" s="1"/>
  <c r="C20" i="38648" s="1"/>
  <c r="D43" i="6"/>
  <c r="E43" i="6" s="1"/>
  <c r="C43" i="38648" s="1"/>
  <c r="D24" i="6"/>
  <c r="E24" i="6" s="1"/>
  <c r="C24" i="38648" s="1"/>
  <c r="D15" i="6"/>
  <c r="E15" i="6" s="1"/>
  <c r="C15" i="38648" s="1"/>
  <c r="D38" i="6"/>
  <c r="E38" i="6" s="1"/>
  <c r="C38" i="38648" s="1"/>
  <c r="D42" i="6"/>
  <c r="E42" i="6" s="1"/>
  <c r="C42" i="38648" s="1"/>
  <c r="D12" i="6"/>
  <c r="E12" i="6" s="1"/>
  <c r="C12" i="38648" s="1"/>
  <c r="D16" i="6"/>
  <c r="E16" i="6" s="1"/>
  <c r="C16" i="38648" s="1"/>
  <c r="D41" i="6"/>
  <c r="E41" i="6" s="1"/>
  <c r="C41" i="38648" s="1"/>
  <c r="D18" i="6"/>
  <c r="E18" i="6" s="1"/>
  <c r="C18" i="38648" s="1"/>
  <c r="D13" i="6"/>
  <c r="E13" i="6" s="1"/>
  <c r="C13" i="38648" s="1"/>
  <c r="D33" i="6"/>
  <c r="E33" i="6" s="1"/>
  <c r="C33" i="38648" s="1"/>
  <c r="D25" i="6"/>
  <c r="E25" i="6" s="1"/>
  <c r="C25" i="38648" s="1"/>
  <c r="D40" i="6"/>
  <c r="E40" i="6" s="1"/>
  <c r="C40" i="38648" s="1"/>
  <c r="D36" i="6"/>
  <c r="E36" i="6" s="1"/>
  <c r="C36" i="38648" s="1"/>
  <c r="D45" i="6"/>
  <c r="E45" i="6" s="1"/>
  <c r="C45" i="38648" s="1"/>
  <c r="D22" i="6"/>
  <c r="E22" i="6" s="1"/>
  <c r="C22" i="38648" s="1"/>
  <c r="D17" i="6"/>
  <c r="E17" i="6" s="1"/>
  <c r="C17" i="38648" s="1"/>
  <c r="D37" i="6"/>
  <c r="E37" i="6" s="1"/>
  <c r="C37" i="38648" s="1"/>
  <c r="I48" i="43"/>
  <c r="B48" i="42" s="1"/>
  <c r="C48" i="45"/>
  <c r="G48" i="42" s="1"/>
  <c r="L16" i="42" s="1"/>
  <c r="I48" i="44"/>
  <c r="F48" i="42" s="1"/>
  <c r="L15" i="42" s="1"/>
  <c r="E48" i="44"/>
  <c r="D48" i="42" s="1"/>
  <c r="L13" i="42" s="1"/>
  <c r="C48" i="44"/>
  <c r="C48" i="42" s="1"/>
  <c r="L12" i="42" s="1"/>
  <c r="G48" i="45"/>
  <c r="G48" i="44"/>
  <c r="E48" i="42" s="1"/>
  <c r="L14" i="42" s="1"/>
  <c r="E48" i="45"/>
  <c r="H48" i="42" s="1"/>
  <c r="L17" i="42" s="1"/>
  <c r="A62" i="43" l="1"/>
  <c r="A53" i="42"/>
  <c r="L11" i="42"/>
  <c r="L19" i="42" s="1"/>
  <c r="J48" i="42"/>
  <c r="E11" i="6"/>
  <c r="C11" i="38648" s="1"/>
  <c r="D48" i="6"/>
  <c r="E48" i="6" s="1"/>
  <c r="C48" i="38648" s="1"/>
  <c r="K50" i="38659"/>
  <c r="E48" i="38"/>
  <c r="G29" i="38663" l="1"/>
  <c r="D29" i="32" l="1"/>
  <c r="E29" i="38648" l="1"/>
  <c r="G29" i="38667" l="1"/>
  <c r="I29" i="38667"/>
  <c r="E29" i="38667"/>
  <c r="G30" i="38663" l="1"/>
  <c r="D48" i="38663" l="1"/>
  <c r="E48" i="38663"/>
  <c r="D30" i="32"/>
  <c r="F27" i="39"/>
  <c r="E48" i="39"/>
  <c r="F48" i="39" s="1"/>
  <c r="G13" i="38663"/>
  <c r="F48" i="38663"/>
  <c r="G17" i="38663"/>
  <c r="G21" i="38663"/>
  <c r="G25" i="38663"/>
  <c r="G31" i="38663"/>
  <c r="G35" i="38663"/>
  <c r="G50" i="38663"/>
  <c r="G12" i="38663"/>
  <c r="G16" i="38663"/>
  <c r="G24" i="38663"/>
  <c r="G42" i="38663"/>
  <c r="G46" i="38663"/>
  <c r="C48" i="39"/>
  <c r="D48" i="39" s="1"/>
  <c r="D27" i="39"/>
  <c r="G19" i="38663"/>
  <c r="G23" i="38663"/>
  <c r="G27" i="38663"/>
  <c r="G33" i="38663"/>
  <c r="G41" i="38663"/>
  <c r="G45" i="38663"/>
  <c r="H27" i="39"/>
  <c r="G48" i="39"/>
  <c r="H48" i="39" s="1"/>
  <c r="G14" i="38663"/>
  <c r="G18" i="38663"/>
  <c r="G20" i="38663"/>
  <c r="G22" i="38663"/>
  <c r="G26" i="38663"/>
  <c r="G28" i="38663"/>
  <c r="G32" i="38663"/>
  <c r="G36" i="38663"/>
  <c r="G38" i="38663"/>
  <c r="G40" i="38663"/>
  <c r="G44" i="38663"/>
  <c r="G51" i="38663"/>
  <c r="D42" i="32"/>
  <c r="D51" i="32" l="1"/>
  <c r="G37" i="38663"/>
  <c r="G39" i="38663"/>
  <c r="G29" i="54"/>
  <c r="F29" i="54"/>
  <c r="D22" i="32"/>
  <c r="D43" i="32"/>
  <c r="D41" i="32"/>
  <c r="D21" i="32"/>
  <c r="D26" i="32"/>
  <c r="G34" i="38663"/>
  <c r="G15" i="38663"/>
  <c r="B48" i="38663"/>
  <c r="D45" i="32"/>
  <c r="D34" i="32"/>
  <c r="D25" i="32"/>
  <c r="D16" i="32"/>
  <c r="D13" i="32"/>
  <c r="D35" i="32"/>
  <c r="D32" i="32"/>
  <c r="D15" i="32"/>
  <c r="D14" i="32"/>
  <c r="D24" i="32"/>
  <c r="J29" i="54"/>
  <c r="I29" i="54"/>
  <c r="G30" i="54"/>
  <c r="F30" i="54"/>
  <c r="B48" i="32"/>
  <c r="D46" i="32"/>
  <c r="D37" i="32"/>
  <c r="D28" i="32"/>
  <c r="D17" i="32"/>
  <c r="D39" i="32"/>
  <c r="D36" i="32"/>
  <c r="D33" i="32"/>
  <c r="J30" i="54"/>
  <c r="I30" i="54"/>
  <c r="E29" i="76"/>
  <c r="D29" i="54"/>
  <c r="C29" i="54"/>
  <c r="D30" i="54"/>
  <c r="E30" i="76"/>
  <c r="C30" i="54"/>
  <c r="G11" i="38663"/>
  <c r="C48" i="38663"/>
  <c r="D12" i="32"/>
  <c r="D31" i="32"/>
  <c r="D38" i="32"/>
  <c r="D20" i="32"/>
  <c r="D27" i="32"/>
  <c r="D50" i="32"/>
  <c r="D44" i="32"/>
  <c r="D40" i="32"/>
  <c r="D23" i="32"/>
  <c r="D19" i="32"/>
  <c r="G43" i="38663"/>
  <c r="D18" i="32"/>
  <c r="E16" i="38648"/>
  <c r="E35" i="38648"/>
  <c r="E28" i="38648"/>
  <c r="E23" i="38648"/>
  <c r="E12" i="38648"/>
  <c r="E41" i="38648"/>
  <c r="E32" i="38648"/>
  <c r="E13" i="38648"/>
  <c r="E19" i="38648"/>
  <c r="E31" i="38648"/>
  <c r="E36" i="38648"/>
  <c r="E14" i="38648"/>
  <c r="E44" i="38648"/>
  <c r="E34" i="38648"/>
  <c r="E17" i="38648"/>
  <c r="E46" i="38648"/>
  <c r="E42" i="38648"/>
  <c r="E38" i="38648"/>
  <c r="E20" i="38648"/>
  <c r="E26" i="38648"/>
  <c r="E15" i="38648"/>
  <c r="E45" i="38648"/>
  <c r="E21" i="38648"/>
  <c r="E50" i="38648"/>
  <c r="E43" i="38648"/>
  <c r="E22" i="38648"/>
  <c r="E33" i="38648"/>
  <c r="E27" i="38648"/>
  <c r="E18" i="38648"/>
  <c r="E51" i="38648"/>
  <c r="E40" i="38648"/>
  <c r="E25" i="38648"/>
  <c r="C48" i="32"/>
  <c r="E11" i="38648"/>
  <c r="E39" i="38648"/>
  <c r="E30" i="38648"/>
  <c r="E24" i="38648"/>
  <c r="E37" i="38648"/>
  <c r="G13" i="54" l="1"/>
  <c r="F13" i="54"/>
  <c r="J27" i="54"/>
  <c r="I27" i="54"/>
  <c r="D20" i="54"/>
  <c r="E20" i="76"/>
  <c r="C20" i="54"/>
  <c r="J35" i="54"/>
  <c r="I35" i="54"/>
  <c r="J18" i="54"/>
  <c r="I18" i="54"/>
  <c r="D38" i="54"/>
  <c r="E38" i="76"/>
  <c r="C38" i="54"/>
  <c r="D25" i="54"/>
  <c r="E25" i="76"/>
  <c r="C25" i="54"/>
  <c r="G17" i="54"/>
  <c r="F17" i="54"/>
  <c r="D21" i="54"/>
  <c r="C21" i="54"/>
  <c r="G14" i="54"/>
  <c r="F14" i="54"/>
  <c r="J14" i="54"/>
  <c r="I14" i="54"/>
  <c r="J32" i="54"/>
  <c r="I32" i="54"/>
  <c r="D23" i="54"/>
  <c r="E23" i="76"/>
  <c r="C23" i="54"/>
  <c r="J23" i="54"/>
  <c r="I23" i="54"/>
  <c r="G44" i="54"/>
  <c r="F44" i="54"/>
  <c r="G22" i="54"/>
  <c r="F22" i="54"/>
  <c r="G33" i="54"/>
  <c r="F33" i="54"/>
  <c r="G50" i="54"/>
  <c r="F50" i="54"/>
  <c r="J41" i="54"/>
  <c r="I41" i="54"/>
  <c r="G37" i="54"/>
  <c r="F37" i="54"/>
  <c r="D40" i="54"/>
  <c r="E40" i="76"/>
  <c r="C40" i="54"/>
  <c r="G40" i="54"/>
  <c r="F40" i="54"/>
  <c r="G24" i="54"/>
  <c r="F24" i="54"/>
  <c r="G42" i="54"/>
  <c r="F42" i="54"/>
  <c r="D22" i="54"/>
  <c r="E22" i="76"/>
  <c r="C22" i="54"/>
  <c r="J51" i="54"/>
  <c r="I51" i="54"/>
  <c r="D24" i="54"/>
  <c r="E24" i="76"/>
  <c r="C24" i="54"/>
  <c r="G21" i="54"/>
  <c r="F21" i="54"/>
  <c r="D11" i="54"/>
  <c r="C11" i="54"/>
  <c r="G19" i="54"/>
  <c r="F19" i="54"/>
  <c r="G51" i="54"/>
  <c r="F51" i="54"/>
  <c r="G36" i="54"/>
  <c r="F36" i="54"/>
  <c r="D50" i="54"/>
  <c r="E50" i="76"/>
  <c r="C50" i="54"/>
  <c r="G16" i="54"/>
  <c r="F16" i="54"/>
  <c r="D44" i="54"/>
  <c r="E44" i="76"/>
  <c r="C44" i="54"/>
  <c r="J40" i="54"/>
  <c r="I40" i="54"/>
  <c r="J34" i="54"/>
  <c r="I34" i="54"/>
  <c r="G39" i="54"/>
  <c r="F39" i="54"/>
  <c r="D51" i="54"/>
  <c r="E51" i="76"/>
  <c r="C51" i="54"/>
  <c r="D13" i="54"/>
  <c r="E13" i="76"/>
  <c r="C13" i="54"/>
  <c r="G25" i="54"/>
  <c r="F25" i="54"/>
  <c r="J13" i="54"/>
  <c r="I13" i="54"/>
  <c r="G15" i="54"/>
  <c r="F15" i="54"/>
  <c r="G35" i="54"/>
  <c r="F35" i="54"/>
  <c r="G45" i="54"/>
  <c r="F45" i="54"/>
  <c r="D31" i="54"/>
  <c r="E31" i="76"/>
  <c r="C31" i="54"/>
  <c r="D41" i="54"/>
  <c r="E41" i="76"/>
  <c r="C41" i="54"/>
  <c r="J39" i="54"/>
  <c r="I39" i="54"/>
  <c r="D14" i="54"/>
  <c r="E14" i="76"/>
  <c r="C14" i="54"/>
  <c r="G30" i="76"/>
  <c r="F30" i="76"/>
  <c r="G29" i="76"/>
  <c r="F29" i="76"/>
  <c r="D43" i="54"/>
  <c r="C43" i="54"/>
  <c r="J20" i="54"/>
  <c r="I20" i="54"/>
  <c r="J24" i="54"/>
  <c r="I24" i="54"/>
  <c r="G41" i="54"/>
  <c r="F41" i="54"/>
  <c r="J15" i="54"/>
  <c r="I15" i="54"/>
  <c r="G32" i="54"/>
  <c r="F32" i="54"/>
  <c r="J22" i="54"/>
  <c r="I22" i="54"/>
  <c r="D28" i="54"/>
  <c r="E28" i="76"/>
  <c r="C28" i="54"/>
  <c r="D46" i="54"/>
  <c r="E46" i="76"/>
  <c r="C46" i="54"/>
  <c r="G28" i="54"/>
  <c r="F28" i="54"/>
  <c r="J31" i="54"/>
  <c r="I31" i="54"/>
  <c r="D35" i="54"/>
  <c r="E35" i="76"/>
  <c r="C35" i="54"/>
  <c r="J50" i="54"/>
  <c r="I50" i="54"/>
  <c r="J45" i="54"/>
  <c r="I45" i="54"/>
  <c r="D33" i="54"/>
  <c r="E33" i="76"/>
  <c r="C33" i="54"/>
  <c r="J42" i="54"/>
  <c r="I42" i="54"/>
  <c r="G23" i="54"/>
  <c r="F23" i="54"/>
  <c r="G34" i="54"/>
  <c r="F34" i="54"/>
  <c r="G46" i="54"/>
  <c r="F46" i="54"/>
  <c r="D42" i="54"/>
  <c r="E42" i="76"/>
  <c r="C42" i="54"/>
  <c r="G38" i="54"/>
  <c r="F38" i="54"/>
  <c r="D45" i="54"/>
  <c r="E45" i="76"/>
  <c r="C45" i="54"/>
  <c r="J46" i="54"/>
  <c r="I46" i="54"/>
  <c r="D15" i="54"/>
  <c r="E15" i="76"/>
  <c r="C15" i="54"/>
  <c r="G31" i="54"/>
  <c r="F31" i="54"/>
  <c r="J44" i="54"/>
  <c r="I44" i="54"/>
  <c r="J17" i="54"/>
  <c r="I17" i="54"/>
  <c r="G11" i="54"/>
  <c r="F11" i="54"/>
  <c r="J25" i="54"/>
  <c r="I25" i="54"/>
  <c r="J16" i="54"/>
  <c r="I16" i="54"/>
  <c r="J37" i="54"/>
  <c r="I37" i="54"/>
  <c r="D39" i="54"/>
  <c r="E39" i="76"/>
  <c r="C39" i="54"/>
  <c r="D34" i="54"/>
  <c r="E34" i="76"/>
  <c r="C34" i="54"/>
  <c r="G12" i="54"/>
  <c r="F12" i="54"/>
  <c r="J26" i="54"/>
  <c r="I26" i="54"/>
  <c r="D26" i="54"/>
  <c r="C26" i="54"/>
  <c r="D12" i="54"/>
  <c r="C12" i="54"/>
  <c r="G27" i="54"/>
  <c r="F27" i="54"/>
  <c r="E17" i="76"/>
  <c r="D17" i="54"/>
  <c r="C17" i="54"/>
  <c r="J36" i="54"/>
  <c r="I36" i="54"/>
  <c r="J38" i="54"/>
  <c r="I38" i="54"/>
  <c r="D18" i="54"/>
  <c r="C18" i="54"/>
  <c r="D37" i="54"/>
  <c r="E37" i="76"/>
  <c r="C37" i="54"/>
  <c r="J28" i="54"/>
  <c r="I28" i="54"/>
  <c r="G20" i="54"/>
  <c r="F20" i="54"/>
  <c r="J33" i="54"/>
  <c r="I33" i="54"/>
  <c r="D19" i="54"/>
  <c r="E19" i="76"/>
  <c r="C19" i="54"/>
  <c r="D32" i="54"/>
  <c r="E32" i="76"/>
  <c r="C32" i="54"/>
  <c r="D16" i="54"/>
  <c r="E16" i="76"/>
  <c r="C16" i="54"/>
  <c r="J19" i="54"/>
  <c r="I19" i="54"/>
  <c r="D27" i="54"/>
  <c r="E27" i="76"/>
  <c r="C27" i="54"/>
  <c r="G48" i="38663"/>
  <c r="D11" i="32"/>
  <c r="D48" i="32" s="1"/>
  <c r="E11" i="76"/>
  <c r="E26" i="76"/>
  <c r="E21" i="76"/>
  <c r="G21" i="76" l="1"/>
  <c r="F21" i="76"/>
  <c r="G26" i="76"/>
  <c r="F26" i="76"/>
  <c r="G11" i="76"/>
  <c r="F11" i="76"/>
  <c r="D36" i="54"/>
  <c r="E36" i="76"/>
  <c r="C36" i="54"/>
  <c r="G43" i="54"/>
  <c r="F43" i="54"/>
  <c r="G30" i="38667"/>
  <c r="I30" i="38667"/>
  <c r="E30" i="38667"/>
  <c r="G45" i="76"/>
  <c r="F45" i="76"/>
  <c r="G33" i="76"/>
  <c r="F33" i="76"/>
  <c r="G41" i="76"/>
  <c r="F41" i="76"/>
  <c r="G13" i="76"/>
  <c r="F13" i="76"/>
  <c r="G44" i="76"/>
  <c r="F44" i="76"/>
  <c r="G24" i="76"/>
  <c r="F24" i="76"/>
  <c r="G38" i="76"/>
  <c r="F38" i="76"/>
  <c r="E43" i="76"/>
  <c r="G26" i="54"/>
  <c r="F26" i="54"/>
  <c r="J12" i="54"/>
  <c r="I12" i="54"/>
  <c r="G16" i="76"/>
  <c r="F16" i="76"/>
  <c r="G34" i="76"/>
  <c r="F34" i="76"/>
  <c r="G15" i="76"/>
  <c r="F15" i="76"/>
  <c r="G35" i="76"/>
  <c r="F35" i="76"/>
  <c r="G14" i="76"/>
  <c r="F14" i="76"/>
  <c r="G31" i="76"/>
  <c r="F31" i="76"/>
  <c r="G51" i="76"/>
  <c r="F51" i="76"/>
  <c r="G23" i="76"/>
  <c r="F23" i="76"/>
  <c r="G20" i="76"/>
  <c r="F20" i="76"/>
  <c r="J43" i="54"/>
  <c r="I43" i="54"/>
  <c r="J11" i="54"/>
  <c r="I11" i="54"/>
  <c r="G27" i="76"/>
  <c r="F27" i="76"/>
  <c r="G32" i="76"/>
  <c r="F32" i="76"/>
  <c r="G37" i="76"/>
  <c r="F37" i="76"/>
  <c r="G39" i="76"/>
  <c r="F39" i="76"/>
  <c r="G46" i="76"/>
  <c r="F46" i="76"/>
  <c r="G40" i="76"/>
  <c r="F40" i="76"/>
  <c r="B48" i="54"/>
  <c r="J21" i="54"/>
  <c r="I21" i="54"/>
  <c r="G44" i="38667"/>
  <c r="I44" i="38667"/>
  <c r="E44" i="38667"/>
  <c r="G18" i="54"/>
  <c r="F18" i="54"/>
  <c r="G19" i="76"/>
  <c r="F19" i="76"/>
  <c r="G17" i="76"/>
  <c r="F17" i="76"/>
  <c r="G42" i="76"/>
  <c r="F42" i="76"/>
  <c r="G28" i="76"/>
  <c r="F28" i="76"/>
  <c r="G50" i="76"/>
  <c r="F50" i="76"/>
  <c r="G22" i="76"/>
  <c r="F22" i="76"/>
  <c r="G25" i="76"/>
  <c r="F25" i="76"/>
  <c r="E18" i="76"/>
  <c r="E12" i="76"/>
  <c r="E48" i="38648"/>
  <c r="C72" i="3188" l="1"/>
  <c r="G23" i="38667"/>
  <c r="I23" i="38667"/>
  <c r="E23" i="38667"/>
  <c r="G14" i="38667"/>
  <c r="I14" i="38667"/>
  <c r="E14" i="38667"/>
  <c r="G15" i="38667"/>
  <c r="I15" i="38667"/>
  <c r="E15" i="38667"/>
  <c r="G35" i="38667"/>
  <c r="I35" i="38667"/>
  <c r="E35" i="38667"/>
  <c r="G45" i="38667"/>
  <c r="I45" i="38667"/>
  <c r="E45" i="38667"/>
  <c r="G21" i="38667"/>
  <c r="I21" i="38667"/>
  <c r="E21" i="38667"/>
  <c r="G40" i="38667"/>
  <c r="I40" i="38667"/>
  <c r="E40" i="38667"/>
  <c r="G16" i="38667"/>
  <c r="I16" i="38667"/>
  <c r="E16" i="38667"/>
  <c r="G48" i="54"/>
  <c r="F48" i="54"/>
  <c r="G22" i="38667"/>
  <c r="I22" i="38667"/>
  <c r="E22" i="38667"/>
  <c r="D48" i="54"/>
  <c r="E48" i="76"/>
  <c r="C48" i="54"/>
  <c r="G24" i="38667"/>
  <c r="I24" i="38667"/>
  <c r="E24" i="38667"/>
  <c r="G34" i="38667"/>
  <c r="I34" i="38667"/>
  <c r="E34" i="38667"/>
  <c r="G25" i="38667"/>
  <c r="I25" i="38667"/>
  <c r="E25" i="38667"/>
  <c r="I32" i="38667"/>
  <c r="G32" i="38667"/>
  <c r="E32" i="38667"/>
  <c r="I13" i="38667"/>
  <c r="G13" i="38667"/>
  <c r="E13" i="38667"/>
  <c r="G43" i="76"/>
  <c r="F43" i="76"/>
  <c r="G41" i="38667"/>
  <c r="I41" i="38667"/>
  <c r="E41" i="38667"/>
  <c r="G46" i="38667"/>
  <c r="I46" i="38667"/>
  <c r="E46" i="38667"/>
  <c r="G36" i="38667"/>
  <c r="I36" i="38667"/>
  <c r="E36" i="38667"/>
  <c r="G28" i="38667"/>
  <c r="I28" i="38667"/>
  <c r="E28" i="38667"/>
  <c r="G38" i="38667"/>
  <c r="I38" i="38667"/>
  <c r="E38" i="38667"/>
  <c r="G18" i="76"/>
  <c r="F18" i="76"/>
  <c r="J48" i="54"/>
  <c r="I48" i="54"/>
  <c r="G26" i="38667"/>
  <c r="I26" i="38667"/>
  <c r="E26" i="38667"/>
  <c r="G12" i="76"/>
  <c r="F12" i="76"/>
  <c r="G36" i="76"/>
  <c r="F36" i="76"/>
  <c r="G20" i="38667" l="1"/>
  <c r="I20" i="38667"/>
  <c r="E20" i="38667"/>
  <c r="G31" i="38667"/>
  <c r="I31" i="38667"/>
  <c r="E31" i="38667"/>
  <c r="G27" i="38667"/>
  <c r="I27" i="38667"/>
  <c r="E27" i="38667"/>
  <c r="G42" i="38667"/>
  <c r="I42" i="38667"/>
  <c r="E42" i="38667"/>
  <c r="G18" i="38667"/>
  <c r="I18" i="38667"/>
  <c r="E18" i="38667"/>
  <c r="G11" i="38667"/>
  <c r="I11" i="38667"/>
  <c r="D48" i="38667"/>
  <c r="E11" i="38667"/>
  <c r="I17" i="38667"/>
  <c r="G17" i="38667"/>
  <c r="E17" i="38667"/>
  <c r="G37" i="38667"/>
  <c r="I37" i="38667"/>
  <c r="E37" i="38667"/>
  <c r="G19" i="38667"/>
  <c r="I19" i="38667"/>
  <c r="E19" i="38667"/>
  <c r="I43" i="38667"/>
  <c r="G43" i="38667"/>
  <c r="E43" i="38667"/>
  <c r="G48" i="76"/>
  <c r="F48" i="76"/>
  <c r="I12" i="38667"/>
  <c r="G12" i="38667"/>
  <c r="E12" i="38667"/>
  <c r="G39" i="38667"/>
  <c r="I39" i="38667"/>
  <c r="E39" i="38667"/>
  <c r="G33" i="38667"/>
  <c r="I33" i="38667"/>
  <c r="E33" i="38667"/>
  <c r="G48" i="38667" l="1"/>
  <c r="I48" i="38667"/>
  <c r="E48" i="38667"/>
</calcChain>
</file>

<file path=xl/comments1.xml><?xml version="1.0" encoding="utf-8"?>
<comments xmlns="http://schemas.openxmlformats.org/spreadsheetml/2006/main">
  <authors>
    <author>GPizzaro</author>
  </authors>
  <commentList>
    <comment ref="J8" authorId="0" shapeId="0">
      <text>
        <r>
          <rPr>
            <sz val="8"/>
            <color indexed="81"/>
            <rFont val="Tahoma"/>
            <family val="2"/>
          </rPr>
          <t>Portioned assessment come from W:\Edusfb\Total School Assessment\YYYY F assessment.</t>
        </r>
      </text>
    </comment>
    <comment ref="H16" authorId="0" shapeId="0">
      <text>
        <r>
          <rPr>
            <b/>
            <sz val="8"/>
            <color indexed="81"/>
            <rFont val="Tahoma"/>
            <family val="2"/>
          </rPr>
          <t>GPizzaro:</t>
        </r>
        <r>
          <rPr>
            <sz val="8"/>
            <color indexed="81"/>
            <rFont val="Tahoma"/>
            <family val="2"/>
          </rPr>
          <t xml:space="preserve">
Take it from the folder</t>
        </r>
      </text>
    </comment>
  </commentList>
</comments>
</file>

<file path=xl/sharedStrings.xml><?xml version="1.0" encoding="utf-8"?>
<sst xmlns="http://schemas.openxmlformats.org/spreadsheetml/2006/main" count="3222" uniqueCount="656">
  <si>
    <t>REVENUE AND TRANSFERS</t>
  </si>
  <si>
    <t xml:space="preserve"> EXPENSE BY CATEGORY</t>
  </si>
  <si>
    <t xml:space="preserve">  REVENUE BY CATEGORY</t>
  </si>
  <si>
    <t>TANGIBLE CAPITAL ASSETS</t>
  </si>
  <si>
    <t>FALLYR</t>
  </si>
  <si>
    <t>SPRINGYR</t>
  </si>
  <si>
    <t>PAGE 1 OF 3</t>
  </si>
  <si>
    <t xml:space="preserve"> </t>
  </si>
  <si>
    <t>PAGE 2 OF 3</t>
  </si>
  <si>
    <t>PAGE 3 OF 3</t>
  </si>
  <si>
    <t xml:space="preserve"> FRAME STUDENT STATISTICS</t>
  </si>
  <si>
    <t>PAGE 1 OF 2</t>
  </si>
  <si>
    <t xml:space="preserve">PAGE 2 OF 2 </t>
  </si>
  <si>
    <t xml:space="preserve"> FUNCTION 100: REGULAR INSTRUCTION</t>
  </si>
  <si>
    <t xml:space="preserve"> FUNCTION 400: COMMUNITY EDUCATION AND SERVICES</t>
  </si>
  <si>
    <t xml:space="preserve"> FUNCTION 700: TRANSPORTATION OF PUPILS</t>
  </si>
  <si>
    <t xml:space="preserve"> FUNCTION 800: OPERATIONS AND MAINTENANCE</t>
  </si>
  <si>
    <t xml:space="preserve"> FUNCTION 900: FISCAL</t>
  </si>
  <si>
    <t>REGULAR TRANSPORTATION</t>
  </si>
  <si>
    <t>ADMINISTRATION</t>
  </si>
  <si>
    <t>ENGLISH LANGUAGE</t>
  </si>
  <si>
    <t>FRANÇAIS</t>
  </si>
  <si>
    <t>FRENCH IMMERSION</t>
  </si>
  <si>
    <t>BOARD OF TRUSTEES</t>
  </si>
  <si>
    <t>OTHER</t>
  </si>
  <si>
    <t>SCHOOL BUILDINGS</t>
  </si>
  <si>
    <t>REGULAR INSTRUCTION</t>
  </si>
  <si>
    <t>EXCEPTIONAL</t>
  </si>
  <si>
    <t>COMMUNITY EDUCATION</t>
  </si>
  <si>
    <t>MAINTENANCE</t>
  </si>
  <si>
    <t>FISCAL</t>
  </si>
  <si>
    <t>TOTAL</t>
  </si>
  <si>
    <t>(PROGRAM 720)</t>
  </si>
  <si>
    <t>EXPENDITURES</t>
  </si>
  <si>
    <t>REGULAR</t>
  </si>
  <si>
    <t>OTHER BUILDINGS</t>
  </si>
  <si>
    <t>GROUNDS</t>
  </si>
  <si>
    <t>DEBT SERVICES</t>
  </si>
  <si>
    <t>ENGLISH</t>
  </si>
  <si>
    <t>EDUCATION</t>
  </si>
  <si>
    <t xml:space="preserve">    TRANSFERS BY FUNCTION</t>
  </si>
  <si>
    <t>AREA</t>
  </si>
  <si>
    <t xml:space="preserve"> DIVISION / DISTRICT</t>
  </si>
  <si>
    <t>AMOUNT</t>
  </si>
  <si>
    <t>%</t>
  </si>
  <si>
    <t xml:space="preserve">PER PUPIL </t>
  </si>
  <si>
    <t>RECHARGE</t>
  </si>
  <si>
    <t>TRANSFERS</t>
  </si>
  <si>
    <t>TOTAL PORTIONED ASSESSMENT, SPECIAL LEVY AND MILL RATES</t>
  </si>
  <si>
    <t>DATE:</t>
  </si>
  <si>
    <t>PROVINCIAL GOVERNMENT</t>
  </si>
  <si>
    <t>BASE SUPPORT</t>
  </si>
  <si>
    <t>CATEGORICAL SUPPORT</t>
  </si>
  <si>
    <t>PRIVATE</t>
  </si>
  <si>
    <t>% OF OPERATING FUND REVENUES</t>
  </si>
  <si>
    <t>PORTIONED ASSESSMENT</t>
  </si>
  <si>
    <t>FEDERAL</t>
  </si>
  <si>
    <t>MUNICIPAL</t>
  </si>
  <si>
    <t>GOVERNMENTS</t>
  </si>
  <si>
    <t>CATEGORICAL</t>
  </si>
  <si>
    <t>PROVINCIAL</t>
  </si>
  <si>
    <t>FIRST NATIONS</t>
  </si>
  <si>
    <t>REVENUE</t>
  </si>
  <si>
    <t>LEVY</t>
  </si>
  <si>
    <t>MINING</t>
  </si>
  <si>
    <t>SUPPORT</t>
  </si>
  <si>
    <t>OCCUPANCY</t>
  </si>
  <si>
    <t>SERVICES</t>
  </si>
  <si>
    <t xml:space="preserve">OTHER  </t>
  </si>
  <si>
    <t>SPECIAL LEVY</t>
  </si>
  <si>
    <t>OTHER DIVISIONS</t>
  </si>
  <si>
    <t>OBJECT</t>
  </si>
  <si>
    <t>SALARIES</t>
  </si>
  <si>
    <t>TOTALS</t>
  </si>
  <si>
    <t>COMMUNITY EDUCATION &amp; SERVICES</t>
  </si>
  <si>
    <t>TRANSPORTATION OF PUPILS</t>
  </si>
  <si>
    <t>OPERATIONS AND MAINTENANCE</t>
  </si>
  <si>
    <t>PAGE 2 OF 2</t>
  </si>
  <si>
    <t>FUNCTION</t>
  </si>
  <si>
    <t>INSTRUCTION</t>
  </si>
  <si>
    <t>EMPLOYEE BENEFITS AND ALLOWANCES</t>
  </si>
  <si>
    <t>FRAME STUDENT STATISTICS</t>
  </si>
  <si>
    <t xml:space="preserve">PAGE 1 OF 2 </t>
  </si>
  <si>
    <t>%  IN DUAL TRACK SCHOOLS</t>
  </si>
  <si>
    <t>SUPPLEMENTARY DATA FOR FRAME REPORT</t>
  </si>
  <si>
    <t>CHECK</t>
  </si>
  <si>
    <t>ENROLMENTS - HEADCOUNT, FRAME AND ELIGIBLE</t>
  </si>
  <si>
    <t>PUPIL / TEACHER RATIOS</t>
  </si>
  <si>
    <t>INSURANCE</t>
  </si>
  <si>
    <t>EMPLOYEE BENEFITS</t>
  </si>
  <si>
    <t>SUPPLIES &amp; MATERIALS</t>
  </si>
  <si>
    <t>OPERATIONS &amp; MAINTENANCE</t>
  </si>
  <si>
    <t>INSTRUCTIONAL &amp; PUPIL SUPPORT SERVICES</t>
  </si>
  <si>
    <t>DIVISIONAL ADMINISTRATION</t>
  </si>
  <si>
    <t xml:space="preserve"> FUNCTION 500: DIVISIONAL ADMINISTRATION</t>
  </si>
  <si>
    <t xml:space="preserve">N/A </t>
  </si>
  <si>
    <t>(1)</t>
  </si>
  <si>
    <t>- 10 -</t>
  </si>
  <si>
    <t>PAGE 1 OF 5</t>
  </si>
  <si>
    <t>PAGE 2 OF 5</t>
  </si>
  <si>
    <t>PAGE 3 OF 5</t>
  </si>
  <si>
    <t>PAGE 4 OF 5</t>
  </si>
  <si>
    <t>PAGE 5 OF 5</t>
  </si>
  <si>
    <t>PROGRAMS</t>
  </si>
  <si>
    <t>(Grants-</t>
  </si>
  <si>
    <t>in-Lieu)</t>
  </si>
  <si>
    <t>ADULT LEARNING CENTRES</t>
  </si>
  <si>
    <t>- 13 -</t>
  </si>
  <si>
    <t>- 12 -</t>
  </si>
  <si>
    <t>REPAIRS</t>
  </si>
  <si>
    <t xml:space="preserve"> BEAUTIFUL PLAINS</t>
  </si>
  <si>
    <t xml:space="preserve"> BORDER LAND</t>
  </si>
  <si>
    <t xml:space="preserve"> BRANDON</t>
  </si>
  <si>
    <t xml:space="preserve"> EVERGREEN</t>
  </si>
  <si>
    <t xml:space="preserve"> FLIN FLON</t>
  </si>
  <si>
    <t xml:space="preserve"> FORT LA BOSSE</t>
  </si>
  <si>
    <t xml:space="preserve"> FRONTIER</t>
  </si>
  <si>
    <t xml:space="preserve"> GARDEN VALLEY</t>
  </si>
  <si>
    <t xml:space="preserve"> HANOVER</t>
  </si>
  <si>
    <t xml:space="preserve"> INTERLAKE</t>
  </si>
  <si>
    <t xml:space="preserve"> KELSEY</t>
  </si>
  <si>
    <t xml:space="preserve"> LAKESHORE</t>
  </si>
  <si>
    <t xml:space="preserve"> LORD SELKIRK</t>
  </si>
  <si>
    <t xml:space="preserve"> LOUIS RIEL</t>
  </si>
  <si>
    <t xml:space="preserve"> MOUNTAIN VIEW</t>
  </si>
  <si>
    <t xml:space="preserve"> MYSTERY LAKE</t>
  </si>
  <si>
    <t xml:space="preserve"> PARK WEST</t>
  </si>
  <si>
    <t xml:space="preserve"> PEMBINA TRAILS</t>
  </si>
  <si>
    <t xml:space="preserve"> PINE CREEK</t>
  </si>
  <si>
    <t xml:space="preserve"> PORTAGE LA PRAIRIE</t>
  </si>
  <si>
    <t xml:space="preserve"> PRAIRIE ROSE</t>
  </si>
  <si>
    <t xml:space="preserve"> PRAIRIE SPIRIT</t>
  </si>
  <si>
    <t xml:space="preserve"> RED RIVER VALLEY</t>
  </si>
  <si>
    <t xml:space="preserve"> RIVER EAST TRANSCONA</t>
  </si>
  <si>
    <t xml:space="preserve"> ROLLING RIVER</t>
  </si>
  <si>
    <t xml:space="preserve"> SEINE RIVER</t>
  </si>
  <si>
    <t xml:space="preserve"> SEVEN OAKS</t>
  </si>
  <si>
    <t xml:space="preserve"> SOUTHWEST HORIZON</t>
  </si>
  <si>
    <t xml:space="preserve"> ST. JAMES-ASSINIBOIA</t>
  </si>
  <si>
    <t xml:space="preserve"> SUNRISE</t>
  </si>
  <si>
    <t xml:space="preserve"> SWAN VALLEY</t>
  </si>
  <si>
    <t xml:space="preserve"> TURTLE MOUNTAIN</t>
  </si>
  <si>
    <t xml:space="preserve"> TURTLE RIVER</t>
  </si>
  <si>
    <t xml:space="preserve"> WESTERN</t>
  </si>
  <si>
    <t xml:space="preserve"> WINNIPEG</t>
  </si>
  <si>
    <t xml:space="preserve"> PROVINCE</t>
  </si>
  <si>
    <t xml:space="preserve"> WHITESHELL</t>
  </si>
  <si>
    <t xml:space="preserve"> D.S.F.M.</t>
  </si>
  <si>
    <t>EXPENSES</t>
  </si>
  <si>
    <t xml:space="preserve">CO. </t>
  </si>
  <si>
    <t>DIVISION/DISTRICT</t>
  </si>
  <si>
    <t>BE</t>
  </si>
  <si>
    <t>BO</t>
  </si>
  <si>
    <t>BR</t>
  </si>
  <si>
    <t>DI</t>
  </si>
  <si>
    <t>EV</t>
  </si>
  <si>
    <t>FL</t>
  </si>
  <si>
    <t>FO</t>
  </si>
  <si>
    <t>FR</t>
  </si>
  <si>
    <t>GA</t>
  </si>
  <si>
    <t>HA</t>
  </si>
  <si>
    <t>IN</t>
  </si>
  <si>
    <t>KE</t>
  </si>
  <si>
    <t>LA</t>
  </si>
  <si>
    <t>LO</t>
  </si>
  <si>
    <t>LR</t>
  </si>
  <si>
    <t>MO</t>
  </si>
  <si>
    <t>MY</t>
  </si>
  <si>
    <t>PA</t>
  </si>
  <si>
    <t>PE</t>
  </si>
  <si>
    <t>PI</t>
  </si>
  <si>
    <t>PO</t>
  </si>
  <si>
    <t>PR</t>
  </si>
  <si>
    <t>PS</t>
  </si>
  <si>
    <t>RE</t>
  </si>
  <si>
    <t>RI</t>
  </si>
  <si>
    <t>RO</t>
  </si>
  <si>
    <t>SE</t>
  </si>
  <si>
    <t>SO</t>
  </si>
  <si>
    <t>SR</t>
  </si>
  <si>
    <t>ST</t>
  </si>
  <si>
    <t>SU</t>
  </si>
  <si>
    <t>SW</t>
  </si>
  <si>
    <t>TM</t>
  </si>
  <si>
    <t>TR</t>
  </si>
  <si>
    <t>WE</t>
  </si>
  <si>
    <t>WI</t>
  </si>
  <si>
    <t>WT</t>
  </si>
  <si>
    <t>XW</t>
  </si>
  <si>
    <t xml:space="preserve"> FUNCTION 300: ADULT LEARNING CENTRES</t>
  </si>
  <si>
    <t xml:space="preserve">  TRUSTEES REMUNERATION</t>
  </si>
  <si>
    <t xml:space="preserve">  INSTRUCTIONAL - TEACHING</t>
  </si>
  <si>
    <t xml:space="preserve">  INSTRUCTIONAL - OTHER</t>
  </si>
  <si>
    <t xml:space="preserve">  TECHNICAL, SPECIALIZED AND SERVICE</t>
  </si>
  <si>
    <t xml:space="preserve">  SECRETARIAL, CLERICAL AND OTHER</t>
  </si>
  <si>
    <t xml:space="preserve">  CLINICIAN</t>
  </si>
  <si>
    <t xml:space="preserve">  INFORMATION TECHNOLOGY</t>
  </si>
  <si>
    <t xml:space="preserve">  TOTAL SALARIES</t>
  </si>
  <si>
    <t xml:space="preserve">  PROFESSIONAL, TECHNICAL &amp; SPECIALIZED</t>
  </si>
  <si>
    <t xml:space="preserve">  COMMUNICATIONS</t>
  </si>
  <si>
    <t xml:space="preserve">  UTILITY SERVICES</t>
  </si>
  <si>
    <t xml:space="preserve">  TRANSPORTATION OF PUPILS</t>
  </si>
  <si>
    <t xml:space="preserve">  TUITION</t>
  </si>
  <si>
    <t xml:space="preserve">  PRINTING AND BINDING</t>
  </si>
  <si>
    <t xml:space="preserve">  INSURANCE AND BOND PREMIUMS</t>
  </si>
  <si>
    <t xml:space="preserve">  MAINTENANCE AND REPAIR SERVICES</t>
  </si>
  <si>
    <t xml:space="preserve">  RENTALS</t>
  </si>
  <si>
    <t xml:space="preserve">  ADVERTISING</t>
  </si>
  <si>
    <t xml:space="preserve">  DUES AND FEES</t>
  </si>
  <si>
    <t xml:space="preserve">  PROFESSIONAL AND STAFF DEVELOPMENT</t>
  </si>
  <si>
    <t xml:space="preserve">  INFORMATION TECHNOLOGY SERVICES</t>
  </si>
  <si>
    <t xml:space="preserve">  TOTAL SERVICES</t>
  </si>
  <si>
    <t>SUPPLIES AND EQUIPMENT</t>
  </si>
  <si>
    <t xml:space="preserve">  SUPPLIES</t>
  </si>
  <si>
    <t xml:space="preserve">  CURRICULAR AND MEDIA MATERIALS</t>
  </si>
  <si>
    <t xml:space="preserve">  MINOR EQUIPMENT</t>
  </si>
  <si>
    <t xml:space="preserve">  INFORMATION TECHNOLOGY EQUIPMENT</t>
  </si>
  <si>
    <t xml:space="preserve">  TOTAL SUPPLIES AND EQUIPMENT</t>
  </si>
  <si>
    <t xml:space="preserve">  DEBT SERVICES</t>
  </si>
  <si>
    <t xml:space="preserve">  OTHER GOVERNMENT AUTHORITIES</t>
  </si>
  <si>
    <t xml:space="preserve">  TOTAL TRANSFERS</t>
  </si>
  <si>
    <t>PROVINCE</t>
  </si>
  <si>
    <t xml:space="preserve">  TRAVEL AND MEETINGS</t>
  </si>
  <si>
    <t>OPERATING FUND - ACCUMULATED SURPLUS/(DEFICIT)</t>
  </si>
  <si>
    <t>(2)</t>
  </si>
  <si>
    <t>LOCAL TAXATION AND ASSESSMENT PER RESIDENT PUPIL</t>
  </si>
  <si>
    <t xml:space="preserve">  EXECUTIVE, MANAGERIAL &amp; SUPERVISORY</t>
  </si>
  <si>
    <t>ACTUAL</t>
  </si>
  <si>
    <t xml:space="preserve"> DIVISION/DISTRICT TOTAL</t>
  </si>
  <si>
    <t xml:space="preserve"> L.G.D. OF PINAWA</t>
  </si>
  <si>
    <t xml:space="preserve"> NOT IN ANY DIVISION</t>
  </si>
  <si>
    <t>STATISTICAL SUMMARY</t>
  </si>
  <si>
    <t>LIABILITY</t>
  </si>
  <si>
    <t>SELF-FUNDED</t>
  </si>
  <si>
    <t>CALCULATION OF EXPENDITURE BASE AND ADMINISTRATION PERCENTAGE</t>
  </si>
  <si>
    <t>ADMIN. COSTS</t>
  </si>
  <si>
    <r>
      <t xml:space="preserve">SINGLE TRACK </t>
    </r>
    <r>
      <rPr>
        <b/>
        <vertAlign val="superscript"/>
        <sz val="10"/>
        <rFont val="Arial"/>
        <family val="2"/>
      </rPr>
      <t>(1)</t>
    </r>
  </si>
  <si>
    <r>
      <t xml:space="preserve">DUAL TRACK </t>
    </r>
    <r>
      <rPr>
        <b/>
        <vertAlign val="superscript"/>
        <sz val="10"/>
        <rFont val="Arial"/>
        <family val="2"/>
      </rPr>
      <t>(2)</t>
    </r>
  </si>
  <si>
    <r>
      <t xml:space="preserve">HEADCOUNT </t>
    </r>
    <r>
      <rPr>
        <b/>
        <vertAlign val="superscript"/>
        <sz val="10"/>
        <rFont val="Arial"/>
        <family val="2"/>
      </rPr>
      <t>(1)</t>
    </r>
  </si>
  <si>
    <r>
      <t xml:space="preserve">FRAME </t>
    </r>
    <r>
      <rPr>
        <b/>
        <vertAlign val="superscript"/>
        <sz val="10"/>
        <rFont val="Arial"/>
        <family val="2"/>
      </rPr>
      <t>(2)</t>
    </r>
  </si>
  <si>
    <r>
      <t xml:space="preserve">ELIGIBLE </t>
    </r>
    <r>
      <rPr>
        <b/>
        <vertAlign val="superscript"/>
        <sz val="10"/>
        <rFont val="Arial"/>
        <family val="2"/>
      </rPr>
      <t>(3)</t>
    </r>
  </si>
  <si>
    <r>
      <t>(1)</t>
    </r>
    <r>
      <rPr>
        <sz val="9"/>
        <rFont val="Arial"/>
        <family val="2"/>
      </rPr>
      <t xml:space="preserve">  Pupils taught in schools, whether or not they are counted for grant purposes.</t>
    </r>
  </si>
  <si>
    <r>
      <t xml:space="preserve">EDUCATOR </t>
    </r>
    <r>
      <rPr>
        <b/>
        <vertAlign val="superscript"/>
        <sz val="10"/>
        <rFont val="Arial"/>
        <family val="2"/>
      </rPr>
      <t>(2)</t>
    </r>
  </si>
  <si>
    <r>
      <t xml:space="preserve">  RECHARGE </t>
    </r>
    <r>
      <rPr>
        <vertAlign val="superscript"/>
        <sz val="10"/>
        <rFont val="Arial"/>
        <family val="2"/>
      </rPr>
      <t>(1)</t>
    </r>
  </si>
  <si>
    <r>
      <t xml:space="preserve">SINGLE TRACK SCHOOLS </t>
    </r>
    <r>
      <rPr>
        <b/>
        <vertAlign val="superscript"/>
        <sz val="10"/>
        <rFont val="Arial"/>
        <family val="2"/>
      </rPr>
      <t>(1)</t>
    </r>
  </si>
  <si>
    <r>
      <t xml:space="preserve">DUAL TRACK SCHOOLS </t>
    </r>
    <r>
      <rPr>
        <b/>
        <vertAlign val="superscript"/>
        <sz val="10"/>
        <rFont val="Arial"/>
        <family val="2"/>
      </rPr>
      <t>(1)</t>
    </r>
  </si>
  <si>
    <r>
      <t xml:space="preserve">PROVINCIAL </t>
    </r>
    <r>
      <rPr>
        <b/>
        <vertAlign val="superscript"/>
        <sz val="10"/>
        <rFont val="Arial"/>
        <family val="2"/>
      </rPr>
      <t>(1)</t>
    </r>
  </si>
  <si>
    <t xml:space="preserve">  PROPERTY TAXES</t>
  </si>
  <si>
    <t xml:space="preserve"> FUNCTION 200: STUDENT SUPPORT SERVICES</t>
  </si>
  <si>
    <t xml:space="preserve"> FUNCTION 600: INSTRUCTIONAL &amp; OTHER SUPPORT SERVICES</t>
  </si>
  <si>
    <t>TOTAL DEFINED ADMINISTRATION EXPENSES</t>
  </si>
  <si>
    <t>RECONCILIATION  OF  EXPENSES</t>
  </si>
  <si>
    <r>
      <t xml:space="preserve">EXPENSES </t>
    </r>
    <r>
      <rPr>
        <b/>
        <vertAlign val="superscript"/>
        <sz val="10"/>
        <rFont val="Arial"/>
        <family val="2"/>
      </rPr>
      <t>(1)</t>
    </r>
    <r>
      <rPr>
        <sz val="9"/>
        <color indexed="9"/>
        <rFont val="Arial"/>
        <family val="2"/>
      </rPr>
      <t>X</t>
    </r>
  </si>
  <si>
    <t>PAGE 1 OF 4</t>
  </si>
  <si>
    <t>PAGE 3 OF 4</t>
  </si>
  <si>
    <t>PAGE 2 OF 4</t>
  </si>
  <si>
    <t>PAGE 4 OF 4</t>
  </si>
  <si>
    <t>EXPENSE BY FUNCTION AND OBJECT</t>
  </si>
  <si>
    <t>EXPENSE BY 2ND LEVEL OBJECT</t>
  </si>
  <si>
    <t>AS A PERCENTAGE OF TOTAL OPERATING FUND EXPENSES</t>
  </si>
  <si>
    <t>STUDENT SUPPORT SERVICES</t>
  </si>
  <si>
    <t>ANALYSIS OF EXPENSE BY FUNCTION</t>
  </si>
  <si>
    <t xml:space="preserve"> ANALYSIS OF OPERATIONS AND MAINTENANCE EXPENSES FOR SCHOOL BUILDINGS</t>
  </si>
  <si>
    <t>ANALYSIS OF EXPENSE BY PROGRAM</t>
  </si>
  <si>
    <t>OPERATING FUND COST PER PUPIL</t>
  </si>
  <si>
    <r>
      <t xml:space="preserve"> INFORMATION TECHNOLOGY EXPENSES </t>
    </r>
    <r>
      <rPr>
        <b/>
        <vertAlign val="superscript"/>
        <sz val="10"/>
        <rFont val="Arial"/>
        <family val="2"/>
      </rPr>
      <t>(1)</t>
    </r>
  </si>
  <si>
    <t>ANALYSIS OF TRANSPORTATION EXPENSES (CONT'D)</t>
  </si>
  <si>
    <t>ANALYSIS OF TRANSPORTATION EXPENSES</t>
  </si>
  <si>
    <t>COMPRISED OF:</t>
  </si>
  <si>
    <r>
      <t xml:space="preserve">  RECHARGE </t>
    </r>
    <r>
      <rPr>
        <vertAlign val="superscript"/>
        <sz val="9"/>
        <rFont val="Arial"/>
        <family val="2"/>
      </rPr>
      <t>(1)</t>
    </r>
  </si>
  <si>
    <t xml:space="preserve">  BAD DEBT EXPENSE</t>
  </si>
  <si>
    <r>
      <t xml:space="preserve">LAND </t>
    </r>
    <r>
      <rPr>
        <b/>
        <vertAlign val="superscript"/>
        <sz val="10"/>
        <rFont val="Arial"/>
        <family val="2"/>
      </rPr>
      <t>(1)</t>
    </r>
  </si>
  <si>
    <t xml:space="preserve">  ACCUMULATED SURPLUS / EQUITY</t>
  </si>
  <si>
    <r>
      <t xml:space="preserve">AMORTIZATION </t>
    </r>
    <r>
      <rPr>
        <b/>
        <vertAlign val="superscript"/>
        <sz val="9"/>
        <rFont val="Arial"/>
        <family val="2"/>
      </rPr>
      <t>(1)</t>
    </r>
  </si>
  <si>
    <r>
      <t>EQUIPMENT</t>
    </r>
    <r>
      <rPr>
        <b/>
        <vertAlign val="superscript"/>
        <sz val="10"/>
        <rFont val="Arial"/>
        <family val="2"/>
      </rPr>
      <t xml:space="preserve"> (2)</t>
    </r>
  </si>
  <si>
    <t xml:space="preserve">  FISCAL YEAR ADDITIONS TO TANGIBLE CAPITAL ASSETS</t>
  </si>
  <si>
    <t>UNDESIGNATED</t>
  </si>
  <si>
    <t>Health and Education Levy</t>
  </si>
  <si>
    <t>Dates</t>
  </si>
  <si>
    <t>September 30,</t>
  </si>
  <si>
    <r>
      <t xml:space="preserve">ADMINISTRATION EXPENSES </t>
    </r>
    <r>
      <rPr>
        <b/>
        <vertAlign val="superscript"/>
        <sz val="10"/>
        <rFont val="Arial"/>
        <family val="2"/>
      </rPr>
      <t>(1)</t>
    </r>
    <r>
      <rPr>
        <b/>
        <sz val="9"/>
        <rFont val="Arial"/>
        <family val="2"/>
      </rPr>
      <t xml:space="preserve"> </t>
    </r>
  </si>
  <si>
    <r>
      <t xml:space="preserve">OTHER  </t>
    </r>
    <r>
      <rPr>
        <b/>
        <vertAlign val="superscript"/>
        <sz val="9"/>
        <rFont val="Arial"/>
        <family val="2"/>
      </rPr>
      <t>(1)</t>
    </r>
  </si>
  <si>
    <r>
      <t>BUILDINGS</t>
    </r>
    <r>
      <rPr>
        <b/>
        <vertAlign val="superscript"/>
        <sz val="9"/>
        <rFont val="Arial"/>
        <family val="2"/>
      </rPr>
      <t xml:space="preserve"> </t>
    </r>
    <r>
      <rPr>
        <b/>
        <vertAlign val="superscript"/>
        <sz val="10"/>
        <rFont val="Arial"/>
        <family val="2"/>
      </rPr>
      <t>(2)</t>
    </r>
  </si>
  <si>
    <t>INSTRUCTIONAL AND OTHER SUPPORT SERVICES</t>
  </si>
  <si>
    <t>ANALYSIS OF INFORMATION TECHNOLOGY EXPENSES</t>
  </si>
  <si>
    <t xml:space="preserve">  EXECUTIVE, MANAGERIAL
 AND SUPERVISORY</t>
  </si>
  <si>
    <t xml:space="preserve"> TECHNICAL, 
SPECIALIZED AND SERVICE</t>
  </si>
  <si>
    <t>SECRETARIAL 
CLERICAL
 AND OTHER</t>
  </si>
  <si>
    <t>TOTAL 
FTE</t>
  </si>
  <si>
    <t xml:space="preserve"> DIVISION/DISTRICT</t>
  </si>
  <si>
    <t>BEAUTIFUL PLAINS</t>
  </si>
  <si>
    <t>BORDER LAND</t>
  </si>
  <si>
    <t>BRANDON</t>
  </si>
  <si>
    <t>EVERGREEN</t>
  </si>
  <si>
    <t>FLIN FLON</t>
  </si>
  <si>
    <t>FORT LA BOSSE</t>
  </si>
  <si>
    <t>FRONTIER</t>
  </si>
  <si>
    <t>GARDEN VALLEY</t>
  </si>
  <si>
    <t>HANOVER</t>
  </si>
  <si>
    <t>INTERLAKE</t>
  </si>
  <si>
    <t>KELSEY</t>
  </si>
  <si>
    <t>LAKESHORE</t>
  </si>
  <si>
    <t>LORD SELKIRK</t>
  </si>
  <si>
    <t>LOUIS RIEL</t>
  </si>
  <si>
    <t>MOUNTAIN VIEW</t>
  </si>
  <si>
    <t>MYSTERY LAKE</t>
  </si>
  <si>
    <t>PARK WEST</t>
  </si>
  <si>
    <t>PEMBINA TRAILS</t>
  </si>
  <si>
    <t>PINE CREEK</t>
  </si>
  <si>
    <t>PORTAGE LA PRAIRIE</t>
  </si>
  <si>
    <t>PRAIRIE ROSE</t>
  </si>
  <si>
    <t>PRAIRIE SPIRIT</t>
  </si>
  <si>
    <t>RED RIVER VALLEY</t>
  </si>
  <si>
    <t>RIVER EAST TRANSCONA</t>
  </si>
  <si>
    <t>ROLLING RIVER</t>
  </si>
  <si>
    <t>SEINE RIVER</t>
  </si>
  <si>
    <t>SEVEN OAKS</t>
  </si>
  <si>
    <t>SOUTHWEST HORIZON</t>
  </si>
  <si>
    <t>ST. JAMES-ASSINIBOIA</t>
  </si>
  <si>
    <t>SUNRISE</t>
  </si>
  <si>
    <t>SWAN VALLEY</t>
  </si>
  <si>
    <t>TURTLE MOUNTAIN</t>
  </si>
  <si>
    <t>TURTLE RIVER</t>
  </si>
  <si>
    <t>WESTERN</t>
  </si>
  <si>
    <t>WINNIPEG</t>
  </si>
  <si>
    <t>WHITESHELL</t>
  </si>
  <si>
    <t>DIRECT SUPPORT TO PUPILS</t>
  </si>
  <si>
    <t>PER PUPIL</t>
  </si>
  <si>
    <t>NET SPECIAL LEVY</t>
  </si>
  <si>
    <t>GROSS SPECIAL</t>
  </si>
  <si>
    <t>NET SPECIAL</t>
  </si>
  <si>
    <t xml:space="preserve">      </t>
  </si>
  <si>
    <t>CurrY</t>
  </si>
  <si>
    <t>PrevY</t>
  </si>
  <si>
    <r>
      <t xml:space="preserve">REGULAR INSTRUCTION </t>
    </r>
    <r>
      <rPr>
        <b/>
        <vertAlign val="superscript"/>
        <sz val="9"/>
        <rFont val="Arial"/>
        <family val="2"/>
      </rPr>
      <t>(1)</t>
    </r>
  </si>
  <si>
    <t>(1)  From page 4 (for more information, see page 4).</t>
  </si>
  <si>
    <t>(2)  From page 9 (for more information, see page 9).</t>
  </si>
  <si>
    <t>(1)  90% or more of Regular Instruction enrolment is in one language program.</t>
  </si>
  <si>
    <t>(2)  No one language program comprises 90% or more of Regular Instruction enrolment.</t>
  </si>
  <si>
    <t>(1)  Total operating expenses as reported on the Schedule of Revenue, Expenses and Accumulated Surplus by each school division.</t>
  </si>
  <si>
    <t>(3)  As reported on pages 10 and 13 (on a provincial basis).</t>
  </si>
  <si>
    <t>(4)  Expenses for Adult Learning Centres and Community Education and Services (Functions 300 and 400).</t>
  </si>
  <si>
    <t>(5)  As reported on page 4.</t>
  </si>
  <si>
    <t>(1)  90% or more of Regular Instruction enrolment is in one language.</t>
  </si>
  <si>
    <t>(1)  No one language program comprises 90% or more of Regular Instruction enrolment.</t>
  </si>
  <si>
    <t>(1)  Expenses shown are extra costs associated with special needs students in regular classes, not the total cost of educating those students.</t>
  </si>
  <si>
    <t>(1)  Includes food services, health services, and other activities related to instructional and other support not included in previous programs.</t>
  </si>
  <si>
    <t>(2)  Square footage (as per note above) divided by total F.T.E. enrolment (from page 7).</t>
  </si>
  <si>
    <t>(1)  Excludes information technology expenses in Function 300 (Adult Learning Centres) and Function 400 (Community Education and Services).</t>
  </si>
  <si>
    <t>(1)  See appendix for more detail.</t>
  </si>
  <si>
    <t>(5)  Includes revenue from other provincial government departments.</t>
  </si>
  <si>
    <t>(1)  Includes amortization of capital assets over their useful lives as defined in section 8 of the FRAME Manual - available on the Internet at:</t>
  </si>
  <si>
    <t>(2)  Includes other governments, investment income, donations and gain/(loss) on disposal of capital assets. .</t>
  </si>
  <si>
    <t>(2)  Internally restricted and held for future capital expense purposes.</t>
  </si>
  <si>
    <t>(1)  Land and improvements.</t>
  </si>
  <si>
    <t>(4)  Includes school buses and other vehicles.</t>
  </si>
  <si>
    <t>(2)  Mill rates for Flin Flon and Mystery Lake are adjusted for mining revenue.</t>
  </si>
  <si>
    <t>(2)  Provided in recognition of the higher costs associated with sparsely populated rural and northern divisions.</t>
  </si>
  <si>
    <t>(1)  Includes vehicle support for school buses.</t>
  </si>
  <si>
    <t xml:space="preserve"> DSFM</t>
  </si>
  <si>
    <t>DSFM</t>
  </si>
  <si>
    <r>
      <rPr>
        <sz val="9"/>
        <color indexed="12"/>
        <rFont val="Arial"/>
        <family val="2"/>
      </rPr>
      <t xml:space="preserve"> </t>
    </r>
    <r>
      <rPr>
        <u/>
        <sz val="9"/>
        <color indexed="12"/>
        <rFont val="Arial"/>
        <family val="2"/>
      </rPr>
      <t>http://www.edu.gov.mb.ca/k12/finance/frame_manual/index.html</t>
    </r>
  </si>
  <si>
    <t>(2)  For a definition of Divisional Administration, see expense definitions, page iii.</t>
  </si>
  <si>
    <r>
      <t xml:space="preserve">  VEHICLES </t>
    </r>
    <r>
      <rPr>
        <vertAlign val="superscript"/>
        <sz val="10"/>
        <rFont val="Arial"/>
        <family val="2"/>
      </rPr>
      <t>(4)</t>
    </r>
  </si>
  <si>
    <r>
      <t xml:space="preserve">PORTIONED ASSESSMENT AND EDUCATION SUPPORT LEVY  </t>
    </r>
    <r>
      <rPr>
        <b/>
        <vertAlign val="superscript"/>
        <sz val="10"/>
        <rFont val="Arial"/>
        <family val="2"/>
      </rPr>
      <t>(1)</t>
    </r>
  </si>
  <si>
    <t>ADDITIONAL INSTRUCTIONAL SUPPORT FOR 
SMALL SCHOOLS</t>
  </si>
  <si>
    <r>
      <t xml:space="preserve">TRANSPORTATION </t>
    </r>
    <r>
      <rPr>
        <b/>
        <vertAlign val="superscript"/>
        <sz val="10"/>
        <rFont val="Arial"/>
        <family val="2"/>
      </rPr>
      <t>(1)</t>
    </r>
  </si>
  <si>
    <t xml:space="preserve"> TEACHING</t>
  </si>
  <si>
    <t xml:space="preserve"> INSTRUCTIONAL
</t>
  </si>
  <si>
    <r>
      <t xml:space="preserve"> 
 CLINICIAN</t>
    </r>
    <r>
      <rPr>
        <b/>
        <vertAlign val="superscript"/>
        <sz val="9"/>
        <rFont val="Arial"/>
        <family val="2"/>
      </rPr>
      <t xml:space="preserve"> </t>
    </r>
    <r>
      <rPr>
        <vertAlign val="superscript"/>
        <sz val="9"/>
        <rFont val="Arial"/>
        <family val="2"/>
      </rPr>
      <t>(2)</t>
    </r>
  </si>
  <si>
    <r>
      <t xml:space="preserve">  
  IT  </t>
    </r>
    <r>
      <rPr>
        <b/>
        <vertAlign val="superscript"/>
        <sz val="9"/>
        <rFont val="Arial"/>
        <family val="2"/>
      </rPr>
      <t>(3)</t>
    </r>
  </si>
  <si>
    <t>Per Funded</t>
  </si>
  <si>
    <t>Resident</t>
  </si>
  <si>
    <t>Pupil &lt; 21</t>
  </si>
  <si>
    <t>for Page 55</t>
  </si>
  <si>
    <t>SCHOOL GENERATED FUNDS</t>
  </si>
  <si>
    <t>(2)  Includes clinicians contracted/outsourced/private or employed by other divisions on a full time equivalent basis.</t>
  </si>
  <si>
    <r>
      <t>% of K-12 Expense</t>
    </r>
    <r>
      <rPr>
        <b/>
        <vertAlign val="superscript"/>
        <sz val="9"/>
        <rFont val="Arial"/>
        <family val="2"/>
      </rPr>
      <t xml:space="preserve"> (2)</t>
    </r>
  </si>
  <si>
    <t>(2) Expenses net of transfers (page 3).</t>
  </si>
  <si>
    <r>
      <t>FULL TIME EQUIVALENT (FTE) PERSONNEL EMPLOYED</t>
    </r>
    <r>
      <rPr>
        <b/>
        <vertAlign val="superscript"/>
        <sz val="9"/>
        <rFont val="Arial"/>
        <family val="2"/>
      </rPr>
      <t xml:space="preserve"> (1)</t>
    </r>
  </si>
  <si>
    <r>
      <t xml:space="preserve">DESIGNATED </t>
    </r>
    <r>
      <rPr>
        <b/>
        <vertAlign val="superscript"/>
        <sz val="9"/>
        <rFont val="Arial"/>
        <family val="2"/>
      </rPr>
      <t>(2)</t>
    </r>
  </si>
  <si>
    <r>
      <t xml:space="preserve">EXPENSES </t>
    </r>
    <r>
      <rPr>
        <b/>
        <vertAlign val="superscript"/>
        <sz val="10"/>
        <rFont val="Arial"/>
        <family val="2"/>
      </rPr>
      <t>(3)</t>
    </r>
  </si>
  <si>
    <t>(1)  Accumulated Surplus / (Deficit) at Year End is gross of estimated non-vested accumulated sick leave.</t>
  </si>
  <si>
    <t>W:\Edusfb\Age and Area</t>
  </si>
  <si>
    <r>
      <t xml:space="preserve">ACCUMULATED SURPLUS / (DEFICIT) AT YEAR END </t>
    </r>
    <r>
      <rPr>
        <b/>
        <vertAlign val="superscript"/>
        <sz val="9"/>
        <rFont val="Arial"/>
        <family val="2"/>
      </rPr>
      <t xml:space="preserve"> (1)</t>
    </r>
  </si>
  <si>
    <t>(4)  Includes School Buildings "D" Support, Technology Education Equipment and other minor capital support.</t>
  </si>
  <si>
    <t>(5)  Includes adjustment for days schools are closed (not shown).</t>
  </si>
  <si>
    <t>(2)  Represents long term debt servicing interest costs.</t>
  </si>
  <si>
    <r>
      <t>SPARSITY</t>
    </r>
    <r>
      <rPr>
        <b/>
        <vertAlign val="superscript"/>
        <sz val="9"/>
        <rFont val="Arial"/>
        <family val="2"/>
      </rPr>
      <t xml:space="preserve"> (2)</t>
    </r>
  </si>
  <si>
    <t>(1)  All other categorical support not shown elsewhere (eg. Aboriginal and International Languages, Northern Allowance, etc.).</t>
  </si>
  <si>
    <t>(4)  Includes other miscellaneous support (Institutional Programs, Nursing Supports, General Support Grant, Smaller Classes Initiative, etc.).</t>
  </si>
  <si>
    <t>EXPENSES, REVENUE AND ACCUMULATED SURPLUS</t>
  </si>
  <si>
    <t>Reallocation of administration costs associated with Adult Learning Centres and Community and Education &amp; Services.</t>
  </si>
  <si>
    <t>(1)  Reallocation of administration costs associated with Adult Learning Centres and Community Education.</t>
  </si>
  <si>
    <t>(1)  Excludes personnel in Function 300 (Adult Learning Centres) and Function 400 (Community Education and Services) who do not provide 
       educational services to K-12 pupils.</t>
  </si>
  <si>
    <t>(3)  Information Technology personnel.</t>
  </si>
  <si>
    <t xml:space="preserve"> &lt; from Lyndonna</t>
  </si>
  <si>
    <t>Waywayseecapo</t>
  </si>
  <si>
    <t>PAGE 1 OF 16</t>
  </si>
  <si>
    <t>PAGE 2 OF 16</t>
  </si>
  <si>
    <t>PAGE 3 OF 16</t>
  </si>
  <si>
    <t>PAGE 4 OF 16</t>
  </si>
  <si>
    <t>PAGE 5 OF 16</t>
  </si>
  <si>
    <t>PAGE 6 OF 16</t>
  </si>
  <si>
    <t>PAGE 7 OF 16</t>
  </si>
  <si>
    <t>PAGE 8 OF 16</t>
  </si>
  <si>
    <t>PAGE 9 OF 16</t>
  </si>
  <si>
    <t>PAGE 10 OF 16</t>
  </si>
  <si>
    <t>PAGE 11 OF 16</t>
  </si>
  <si>
    <t>PAGE 12 OF 16</t>
  </si>
  <si>
    <t>PAGE 13 OF 16</t>
  </si>
  <si>
    <t>PAGE 14 OF 16</t>
  </si>
  <si>
    <t>PAGE 15 OF 16</t>
  </si>
  <si>
    <t>PAGE 16 OF 16</t>
  </si>
  <si>
    <t>(2)  Capitalized Information Technology equipment is reported on page 48.</t>
  </si>
  <si>
    <t>(2)  Total Management Information Services expenses in Function 500 (from page 26).</t>
  </si>
  <si>
    <t>(3)  For information technology equipment purchased in Operating Fund, see page 37.</t>
  </si>
  <si>
    <t>(3)  From page 55 (for more information, see page 55).</t>
  </si>
  <si>
    <t xml:space="preserve">(4)  From page 53 (for more information, see page 53). </t>
  </si>
  <si>
    <t>OE799X</t>
  </si>
  <si>
    <t>OE1TRANS</t>
  </si>
  <si>
    <t>OE7TRANS</t>
  </si>
  <si>
    <t>OE2TRANS</t>
  </si>
  <si>
    <t>OE3TRANS</t>
  </si>
  <si>
    <t>OE4TRANS</t>
  </si>
  <si>
    <t>OE5TRANS</t>
  </si>
  <si>
    <t>OE6TRANS</t>
  </si>
  <si>
    <t>LIABINS</t>
  </si>
  <si>
    <t>ADMINSELF</t>
  </si>
  <si>
    <t>ADJUSTMENT</t>
  </si>
  <si>
    <t>FOR DAYS</t>
  </si>
  <si>
    <t>CLOSED</t>
  </si>
  <si>
    <t>DAYSCLOS</t>
  </si>
  <si>
    <t>CATSUP</t>
  </si>
  <si>
    <t>SPECIAL NEEDS</t>
  </si>
  <si>
    <t>COORDINATOR/</t>
  </si>
  <si>
    <t>CLINICIAN</t>
  </si>
  <si>
    <t>LEVEL II</t>
  </si>
  <si>
    <t>LEVEL III</t>
  </si>
  <si>
    <t>SPECNEEDCLIN</t>
  </si>
  <si>
    <t>SPECNEED2</t>
  </si>
  <si>
    <t>SPECNEED3</t>
  </si>
  <si>
    <t>Page</t>
  </si>
  <si>
    <t>Function</t>
  </si>
  <si>
    <t xml:space="preserve"> Function's check</t>
  </si>
  <si>
    <t>(2)  Operating fund transfers are payments to other school divisions, organizations and individuals. These are removed to provide more accurate
       per pupil costs.</t>
  </si>
  <si>
    <r>
      <t xml:space="preserve">TOTAL
EXPENSES </t>
    </r>
    <r>
      <rPr>
        <b/>
        <vertAlign val="superscript"/>
        <sz val="9"/>
        <rFont val="Arial"/>
        <family val="2"/>
      </rPr>
      <t>(1)</t>
    </r>
  </si>
  <si>
    <r>
      <t>LESS
OPERATING 
FUND 
TRANSFERS</t>
    </r>
    <r>
      <rPr>
        <b/>
        <vertAlign val="superscript"/>
        <sz val="9"/>
        <rFont val="Arial"/>
        <family val="2"/>
      </rPr>
      <t xml:space="preserve"> (2)</t>
    </r>
  </si>
  <si>
    <r>
      <t xml:space="preserve">EXPENSES NET 
OF TRANFERS </t>
    </r>
    <r>
      <rPr>
        <b/>
        <vertAlign val="superscript"/>
        <sz val="9"/>
        <rFont val="Arial"/>
        <family val="2"/>
      </rPr>
      <t>(3)</t>
    </r>
  </si>
  <si>
    <r>
      <t>LESS
 NON K-12 
EDUCATION &amp; 
SERVICES</t>
    </r>
    <r>
      <rPr>
        <b/>
        <vertAlign val="superscript"/>
        <sz val="9"/>
        <rFont val="Arial"/>
        <family val="2"/>
      </rPr>
      <t xml:space="preserve"> (4)</t>
    </r>
  </si>
  <si>
    <r>
      <t xml:space="preserve">TOTAL
 EXPENSES 
FOR PER PUPIL COSTS </t>
    </r>
    <r>
      <rPr>
        <b/>
        <vertAlign val="superscript"/>
        <sz val="9"/>
        <rFont val="Arial"/>
        <family val="2"/>
      </rPr>
      <t>(5)</t>
    </r>
  </si>
  <si>
    <t>(1)  Operating fund transfers (i.e. payments to other school divisions, organizations and individuals) are excluded to provide more accurate per
       pupil costs. Also excluded are expenditures on educational services not provided to K-12 pupils: Function 300 (Adult Learning Centres) and
       Function  400 (Community Education and Services).</t>
  </si>
  <si>
    <t>OTHER BILINGUAL</t>
  </si>
  <si>
    <t>K-12  F.T.E. ENROLMENT</t>
  </si>
  <si>
    <t>SENIOR YEARS TECHNOLOGY</t>
  </si>
  <si>
    <t>(1) Special Placement students are no longer reported separately. They are included in Regular Instruction Enrolment. As a result, total enrolment
      in Regular Instruction is equal to Total K-12 F.T.E. enrolment.</t>
  </si>
  <si>
    <t>N-12 ENROLMENT</t>
  </si>
  <si>
    <t>NURSERY ENROLMENT</t>
  </si>
  <si>
    <t>K-12 ENROLMENT</t>
  </si>
  <si>
    <t>(2)  The total number of pupils enrolled in schools adjusted for full time equivalence (F.T.E.).  Full time equivalent means pupils are counted on the
        basis of time attending school - eg. Kindergarten as 1/2.  This total is the same as reported on page 7.</t>
  </si>
  <si>
    <r>
      <t xml:space="preserve">REGULAR 
 INSTRUCTION </t>
    </r>
    <r>
      <rPr>
        <b/>
        <vertAlign val="superscript"/>
        <sz val="9"/>
        <rFont val="Arial"/>
        <family val="2"/>
      </rPr>
      <t>(1)</t>
    </r>
  </si>
  <si>
    <t>(1)  Based on object code 330 Instructional-Teaching personnel and F.T.E. students in Function 100. Included are teachers in physical education,  
       music, EAL, etc. in addition to regular classroom teachers. School-based administrative personnel and teachers in Student Support Services
       (Function 200) are excluded.</t>
  </si>
  <si>
    <t>(2)  Based on total instructional-teaching (excluding Community Education and Adult Learning Centres) as well as school-based administrative  
       staff - eg. department heads, coordinators, principals and vice-principals - and K-12 F.T.E. enrolment. Division administrators (Function 500) 
       are excluded.</t>
  </si>
  <si>
    <t>EMPLOYEE
BENEFITS</t>
  </si>
  <si>
    <t>SUPPLIES AND MATERIALS</t>
  </si>
  <si>
    <t>BAD DEBT EXPENSE</t>
  </si>
  <si>
    <t>REGULAR 
INSTRUCTION</t>
  </si>
  <si>
    <t>COMMUNITY
 EDUCATION</t>
  </si>
  <si>
    <t>INSTRUCTIONAL &amp; OTHER SUPPORT SERVICES</t>
  </si>
  <si>
    <t>STUDENT SUPPORT
 SERVICES</t>
  </si>
  <si>
    <t>ADULT LEARNING 
CENTRES</t>
  </si>
  <si>
    <t>COMMUNITY EDUCATION
 AND SERVICES</t>
  </si>
  <si>
    <t>DIVISIONAL
 ADMINISTRATION</t>
  </si>
  <si>
    <t>INSTRUCTIONAL &amp; OTHER 
SUPPORT SERVICES</t>
  </si>
  <si>
    <t>TRANSPORTATION 
OF PUPILS</t>
  </si>
  <si>
    <t>OPERATIONS AND 
MAINTENANCE</t>
  </si>
  <si>
    <t>PER
PUPIL</t>
  </si>
  <si>
    <t>PER
 PUPIL</t>
  </si>
  <si>
    <t>SENIOR YEARS
 TECHNOLOGY EDUCATION</t>
  </si>
  <si>
    <t>NO. OF F.T.E. PUPILS</t>
  </si>
  <si>
    <t>ADMINISTRATION / 
COORDINATION</t>
  </si>
  <si>
    <t>CLINICAL AND RELATED SERVICES</t>
  </si>
  <si>
    <t>SPECIAL 
PLACEMENT</t>
  </si>
  <si>
    <r>
      <t xml:space="preserve">REGULAR 
PLACEMENT </t>
    </r>
    <r>
      <rPr>
        <b/>
        <vertAlign val="superscript"/>
        <sz val="9"/>
        <rFont val="Arial"/>
        <family val="2"/>
      </rPr>
      <t>(1)</t>
    </r>
  </si>
  <si>
    <t xml:space="preserve"> RESOURCE 
SERVICES</t>
  </si>
  <si>
    <t>COUNSELLING AND 
GUIDANCE</t>
  </si>
  <si>
    <t>ADMINISTRATION 
AND OTHER</t>
  </si>
  <si>
    <t>CONTINUING EDUCATION</t>
  </si>
  <si>
    <t>ENGLISH AS AN ADDITIONAL LANGUAGE FOR ADULTS</t>
  </si>
  <si>
    <t>COMMUNITY SERVICES &amp; RECREATION</t>
  </si>
  <si>
    <t>PRE-KINDERGARTEN EDUCATION</t>
  </si>
  <si>
    <t>INSTRUCTIONAL MGMT. 
AND ADMINISTRATION</t>
  </si>
  <si>
    <t>BUSINESS AND
ADMIN. SERVICES</t>
  </si>
  <si>
    <t>MANAGEMENT
 INFORMATION SERVICES</t>
  </si>
  <si>
    <t>CURRICULUM CONSULTING 
AND DEVELOPMENT ADMIN.</t>
  </si>
  <si>
    <t>CURRICULUM CONSULTING 
AND DEVELOPMENT</t>
  </si>
  <si>
    <t>LIBRARY / 
MEDIA CENTRE</t>
  </si>
  <si>
    <t>PROFESSIONAL AND
 STAFF DEVELOPMENT</t>
  </si>
  <si>
    <t>ALLOWANCES IN LIEU 
OF TRANSPORTATION</t>
  </si>
  <si>
    <t>BOARDING OF
 STUDENTS</t>
  </si>
  <si>
    <t>FIELD TRIPS
 AND OTHER</t>
  </si>
  <si>
    <t>INTEREST AND
 BANK CHARGES</t>
  </si>
  <si>
    <t>BAD
 DEBT</t>
  </si>
  <si>
    <t>HEALTH AND 
EDUCATION LEVY</t>
  </si>
  <si>
    <t>TRANSPORTED PUPILS</t>
  </si>
  <si>
    <t>TOTAL KM. (ROUTES)</t>
  </si>
  <si>
    <t>COST
 PER KM.</t>
  </si>
  <si>
    <t>LOADED 
KM.</t>
  </si>
  <si>
    <t>COST 
PER KM.</t>
  </si>
  <si>
    <t>TOTAL KM.
 (LOG BOOK)</t>
  </si>
  <si>
    <t>ADMINISTRATION, REGULAR AND OTHER
 (PROGRAMS 710, 720 AND 790)</t>
  </si>
  <si>
    <t>REPAIRS 
AND REPLACEMENTS</t>
  </si>
  <si>
    <t>COST PER PUPIL</t>
  </si>
  <si>
    <r>
      <t xml:space="preserve">COST PER 
SQ. FT. </t>
    </r>
    <r>
      <rPr>
        <b/>
        <vertAlign val="superscript"/>
        <sz val="9"/>
        <rFont val="Arial"/>
        <family val="2"/>
      </rPr>
      <t>(1)</t>
    </r>
  </si>
  <si>
    <r>
      <t>SQ. FT. PER PUPIL</t>
    </r>
    <r>
      <rPr>
        <b/>
        <vertAlign val="superscript"/>
        <sz val="9"/>
        <rFont val="Arial"/>
        <family val="2"/>
      </rPr>
      <t xml:space="preserve"> (2)</t>
    </r>
  </si>
  <si>
    <r>
      <t xml:space="preserve">COST PER
SQ. FT. </t>
    </r>
    <r>
      <rPr>
        <b/>
        <vertAlign val="superscript"/>
        <sz val="9"/>
        <rFont val="Arial"/>
        <family val="2"/>
      </rPr>
      <t>(1)</t>
    </r>
  </si>
  <si>
    <t>(1)  Excludes information technology expenses in Function 300 (Adult Learning Centres), Function 400 (Community Education and Services) 
       and, Management Information Services in Function 500. Total expenses for Management Information Services are included on page 38
       and form part of Total Information Technology Expenses.</t>
  </si>
  <si>
    <r>
      <t xml:space="preserve">MANAGEMENT
 INFORMATION SERVICES </t>
    </r>
    <r>
      <rPr>
        <b/>
        <vertAlign val="superscript"/>
        <sz val="9"/>
        <rFont val="Arial"/>
        <family val="2"/>
      </rPr>
      <t>(2)</t>
    </r>
  </si>
  <si>
    <t>PRIVATE 
ORG.'S &amp; 
INDIVIDUALS</t>
  </si>
  <si>
    <t>OTHER SCHOOL DIVISIONS</t>
  </si>
  <si>
    <t>TOTAL PROVINCIAL REVENUE</t>
  </si>
  <si>
    <r>
      <t>%
 OPERATING 
FUND
 REVENUE</t>
    </r>
    <r>
      <rPr>
        <b/>
        <vertAlign val="superscript"/>
        <sz val="9"/>
        <rFont val="Arial"/>
        <family val="2"/>
      </rPr>
      <t xml:space="preserve"> (6)</t>
    </r>
  </si>
  <si>
    <r>
      <t>OTHER PROVINCIAL REVENUE</t>
    </r>
    <r>
      <rPr>
        <b/>
        <vertAlign val="superscript"/>
        <sz val="9"/>
        <rFont val="Arial"/>
        <family val="2"/>
      </rPr>
      <t xml:space="preserve"> (5)</t>
    </r>
  </si>
  <si>
    <r>
      <t>OTHER REVENUE</t>
    </r>
    <r>
      <rPr>
        <b/>
        <vertAlign val="superscript"/>
        <sz val="9"/>
        <rFont val="Arial"/>
        <family val="2"/>
      </rPr>
      <t xml:space="preserve"> (4)</t>
    </r>
  </si>
  <si>
    <r>
      <t>TAX  INCENTIVE GRANT</t>
    </r>
    <r>
      <rPr>
        <b/>
        <vertAlign val="superscript"/>
        <sz val="9"/>
        <rFont val="Arial"/>
        <family val="2"/>
      </rPr>
      <t xml:space="preserve"> (3)</t>
    </r>
  </si>
  <si>
    <r>
      <t xml:space="preserve">EDUCATION PROPERTY 
TAX CREDIT </t>
    </r>
    <r>
      <rPr>
        <b/>
        <vertAlign val="superscript"/>
        <sz val="9"/>
        <rFont val="Arial"/>
        <family val="2"/>
      </rPr>
      <t>(2)</t>
    </r>
  </si>
  <si>
    <r>
      <t>FUNDING OF SCHOOLS
PROGRAM</t>
    </r>
    <r>
      <rPr>
        <b/>
        <vertAlign val="superscript"/>
        <sz val="9"/>
        <rFont val="Arial"/>
        <family val="2"/>
      </rPr>
      <t xml:space="preserve"> (1)</t>
    </r>
  </si>
  <si>
    <t>FEDERAL
 GOVERNMENT</t>
  </si>
  <si>
    <r>
      <t xml:space="preserve">MUNICIPAL GOVERNMENT </t>
    </r>
    <r>
      <rPr>
        <b/>
        <vertAlign val="superscript"/>
        <sz val="9"/>
        <rFont val="Arial"/>
        <family val="2"/>
      </rPr>
      <t>(1)</t>
    </r>
  </si>
  <si>
    <t>PRIVATE ORGANIZATIONS
 &amp; INDIVIDUALS</t>
  </si>
  <si>
    <t>TOTAL 
NON-PROVINCIAL
 REVENUE</t>
  </si>
  <si>
    <t>TOTAL
 OPERATING 
FUND</t>
  </si>
  <si>
    <t>(3) Operating expenses include transfers to other school divisions, organizations and individuals but not net transfers to capital. See
      page 3 for Total Expenses.</t>
  </si>
  <si>
    <t>(2) Designated Surplus is the amount that school divisions have set aside for specific purposes. For further information, please refer
      to the school divisions' financial statements.</t>
  </si>
  <si>
    <r>
      <t xml:space="preserve">DEBT
 INTEREST </t>
    </r>
    <r>
      <rPr>
        <b/>
        <vertAlign val="superscript"/>
        <sz val="9"/>
        <rFont val="Arial"/>
        <family val="2"/>
      </rPr>
      <t>(2)</t>
    </r>
  </si>
  <si>
    <t>OTHER 
CAPITAL
 ITEMS</t>
  </si>
  <si>
    <t>TOTAL EXPENSES</t>
  </si>
  <si>
    <t>TOTAL
 EXPENSES</t>
  </si>
  <si>
    <r>
      <t xml:space="preserve">PROVINCIAL GOVERNMENT </t>
    </r>
    <r>
      <rPr>
        <b/>
        <vertAlign val="superscript"/>
        <sz val="9"/>
        <rFont val="Arial"/>
        <family val="2"/>
      </rPr>
      <t>(1)</t>
    </r>
  </si>
  <si>
    <r>
      <t xml:space="preserve">OTHER
 SOURCES </t>
    </r>
    <r>
      <rPr>
        <b/>
        <vertAlign val="superscript"/>
        <sz val="9"/>
        <rFont val="Arial"/>
        <family val="2"/>
      </rPr>
      <t>(2)</t>
    </r>
  </si>
  <si>
    <t>TOTAL
 REVENUE</t>
  </si>
  <si>
    <t>NET TRANSFERS
 TO / (FROM) 
CAPITAL</t>
  </si>
  <si>
    <t>(1)  Residual interest (accounting value) in all tangible capital assets (i.e. land, buildings, vehicles and equipment) net of accumulated amortization
      and liabilities.</t>
  </si>
  <si>
    <t>CLOSING ACCUMULATED SURPLUS / 
EQUITY</t>
  </si>
  <si>
    <r>
      <t xml:space="preserve">RESERVE ACCOUNTS </t>
    </r>
    <r>
      <rPr>
        <b/>
        <vertAlign val="superscript"/>
        <sz val="9"/>
        <rFont val="Arial"/>
        <family val="2"/>
      </rPr>
      <t>(2)</t>
    </r>
  </si>
  <si>
    <r>
      <t xml:space="preserve">EQUITY IN TANGIBLE 
ASSETS </t>
    </r>
    <r>
      <rPr>
        <b/>
        <vertAlign val="superscript"/>
        <sz val="9"/>
        <rFont val="Arial"/>
        <family val="2"/>
      </rPr>
      <t>(1)</t>
    </r>
  </si>
  <si>
    <t>FURNITURE / FIXTURES &amp; EQUIPMENT</t>
  </si>
  <si>
    <r>
      <t xml:space="preserve">COMPUTER HARDWARE &amp; SOFTWARE </t>
    </r>
    <r>
      <rPr>
        <b/>
        <vertAlign val="superscript"/>
        <sz val="9"/>
        <rFont val="Arial"/>
        <family val="2"/>
      </rPr>
      <t>(3)</t>
    </r>
  </si>
  <si>
    <t>OTHER 
FUNDS</t>
  </si>
  <si>
    <t>CLOSING ACCUMULATED SURPLUS /
 EQUITY</t>
  </si>
  <si>
    <t xml:space="preserve">(1) The Special Purpose Fund reports school generated funds and controlled charitable foundations. School generated funds are those funds which
      the school has authority to make decisions as to when, how, and on what the funds are to be spent (e.g. Parent council and student council
      funds are not included).  </t>
  </si>
  <si>
    <t>TOTAL SCHOOL GENERATED FUNDS</t>
  </si>
  <si>
    <r>
      <t>SCHOOL GENERATED FUNDS ACCUMULATED SURPLUS</t>
    </r>
    <r>
      <rPr>
        <b/>
        <vertAlign val="superscript"/>
        <sz val="9"/>
        <rFont val="Arial"/>
        <family val="2"/>
      </rPr>
      <t xml:space="preserve"> (1)</t>
    </r>
  </si>
  <si>
    <t xml:space="preserve">(1)  From page 49. School Generated Funds Accumulated surplus is money for which schools have authority to make decisions as to when,
       how, and on what the funds are to be spent. </t>
  </si>
  <si>
    <t>(2)  The liability is money held for designated projects in school bank accounts for which schools do not have authority to make decisions as to
        when, how, and on what the funds are to be spent (e.g. Parent council and student council funds).</t>
  </si>
  <si>
    <t>EDUCATION 
SUPPORT LEVY</t>
  </si>
  <si>
    <t xml:space="preserve">PORTIONED 
ASSESSMENT 
OTHER  </t>
  </si>
  <si>
    <r>
      <t>SPECIAL
 LEVY</t>
    </r>
    <r>
      <rPr>
        <b/>
        <vertAlign val="superscript"/>
        <sz val="9"/>
        <rFont val="Arial"/>
        <family val="2"/>
      </rPr>
      <t xml:space="preserve"> (1)</t>
    </r>
  </si>
  <si>
    <r>
      <t>SPECIAL
 LEVY 
MILL RATE</t>
    </r>
    <r>
      <rPr>
        <b/>
        <vertAlign val="superscript"/>
        <sz val="9"/>
        <rFont val="Arial"/>
        <family val="2"/>
      </rPr>
      <t xml:space="preserve"> (2)</t>
    </r>
  </si>
  <si>
    <t>FARM 
LAND AND BUILDINGS</t>
  </si>
  <si>
    <t>URBAN 
AND FARM RESIDENTIAL</t>
  </si>
  <si>
    <t>NET SPECIAL 
LEVY</t>
  </si>
  <si>
    <r>
      <t xml:space="preserve">TAX INCENTIVE
 GRANT </t>
    </r>
    <r>
      <rPr>
        <b/>
        <vertAlign val="superscript"/>
        <sz val="9"/>
        <rFont val="Arial"/>
        <family val="2"/>
      </rPr>
      <t>(1)</t>
    </r>
  </si>
  <si>
    <t>GROSS SPECIAL
 LEVY</t>
  </si>
  <si>
    <t>EDUCATION
 SUPPORT 
LEVY</t>
  </si>
  <si>
    <r>
      <t>ASSESSMENT
 PER
 RESIDENT PUPIL</t>
    </r>
    <r>
      <rPr>
        <b/>
        <vertAlign val="superscript"/>
        <sz val="9"/>
        <rFont val="Arial"/>
        <family val="2"/>
      </rPr>
      <t xml:space="preserve"> (1)</t>
    </r>
  </si>
  <si>
    <t>(1)  Assessment per resident pupil is based on total portioned assessment adjusted for allocations to the DSFM and corresponds to data provided
      in the calculation of support to school divisions. Assessment per resident pupil for Flin Flon, Frontier and Mystery Lake reflects non-assessed
      mining properties. DSFM assessment per resident pupil is derived on a pro rata basis according to enrolment within DSFM boundaries.</t>
  </si>
  <si>
    <r>
      <t>INSTRUCTIONAL SUPPORT</t>
    </r>
    <r>
      <rPr>
        <b/>
        <vertAlign val="superscript"/>
        <sz val="9"/>
        <rFont val="Arial"/>
        <family val="2"/>
      </rPr>
      <t xml:space="preserve"> (1)</t>
    </r>
  </si>
  <si>
    <t>CURRICULAR MATERIALS</t>
  </si>
  <si>
    <t>INFORMATION TECHNOLOGY</t>
  </si>
  <si>
    <t>LIBRARY SERVICES</t>
  </si>
  <si>
    <t>EDUCATION 
FUNDING OF SCHOOLS PROGRAM</t>
  </si>
  <si>
    <t>COUNSELLING AND GUIDANCE</t>
  </si>
  <si>
    <t>PROFESSIONAL DEVELOPMENT</t>
  </si>
  <si>
    <t>PHYSICAL EDUCATION</t>
  </si>
  <si>
    <t>TOTAL
 BASE
 SUPPORT</t>
  </si>
  <si>
    <t>EDUCATION 
FUNDING OF SCHOOLS PROGRAM (CONT'D)</t>
  </si>
  <si>
    <r>
      <t>SPECIAL
 NEEDS</t>
    </r>
    <r>
      <rPr>
        <b/>
        <vertAlign val="superscript"/>
        <sz val="9"/>
        <rFont val="Arial"/>
        <family val="2"/>
      </rPr>
      <t xml:space="preserve"> (2)</t>
    </r>
  </si>
  <si>
    <t>ENGLISH AS AN ADDITIONAL LANGUAGE</t>
  </si>
  <si>
    <t>SENIOR YEARS TECHNOLOGY EDUCATION</t>
  </si>
  <si>
    <t>ABORIGINAL
 ACADEMIC 
ACHIEVEMENT</t>
  </si>
  <si>
    <t>FRENCH LANGUAGE PROGRAMS</t>
  </si>
  <si>
    <t>EARLY
 CHILDHOOD
 INITIATIVE</t>
  </si>
  <si>
    <t>EARLY 
LITERACY
 INTERVENTION</t>
  </si>
  <si>
    <r>
      <t>OTHER CATEGORICAL</t>
    </r>
    <r>
      <rPr>
        <b/>
        <vertAlign val="superscript"/>
        <sz val="9"/>
        <rFont val="Arial"/>
        <family val="2"/>
      </rPr>
      <t xml:space="preserve"> (1)</t>
    </r>
  </si>
  <si>
    <t>TOTAL CATEGORICAL SUPPORT</t>
  </si>
  <si>
    <r>
      <t>EQUALIZATION SUPPORT</t>
    </r>
    <r>
      <rPr>
        <b/>
        <vertAlign val="superscript"/>
        <sz val="9"/>
        <rFont val="Arial"/>
        <family val="2"/>
      </rPr>
      <t xml:space="preserve"> (1)</t>
    </r>
  </si>
  <si>
    <r>
      <t>ADDITIONAL EQUALIZATION SUPPORT</t>
    </r>
    <r>
      <rPr>
        <b/>
        <vertAlign val="superscript"/>
        <sz val="9"/>
        <rFont val="Arial"/>
        <family val="2"/>
      </rPr>
      <t xml:space="preserve"> (2)</t>
    </r>
  </si>
  <si>
    <r>
      <t xml:space="preserve">FORMULA GUARANTEE </t>
    </r>
    <r>
      <rPr>
        <b/>
        <vertAlign val="superscript"/>
        <sz val="9"/>
        <rFont val="Arial"/>
        <family val="2"/>
      </rPr>
      <t>(3)</t>
    </r>
  </si>
  <si>
    <r>
      <t>OTHER
 PROGRAM 
SUPPORT</t>
    </r>
    <r>
      <rPr>
        <b/>
        <vertAlign val="superscript"/>
        <sz val="9"/>
        <rFont val="Arial"/>
        <family val="2"/>
      </rPr>
      <t xml:space="preserve"> (4)</t>
    </r>
  </si>
  <si>
    <r>
      <t xml:space="preserve">TOTAL FUNDING 
OF SCHOOLS 
PROGRAM </t>
    </r>
    <r>
      <rPr>
        <b/>
        <vertAlign val="superscript"/>
        <sz val="9"/>
        <rFont val="Arial"/>
        <family val="2"/>
      </rPr>
      <t>(5)</t>
    </r>
  </si>
  <si>
    <t>(2)  Additional Equalization is provided to specifically assist school divisions or districts that have both higher than average tax effort and
        lower than average assessment per pupil.</t>
  </si>
  <si>
    <t>(1)  Equalization is provided to recognize the varying ability of school divisions to meet the cost of unsupported program requirements
        through the property tax base of the school division.</t>
  </si>
  <si>
    <t>(1)  For a definition of Adult Learning Centres, see expense definitions, page iii. Expenses shown here may differ from those shown for Adult
       Learning Centres on page 15 owing to the inclusion of operating transfers for the purpose of calculating administration costs.</t>
  </si>
  <si>
    <t>TOTAL 
OPERATING 
EXPENSES
 (from page 3)</t>
  </si>
  <si>
    <t>PLUS
 TRANSFERS
 TO 
CAPITAL</t>
  </si>
  <si>
    <r>
      <t xml:space="preserve">LESS ADULT
 LEARNING
 CENTRES 
FUNCTION 300 </t>
    </r>
    <r>
      <rPr>
        <b/>
        <vertAlign val="superscript"/>
        <sz val="9"/>
        <rFont val="Arial"/>
        <family val="2"/>
      </rPr>
      <t>(1)</t>
    </r>
  </si>
  <si>
    <t>ADJUSTED EXPENDITURE BASE</t>
  </si>
  <si>
    <t>TOTAL
 ADMIN. 
EXPENSES
 AS % OF
 EXPENDITURE
 BASE</t>
  </si>
  <si>
    <t>DIRECT SUPPORT
 TO PUPILS
 PER PUPIL</t>
  </si>
  <si>
    <r>
      <t>DIRECT SUPPORT
 TO PUPILS
 FUNCTIONS 100 + 200 + 600</t>
    </r>
    <r>
      <rPr>
        <b/>
        <vertAlign val="superscript"/>
        <sz val="9"/>
        <rFont val="Arial"/>
        <family val="2"/>
      </rPr>
      <t xml:space="preserve"> (1)</t>
    </r>
  </si>
  <si>
    <t>(1) Total of Regular Instruction, Student Support Services and Instructional and Other Support Services. See pages 15 and
      16 for details.</t>
  </si>
  <si>
    <t>SPECIAL LEVY 
MILL RATE</t>
  </si>
  <si>
    <t>ASSESSMENT
 PER RESIDENT 
PUPIL</t>
  </si>
  <si>
    <t>PUPIL / EDUCATOR 
RATIO</t>
  </si>
  <si>
    <r>
      <t xml:space="preserve">OPERATING 
COST
 PER PUPIL </t>
    </r>
    <r>
      <rPr>
        <b/>
        <vertAlign val="superscript"/>
        <sz val="9"/>
        <rFont val="Arial"/>
        <family val="2"/>
      </rPr>
      <t>(1)</t>
    </r>
  </si>
  <si>
    <t>check</t>
  </si>
  <si>
    <t xml:space="preserve"> MITT</t>
  </si>
  <si>
    <r>
      <t xml:space="preserve">LIABILITY </t>
    </r>
    <r>
      <rPr>
        <b/>
        <vertAlign val="superscript"/>
        <sz val="9"/>
        <rFont val="Arial"/>
        <family val="2"/>
      </rPr>
      <t xml:space="preserve">(2) 
</t>
    </r>
    <r>
      <rPr>
        <b/>
        <sz val="9"/>
        <rFont val="Arial"/>
        <family val="2"/>
      </rPr>
      <t>(DESIGNATED FUNDS)</t>
    </r>
  </si>
  <si>
    <t>(2)  Effective with the 2005 tax year, the Resident Homeowner Advance portion of the Manitoba Education Property Tax Credit (EPTC) is provided directly to
       school divisions as revenue from the Province of Manitoba to more accurately reflect the amount of provincial funding provided in support of education. 
       Amounts shown here do not include the income tax portion of the EPTC nor the School Tax Assistance for Tenants and Homeowners (55+) because 
       these are not  quantifiable on a school division basis.  For the income tax portion of these credits, see page i.</t>
  </si>
  <si>
    <r>
      <t xml:space="preserve"> FUNCTION 200: STUDENT SUPPORT SERVICES </t>
    </r>
    <r>
      <rPr>
        <b/>
        <vertAlign val="superscript"/>
        <sz val="9"/>
        <rFont val="Arial"/>
        <family val="2"/>
      </rPr>
      <t>(1)</t>
    </r>
  </si>
  <si>
    <t>(1) Separate reporting for Gifted Education has been removed from Function 200 beginning 2014/15.  All costs related to gifted 
      students are included in Function 100 – Regular Instruction.  For a more complete description of programming under Function 100
      see “Expense Definitions” on page iii.</t>
  </si>
  <si>
    <t>STUDENT SERVICES</t>
  </si>
  <si>
    <t>TOTAL
 ADMIN. 
EXPENSES
 (from page 62)</t>
  </si>
  <si>
    <t>MITT</t>
  </si>
  <si>
    <t>SEPT. 30, 2015</t>
  </si>
  <si>
    <t>Coming from Budget. Pg 48</t>
  </si>
  <si>
    <r>
      <t>DIVISIONAL ADMINISTRATION FUNCTION 500</t>
    </r>
    <r>
      <rPr>
        <b/>
        <vertAlign val="superscript"/>
        <sz val="9"/>
        <rFont val="Arial"/>
        <family val="2"/>
      </rPr>
      <t xml:space="preserve"> (2)</t>
    </r>
  </si>
  <si>
    <t>LESS:   LIABILITY INSURANCE, ADMIN. PORTION OF SELF-FUNDED EXPENSES &amp; TRUSTEE ELECTION COSTS</t>
  </si>
  <si>
    <t>DEFINED
ADMINISTRATION
EXPENSES</t>
  </si>
  <si>
    <t>Incremental administration costs related to Waywayseecappo</t>
  </si>
  <si>
    <t>TRUSTEE</t>
  </si>
  <si>
    <t>ELECTION</t>
  </si>
  <si>
    <t>PA_WAYWAY</t>
  </si>
  <si>
    <t>N/A</t>
  </si>
  <si>
    <t xml:space="preserve">
 ADMIN. 
LIMIT</t>
  </si>
  <si>
    <t>ADMIN</t>
  </si>
  <si>
    <t>Limit</t>
  </si>
  <si>
    <t>(1)  Comprised of principal and interest payments for long term debt issued to finance asset additions.</t>
  </si>
  <si>
    <t>(2)  Comprised of school and other building new construction and betterments financed primarily through long term debt. Includes
        leasehold improvements and assets under construction.</t>
  </si>
  <si>
    <t>(1)  This appendix provides an analysis of divisional administration expenses as a percentage of the adjusted operating expense base. Frontier  School Division, DSFM, Whiteshell and Manitoba Institute of Trades and Technology are exempt from these limits and are not reflected in the above totals.  Expenses shown for Function 500 may differ from corresponding  amounts shown on page 16 owing to the inclusion of operating transfers for the purpose of calculating administration costs. Effective with fiscal year 2015/16, school divisions are required to limit the proportion of their operating expenses spent on divisional administration to 3.5% (for school divisions with F.T.E enrolment of 5,000 of greater), 4.25% (for school divisions with F.T.E enrolment of 1,000 or less) and between 3.5% and 4.25% for school divisions with F.T.E enrolment between 1,000 and 5,000. Northern school divisions are subject  to a 5% limit.</t>
  </si>
  <si>
    <t>2016/17</t>
  </si>
  <si>
    <t>SEPT. 30, 2016</t>
  </si>
  <si>
    <t>2016/2017 ACTUAL</t>
  </si>
  <si>
    <t>2017/18</t>
  </si>
  <si>
    <t>SEPT. 30, 2017</t>
  </si>
  <si>
    <t>2017/2018 ACTUAL</t>
  </si>
  <si>
    <t>(3)  Provincially supported pupils (actual September 30, 2016 for 2017/18 and actual September 30, 2015 for 2016/17). The Whiteshell Special 
       Revenue District includes out-of-district pupils.</t>
  </si>
  <si>
    <t>(1) The mill rate for other property in 2017 is 10.50.</t>
  </si>
  <si>
    <t>FOR THE 2017 TAXATION YEAR</t>
  </si>
  <si>
    <r>
      <t xml:space="preserve">2017/18 </t>
    </r>
    <r>
      <rPr>
        <b/>
        <vertAlign val="superscript"/>
        <sz val="10"/>
        <rFont val="Arial"/>
        <family val="2"/>
      </rPr>
      <t>(2)</t>
    </r>
  </si>
  <si>
    <r>
      <t xml:space="preserve">2017 </t>
    </r>
    <r>
      <rPr>
        <b/>
        <vertAlign val="superscript"/>
        <sz val="10"/>
        <rFont val="Arial"/>
        <family val="2"/>
      </rPr>
      <t>(3)</t>
    </r>
  </si>
  <si>
    <r>
      <t xml:space="preserve">2017 </t>
    </r>
    <r>
      <rPr>
        <b/>
        <vertAlign val="superscript"/>
        <sz val="10"/>
        <rFont val="Arial"/>
        <family val="2"/>
      </rPr>
      <t>(4)</t>
    </r>
  </si>
  <si>
    <t>2017 TSA</t>
  </si>
  <si>
    <t>W:\Edusfb\Frame.fin\[Final18.xls]Scdatabase - Column AB</t>
  </si>
  <si>
    <t>Sept. 30 / 17</t>
  </si>
  <si>
    <t>(1)  Based on area (square footage) of active school buildings as at September 30, 2017. Includes rented and leased space.</t>
  </si>
  <si>
    <t>(1)  The Tax Incentive Grant was offered to school divisions that maintained their prior year Special Levy amount adjusted for real growth in
        property assessment. The 2017 grant is unchanged from the amount provided in 2011. Amounts shown here are the portions by
        division before the allocation to the DSFM.</t>
  </si>
  <si>
    <t>(3) The Tax Incentive Grant is a calendar year grant that is being phased-out over a 6 year period beginning in 2018. The amounts shown here are the 
       portions by division after the allocation to the DSFM and are expressed on a school year basis.</t>
  </si>
  <si>
    <t>(1)  Special levy net of the Tax Incentive Grant (page 54) requisitioned by school divisions for the 2017 tax year. Actual remittance to
       school divisions by municipalities is reduced by the Education Property Tax Credit. See pages 41 and 42 for more detail.</t>
  </si>
  <si>
    <t>All pages of the FRAME report containing the tables of financial and statistical data are included in this file.</t>
  </si>
  <si>
    <t>In most cases, formulas have been left intact to show how statistics such as percentages and average costs per pupil are derived.</t>
  </si>
  <si>
    <t>The cover page, table of contents, forward and introduction, etc. as well as the graphs (e.g. pie charts, bar charts, etc.) are not included.  The complete report is available in PDF format on the same web site from which you retrieved this Excel file.</t>
  </si>
  <si>
    <t>Each worksheet tab is numbered to match the corresponding page found in the published document so, for example, to see page 15, click the worksheet tab named "- 15 -".</t>
  </si>
  <si>
    <t>This file is unprotected for data manipulation and calculation.  Data may also be copied to other files or additional data copied to this one.  In cases of dispute however, the published FRAME reports and the corresponding files located on the Manitoba Government web site remain  the final authority.</t>
  </si>
  <si>
    <t>FRAME Report: 2017/18 Actual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</si>
</sst>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5" formatCode="_(* #,##0.00_);_(* \(#,##0.00\);_(* &quot;-&quot;??_);_(@_)"/>
    <numFmt numFmtId="166" formatCode=";;;"/>
    <numFmt numFmtId="167" formatCode="0.0%"/>
    <numFmt numFmtId="168" formatCode="#,##0.0_);\(#,##0.0\)"/>
    <numFmt numFmtId="169" formatCode="0.0_)"/>
    <numFmt numFmtId="170" formatCode="0.00_)"/>
    <numFmt numFmtId="171" formatCode="#,##0_ ;\(#,##0\)"/>
    <numFmt numFmtId="172" formatCode="#,##0\ ;\(#,##0\ \)"/>
    <numFmt numFmtId="173" formatCode="#,##0.0;\-#,##0.0"/>
    <numFmt numFmtId="174" formatCode="#,##0.0000;\-#,##0.0000"/>
    <numFmt numFmtId="175" formatCode="#,##0.0_ ;\(#,##0.0\)"/>
    <numFmt numFmtId="176" formatCode="#,##0.0_);[Red]\(#,##0.0\)"/>
    <numFmt numFmtId="177" formatCode="#,##0.00_ ;\(#,##0.00\)"/>
    <numFmt numFmtId="182" formatCode="dd\-mmm\-yy_)"/>
  </numFmts>
  <fonts count="32" x14ac:knownFonts="1">
    <font>
      <sz val="9"/>
      <name val="Times New Roman"/>
    </font>
    <font>
      <sz val="10"/>
      <name val="Times New Roman"/>
      <family val="1"/>
    </font>
    <font>
      <sz val="10"/>
      <name val="Courier"/>
      <family val="3"/>
    </font>
    <font>
      <sz val="10"/>
      <name val="Arial"/>
      <family val="2"/>
    </font>
    <font>
      <b/>
      <sz val="9"/>
      <name val="Arial"/>
      <family val="2"/>
    </font>
    <font>
      <vertAlign val="superscript"/>
      <sz val="9"/>
      <name val="Arial"/>
      <family val="2"/>
    </font>
    <font>
      <sz val="8"/>
      <name val="Times New Roman"/>
      <family val="1"/>
    </font>
    <font>
      <sz val="9"/>
      <name val="Arial"/>
      <family val="2"/>
    </font>
    <font>
      <sz val="8"/>
      <name val="Arial"/>
      <family val="2"/>
    </font>
    <font>
      <b/>
      <sz val="12"/>
      <name val="Arial"/>
      <family val="2"/>
    </font>
    <font>
      <sz val="9"/>
      <color indexed="12"/>
      <name val="Arial"/>
      <family val="2"/>
    </font>
    <font>
      <b/>
      <vertAlign val="superscript"/>
      <sz val="9"/>
      <name val="Arial"/>
      <family val="2"/>
    </font>
    <font>
      <b/>
      <vertAlign val="superscript"/>
      <sz val="10"/>
      <name val="Arial"/>
      <family val="2"/>
    </font>
    <font>
      <vertAlign val="superscript"/>
      <sz val="10"/>
      <name val="Arial"/>
      <family val="2"/>
    </font>
    <font>
      <u/>
      <sz val="9"/>
      <name val="Arial"/>
      <family val="2"/>
    </font>
    <font>
      <sz val="11"/>
      <name val="Arial"/>
      <family val="2"/>
    </font>
    <font>
      <sz val="9"/>
      <color indexed="9"/>
      <name val="Arial"/>
      <family val="2"/>
    </font>
    <font>
      <u/>
      <sz val="9"/>
      <color indexed="12"/>
      <name val="Times New Roman"/>
      <family val="1"/>
    </font>
    <font>
      <sz val="10"/>
      <name val="Arial"/>
      <family val="2"/>
    </font>
    <font>
      <sz val="8"/>
      <name val="Arial"/>
      <family val="2"/>
    </font>
    <font>
      <b/>
      <sz val="11"/>
      <name val="Arial"/>
      <family val="2"/>
    </font>
    <font>
      <u/>
      <sz val="9"/>
      <color indexed="12"/>
      <name val="Arial"/>
      <family val="2"/>
    </font>
    <font>
      <sz val="8"/>
      <color indexed="81"/>
      <name val="Tahoma"/>
      <family val="2"/>
    </font>
    <font>
      <b/>
      <sz val="9"/>
      <color indexed="10"/>
      <name val="Arial"/>
      <family val="2"/>
    </font>
    <font>
      <sz val="9"/>
      <name val="Times New Roman"/>
      <family val="1"/>
    </font>
    <font>
      <sz val="11"/>
      <name val="Calibri"/>
      <family val="2"/>
    </font>
    <font>
      <sz val="9"/>
      <color theme="0"/>
      <name val="Arial"/>
      <family val="2"/>
    </font>
    <font>
      <sz val="9"/>
      <color rgb="FFFF0000"/>
      <name val="Arial"/>
      <family val="2"/>
    </font>
    <font>
      <sz val="9"/>
      <color rgb="FF0070C0"/>
      <name val="Arial"/>
      <family val="2"/>
    </font>
    <font>
      <b/>
      <sz val="5"/>
      <name val="Arial"/>
      <family val="2"/>
    </font>
    <font>
      <sz val="9"/>
      <color rgb="FF000000"/>
      <name val="Times New Roman"/>
      <family val="1"/>
    </font>
    <font>
      <b/>
      <sz val="8"/>
      <color indexed="81"/>
      <name val="Tahoma"/>
      <family val="2"/>
    </font>
  </fonts>
  <fills count="15">
    <fill>
      <patternFill patternType="none"/>
    </fill>
    <fill>
      <patternFill patternType="gray125"/>
    </fill>
    <fill>
      <patternFill patternType="solid">
        <fgColor indexed="22"/>
        <bgColor indexed="22"/>
      </patternFill>
    </fill>
    <fill>
      <patternFill patternType="solid">
        <fgColor indexed="9"/>
        <bgColor indexed="9"/>
      </patternFill>
    </fill>
    <fill>
      <patternFill patternType="solid">
        <fgColor indexed="65"/>
        <bgColor indexed="64"/>
      </patternFill>
    </fill>
    <fill>
      <patternFill patternType="solid">
        <fgColor indexed="9"/>
        <bgColor indexed="8"/>
      </patternFill>
    </fill>
    <fill>
      <patternFill patternType="solid">
        <fgColor indexed="27"/>
        <bgColor indexed="8"/>
      </patternFill>
    </fill>
    <fill>
      <patternFill patternType="solid">
        <fgColor indexed="27"/>
        <bgColor indexed="64"/>
      </patternFill>
    </fill>
    <fill>
      <patternFill patternType="solid">
        <fgColor indexed="41"/>
        <bgColor indexed="64"/>
      </patternFill>
    </fill>
    <fill>
      <patternFill patternType="solid">
        <fgColor indexed="27"/>
        <bgColor indexed="27"/>
      </patternFill>
    </fill>
    <fill>
      <patternFill patternType="solid">
        <fgColor indexed="41"/>
        <bgColor indexed="8"/>
      </patternFill>
    </fill>
    <fill>
      <patternFill patternType="solid">
        <fgColor indexed="41"/>
        <bgColor indexed="42"/>
      </patternFill>
    </fill>
    <fill>
      <patternFill patternType="solid">
        <fgColor rgb="FFFFFF00"/>
        <bgColor indexed="64"/>
      </patternFill>
    </fill>
    <fill>
      <patternFill patternType="solid">
        <fgColor theme="0" tint="-0.14999847407452621"/>
        <bgColor indexed="64"/>
      </patternFill>
    </fill>
    <fill>
      <patternFill patternType="solid">
        <fgColor theme="0" tint="-0.499984740745262"/>
        <bgColor indexed="64"/>
      </patternFill>
    </fill>
  </fills>
  <borders count="78">
    <border>
      <left/>
      <right/>
      <top/>
      <bottom/>
      <diagonal/>
    </border>
    <border>
      <left style="thin">
        <color indexed="8"/>
      </left>
      <right style="thin">
        <color indexed="8"/>
      </right>
      <top/>
      <bottom/>
      <diagonal/>
    </border>
    <border>
      <left/>
      <right/>
      <top style="thin">
        <color indexed="8"/>
      </top>
      <bottom/>
      <diagonal/>
    </border>
    <border>
      <left/>
      <right/>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64"/>
      </bottom>
      <diagonal/>
    </border>
    <border>
      <left/>
      <right/>
      <top style="thin">
        <color indexed="64"/>
      </top>
      <bottom/>
      <diagonal/>
    </border>
    <border>
      <left/>
      <right/>
      <top style="thin">
        <color indexed="8"/>
      </top>
      <bottom style="thin">
        <color indexed="8"/>
      </bottom>
      <diagonal/>
    </border>
    <border>
      <left style="thin">
        <color indexed="8"/>
      </left>
      <right/>
      <top style="thin">
        <color indexed="8"/>
      </top>
      <bottom/>
      <diagonal/>
    </border>
    <border>
      <left style="thin">
        <color indexed="64"/>
      </left>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style="double">
        <color indexed="8"/>
      </left>
      <right/>
      <top/>
      <bottom style="thin">
        <color indexed="8"/>
      </bottom>
      <diagonal/>
    </border>
    <border>
      <left style="thin">
        <color indexed="8"/>
      </left>
      <right style="double">
        <color indexed="8"/>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8"/>
      </left>
      <right/>
      <top style="thin">
        <color indexed="64"/>
      </top>
      <bottom style="thin">
        <color indexed="64"/>
      </bottom>
      <diagonal/>
    </border>
    <border>
      <left/>
      <right style="thin">
        <color indexed="64"/>
      </right>
      <top style="thin">
        <color indexed="64"/>
      </top>
      <bottom style="thin">
        <color indexed="64"/>
      </bottom>
      <diagonal/>
    </border>
    <border>
      <left style="double">
        <color indexed="8"/>
      </left>
      <right style="thin">
        <color indexed="8"/>
      </right>
      <top/>
      <bottom/>
      <diagonal/>
    </border>
    <border>
      <left style="double">
        <color indexed="8"/>
      </left>
      <right style="thin">
        <color indexed="8"/>
      </right>
      <top/>
      <bottom style="thin">
        <color indexed="8"/>
      </bottom>
      <diagonal/>
    </border>
    <border>
      <left/>
      <right/>
      <top style="thin">
        <color indexed="8"/>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8"/>
      </left>
      <right style="double">
        <color indexed="8"/>
      </right>
      <top style="thin">
        <color indexed="8"/>
      </top>
      <bottom style="thin">
        <color indexed="8"/>
      </bottom>
      <diagonal/>
    </border>
    <border>
      <left style="thin">
        <color indexed="64"/>
      </left>
      <right style="thin">
        <color indexed="64"/>
      </right>
      <top style="thin">
        <color indexed="8"/>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8"/>
      </top>
      <bottom style="thin">
        <color indexed="8"/>
      </bottom>
      <diagonal/>
    </border>
    <border>
      <left style="double">
        <color indexed="8"/>
      </left>
      <right style="thin">
        <color indexed="8"/>
      </right>
      <top style="thin">
        <color indexed="8"/>
      </top>
      <bottom style="thin">
        <color indexed="8"/>
      </bottom>
      <diagonal/>
    </border>
    <border>
      <left style="thin">
        <color indexed="8"/>
      </left>
      <right style="double">
        <color indexed="8"/>
      </right>
      <top style="thin">
        <color indexed="64"/>
      </top>
      <bottom/>
      <diagonal/>
    </border>
    <border>
      <left style="thin">
        <color indexed="8"/>
      </left>
      <right style="double">
        <color indexed="8"/>
      </right>
      <top/>
      <bottom style="thin">
        <color indexed="8"/>
      </bottom>
      <diagonal/>
    </border>
    <border>
      <left style="thin">
        <color indexed="64"/>
      </left>
      <right style="thin">
        <color indexed="64"/>
      </right>
      <top/>
      <bottom style="thin">
        <color indexed="8"/>
      </bottom>
      <diagonal/>
    </border>
    <border>
      <left style="thin">
        <color indexed="64"/>
      </left>
      <right/>
      <top/>
      <bottom style="thin">
        <color indexed="8"/>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right style="thin">
        <color indexed="8"/>
      </right>
      <top style="thin">
        <color indexed="64"/>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style="thin">
        <color indexed="64"/>
      </right>
      <top style="thin">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64"/>
      </left>
      <right style="thin">
        <color indexed="8"/>
      </right>
      <top style="thin">
        <color indexed="8"/>
      </top>
      <bottom/>
      <diagonal/>
    </border>
    <border>
      <left style="thin">
        <color indexed="8"/>
      </left>
      <right style="thin">
        <color indexed="64"/>
      </right>
      <top style="thin">
        <color indexed="8"/>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style="thin">
        <color indexed="64"/>
      </right>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style="double">
        <color indexed="8"/>
      </right>
      <top style="thin">
        <color indexed="8"/>
      </top>
      <bottom/>
      <diagonal/>
    </border>
    <border>
      <left style="double">
        <color indexed="8"/>
      </left>
      <right style="thin">
        <color indexed="8"/>
      </right>
      <top style="thin">
        <color indexed="8"/>
      </top>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
      <left style="thin">
        <color indexed="8"/>
      </left>
      <right style="thin">
        <color indexed="64"/>
      </right>
      <top/>
      <bottom style="thin">
        <color indexed="8"/>
      </bottom>
      <diagonal/>
    </border>
    <border>
      <left/>
      <right style="thin">
        <color indexed="64"/>
      </right>
      <top style="thin">
        <color indexed="8"/>
      </top>
      <bottom/>
      <diagonal/>
    </border>
    <border>
      <left/>
      <right style="thin">
        <color indexed="64"/>
      </right>
      <top/>
      <bottom style="thin">
        <color indexed="8"/>
      </bottom>
      <diagonal/>
    </border>
    <border>
      <left style="thin">
        <color indexed="8"/>
      </left>
      <right/>
      <top style="thin">
        <color indexed="64"/>
      </top>
      <bottom/>
      <diagonal/>
    </border>
    <border>
      <left style="thin">
        <color indexed="64"/>
      </left>
      <right/>
      <top style="thin">
        <color indexed="8"/>
      </top>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style="thin">
        <color indexed="64"/>
      </right>
      <top style="thin">
        <color indexed="8"/>
      </top>
      <bottom/>
      <diagonal/>
    </border>
    <border>
      <left style="double">
        <color indexed="64"/>
      </left>
      <right style="thin">
        <color indexed="64"/>
      </right>
      <top/>
      <bottom/>
      <diagonal/>
    </border>
    <border>
      <left style="double">
        <color indexed="64"/>
      </left>
      <right style="thin">
        <color indexed="64"/>
      </right>
      <top/>
      <bottom style="thin">
        <color indexed="8"/>
      </bottom>
      <diagonal/>
    </border>
  </borders>
  <cellStyleXfs count="10">
    <xf numFmtId="37" fontId="0" fillId="0" borderId="0"/>
    <xf numFmtId="0" fontId="2" fillId="2" borderId="1"/>
    <xf numFmtId="165" fontId="1" fillId="0" borderId="0" applyFont="0" applyFill="0" applyBorder="0" applyAlignment="0" applyProtection="0"/>
    <xf numFmtId="165" fontId="18" fillId="0" borderId="0" applyFont="0" applyFill="0" applyBorder="0" applyAlignment="0" applyProtection="0"/>
    <xf numFmtId="0" fontId="17" fillId="0" borderId="0" applyNumberFormat="0" applyFill="0" applyBorder="0" applyAlignment="0" applyProtection="0">
      <alignment vertical="top"/>
      <protection locked="0"/>
    </xf>
    <xf numFmtId="0" fontId="18" fillId="0" borderId="0"/>
    <xf numFmtId="0" fontId="18" fillId="0" borderId="0"/>
    <xf numFmtId="39" fontId="24" fillId="0" borderId="0"/>
    <xf numFmtId="9" fontId="1" fillId="0" borderId="0" applyFont="0" applyFill="0" applyBorder="0" applyAlignment="0" applyProtection="0"/>
    <xf numFmtId="37" fontId="24" fillId="0" borderId="0"/>
  </cellStyleXfs>
  <cellXfs count="876">
    <xf numFmtId="37" fontId="0" fillId="0" borderId="0" xfId="0"/>
    <xf numFmtId="37" fontId="0" fillId="0" borderId="0" xfId="0" applyAlignment="1">
      <alignment horizontal="right"/>
    </xf>
    <xf numFmtId="37" fontId="7" fillId="0" borderId="0" xfId="0" applyFont="1"/>
    <xf numFmtId="37" fontId="8" fillId="0" borderId="0" xfId="0" applyFont="1"/>
    <xf numFmtId="37" fontId="7" fillId="0" borderId="0" xfId="0" applyFont="1" applyAlignment="1">
      <alignment horizontal="right"/>
    </xf>
    <xf numFmtId="168" fontId="7" fillId="0" borderId="0" xfId="0" applyNumberFormat="1" applyFont="1"/>
    <xf numFmtId="37" fontId="4" fillId="0" borderId="0" xfId="0" applyFont="1"/>
    <xf numFmtId="166" fontId="7" fillId="0" borderId="0" xfId="0" applyNumberFormat="1" applyFont="1" applyProtection="1"/>
    <xf numFmtId="37" fontId="7" fillId="3" borderId="0" xfId="0" applyFont="1" applyFill="1"/>
    <xf numFmtId="37" fontId="4" fillId="3" borderId="2" xfId="0" applyFont="1" applyFill="1" applyBorder="1" applyAlignment="1">
      <alignment horizontal="centerContinuous" vertical="center"/>
    </xf>
    <xf numFmtId="37" fontId="7" fillId="3" borderId="2" xfId="0" applyFont="1" applyFill="1" applyBorder="1" applyAlignment="1">
      <alignment horizontal="centerContinuous"/>
    </xf>
    <xf numFmtId="37" fontId="4" fillId="3" borderId="3" xfId="0" applyFont="1" applyFill="1" applyBorder="1" applyAlignment="1">
      <alignment horizontal="centerContinuous" vertical="center"/>
    </xf>
    <xf numFmtId="37" fontId="7" fillId="3" borderId="3" xfId="0" applyFont="1" applyFill="1" applyBorder="1" applyAlignment="1">
      <alignment horizontal="centerContinuous"/>
    </xf>
    <xf numFmtId="37" fontId="10" fillId="3" borderId="3" xfId="0" applyFont="1" applyFill="1" applyBorder="1" applyAlignment="1">
      <alignment horizontal="centerContinuous"/>
    </xf>
    <xf numFmtId="37" fontId="7" fillId="3" borderId="0" xfId="0" applyFont="1" applyFill="1" applyAlignment="1">
      <alignment horizontal="center"/>
    </xf>
    <xf numFmtId="37" fontId="4" fillId="3" borderId="1" xfId="0" applyFont="1" applyFill="1" applyBorder="1" applyAlignment="1">
      <alignment horizontal="center"/>
    </xf>
    <xf numFmtId="49" fontId="4" fillId="0" borderId="7" xfId="0" applyNumberFormat="1" applyFont="1" applyBorder="1"/>
    <xf numFmtId="49" fontId="4" fillId="0" borderId="8" xfId="0" applyNumberFormat="1" applyFont="1" applyBorder="1"/>
    <xf numFmtId="49" fontId="4" fillId="0" borderId="0" xfId="0" applyNumberFormat="1" applyFont="1"/>
    <xf numFmtId="49" fontId="7" fillId="0" borderId="1" xfId="0" applyNumberFormat="1" applyFont="1" applyBorder="1" applyAlignment="1">
      <alignment vertical="center"/>
    </xf>
    <xf numFmtId="171" fontId="7" fillId="0" borderId="1" xfId="0" applyNumberFormat="1" applyFont="1" applyBorder="1" applyAlignment="1">
      <alignment vertical="center"/>
    </xf>
    <xf numFmtId="49" fontId="7" fillId="0" borderId="0" xfId="0" applyNumberFormat="1" applyFont="1" applyAlignment="1">
      <alignment vertical="center"/>
    </xf>
    <xf numFmtId="172" fontId="7" fillId="0" borderId="0" xfId="0" applyNumberFormat="1" applyFont="1" applyAlignment="1">
      <alignment vertical="center"/>
    </xf>
    <xf numFmtId="37" fontId="7" fillId="0" borderId="11" xfId="0" applyFont="1" applyBorder="1"/>
    <xf numFmtId="49" fontId="7" fillId="0" borderId="0" xfId="0" applyNumberFormat="1" applyFont="1" applyAlignment="1"/>
    <xf numFmtId="37" fontId="7" fillId="0" borderId="0" xfId="0" applyFont="1" applyAlignment="1">
      <alignment horizontal="left"/>
    </xf>
    <xf numFmtId="49" fontId="7" fillId="0" borderId="0" xfId="0" applyNumberFormat="1" applyFont="1" applyAlignment="1">
      <alignment horizontal="left"/>
    </xf>
    <xf numFmtId="37" fontId="7" fillId="3" borderId="12" xfId="0" applyFont="1" applyFill="1" applyBorder="1" applyAlignment="1">
      <alignment horizontal="centerContinuous"/>
    </xf>
    <xf numFmtId="37" fontId="7" fillId="3" borderId="12" xfId="0" applyFont="1" applyFill="1" applyBorder="1" applyAlignment="1"/>
    <xf numFmtId="166" fontId="7" fillId="0" borderId="3" xfId="0" applyNumberFormat="1" applyFont="1" applyBorder="1" applyAlignment="1" applyProtection="1">
      <alignment horizontal="centerContinuous"/>
    </xf>
    <xf numFmtId="37" fontId="7" fillId="3" borderId="11" xfId="0" applyFont="1" applyFill="1" applyBorder="1" applyAlignment="1">
      <alignment horizontal="centerContinuous"/>
    </xf>
    <xf numFmtId="37" fontId="7" fillId="3" borderId="0" xfId="0" applyFont="1" applyFill="1" applyBorder="1"/>
    <xf numFmtId="37" fontId="7" fillId="0" borderId="0" xfId="0" applyNumberFormat="1" applyFont="1" applyBorder="1" applyProtection="1"/>
    <xf numFmtId="37" fontId="4" fillId="0" borderId="4" xfId="0" applyFont="1" applyBorder="1"/>
    <xf numFmtId="37" fontId="4" fillId="3" borderId="5" xfId="0" applyFont="1" applyFill="1" applyBorder="1" applyAlignment="1">
      <alignment horizontal="right"/>
    </xf>
    <xf numFmtId="37" fontId="4" fillId="0" borderId="8" xfId="0" applyFont="1" applyBorder="1"/>
    <xf numFmtId="37" fontId="4" fillId="0" borderId="10" xfId="0" applyFont="1" applyBorder="1" applyAlignment="1">
      <alignment horizontal="right"/>
    </xf>
    <xf numFmtId="171" fontId="7" fillId="0" borderId="1" xfId="0" applyNumberFormat="1" applyFont="1" applyBorder="1" applyAlignment="1">
      <alignment horizontal="right" vertical="center"/>
    </xf>
    <xf numFmtId="37" fontId="7" fillId="0" borderId="0" xfId="0" applyFont="1" applyAlignment="1"/>
    <xf numFmtId="37" fontId="7" fillId="0" borderId="13" xfId="0" applyFont="1" applyBorder="1"/>
    <xf numFmtId="37" fontId="4" fillId="0" borderId="13" xfId="0" applyFont="1" applyBorder="1" applyAlignment="1">
      <alignment horizontal="centerContinuous"/>
    </xf>
    <xf numFmtId="37" fontId="7" fillId="0" borderId="13" xfId="0" applyFont="1" applyBorder="1" applyAlignment="1">
      <alignment horizontal="centerContinuous"/>
    </xf>
    <xf numFmtId="37" fontId="7" fillId="0" borderId="13" xfId="0" applyFont="1" applyBorder="1" applyAlignment="1"/>
    <xf numFmtId="37" fontId="7" fillId="3" borderId="0" xfId="0" applyFont="1" applyFill="1" applyAlignment="1">
      <alignment horizontal="centerContinuous"/>
    </xf>
    <xf numFmtId="37" fontId="7" fillId="0" borderId="14" xfId="0" applyFont="1" applyBorder="1"/>
    <xf numFmtId="37" fontId="7" fillId="0" borderId="5" xfId="0" applyFont="1" applyBorder="1"/>
    <xf numFmtId="37" fontId="4" fillId="3" borderId="9" xfId="0" applyFont="1" applyFill="1" applyBorder="1" applyAlignment="1">
      <alignment horizontal="centerContinuous"/>
    </xf>
    <xf numFmtId="37" fontId="4" fillId="0" borderId="15" xfId="0" applyFont="1" applyBorder="1"/>
    <xf numFmtId="171" fontId="7" fillId="0" borderId="1" xfId="0" applyNumberFormat="1" applyFont="1" applyBorder="1" applyProtection="1"/>
    <xf numFmtId="171" fontId="7" fillId="0" borderId="6" xfId="0" applyNumberFormat="1" applyFont="1" applyBorder="1" applyProtection="1"/>
    <xf numFmtId="37" fontId="7" fillId="0" borderId="6" xfId="0" applyFont="1" applyBorder="1"/>
    <xf numFmtId="171" fontId="7" fillId="0" borderId="16" xfId="0" applyNumberFormat="1" applyFont="1" applyBorder="1" applyProtection="1"/>
    <xf numFmtId="37" fontId="7" fillId="0" borderId="1" xfId="0" applyNumberFormat="1" applyFont="1" applyBorder="1" applyProtection="1"/>
    <xf numFmtId="37" fontId="7" fillId="0" borderId="6" xfId="0" applyNumberFormat="1" applyFont="1" applyBorder="1" applyProtection="1"/>
    <xf numFmtId="37" fontId="7" fillId="0" borderId="16" xfId="0" applyNumberFormat="1" applyFont="1" applyBorder="1" applyProtection="1"/>
    <xf numFmtId="37" fontId="4" fillId="0" borderId="15" xfId="0" applyFont="1" applyBorder="1" applyAlignment="1">
      <alignment vertical="top"/>
    </xf>
    <xf numFmtId="37" fontId="4" fillId="0" borderId="0" xfId="0" applyFont="1" applyAlignment="1">
      <alignment wrapText="1"/>
    </xf>
    <xf numFmtId="37" fontId="7" fillId="0" borderId="0" xfId="0" applyNumberFormat="1" applyFont="1" applyProtection="1"/>
    <xf numFmtId="37" fontId="7" fillId="0" borderId="17" xfId="0" applyFont="1" applyBorder="1"/>
    <xf numFmtId="37" fontId="4" fillId="0" borderId="18" xfId="0" applyFont="1" applyBorder="1"/>
    <xf numFmtId="171" fontId="4" fillId="0" borderId="19" xfId="0" applyNumberFormat="1" applyFont="1" applyBorder="1" applyProtection="1"/>
    <xf numFmtId="171" fontId="4" fillId="0" borderId="18" xfId="0" applyNumberFormat="1" applyFont="1" applyBorder="1" applyProtection="1"/>
    <xf numFmtId="171" fontId="7" fillId="0" borderId="13" xfId="0" applyNumberFormat="1" applyFont="1" applyBorder="1"/>
    <xf numFmtId="166" fontId="7" fillId="0" borderId="2" xfId="0" applyNumberFormat="1" applyFont="1" applyBorder="1" applyProtection="1"/>
    <xf numFmtId="37" fontId="7" fillId="3" borderId="2" xfId="0" applyFont="1" applyFill="1" applyBorder="1" applyAlignment="1">
      <alignment horizontal="center"/>
    </xf>
    <xf numFmtId="166" fontId="7" fillId="0" borderId="3" xfId="0" applyNumberFormat="1" applyFont="1" applyBorder="1" applyProtection="1"/>
    <xf numFmtId="37" fontId="7" fillId="3" borderId="3" xfId="0" applyFont="1" applyFill="1" applyBorder="1"/>
    <xf numFmtId="37" fontId="4" fillId="0" borderId="7" xfId="0" applyFont="1" applyBorder="1"/>
    <xf numFmtId="37" fontId="4" fillId="3" borderId="1" xfId="0" applyFont="1" applyFill="1" applyBorder="1"/>
    <xf numFmtId="37" fontId="4" fillId="3" borderId="0" xfId="0" applyFont="1" applyFill="1"/>
    <xf numFmtId="175" fontId="7" fillId="0" borderId="1" xfId="0" applyNumberFormat="1" applyFont="1" applyBorder="1" applyAlignment="1">
      <alignment vertical="center"/>
    </xf>
    <xf numFmtId="175" fontId="7" fillId="0" borderId="0" xfId="0" applyNumberFormat="1" applyFont="1" applyAlignment="1">
      <alignment vertical="center"/>
    </xf>
    <xf numFmtId="37" fontId="4" fillId="3" borderId="2" xfId="0" applyFont="1" applyFill="1" applyBorder="1" applyAlignment="1">
      <alignment horizontal="centerContinuous"/>
    </xf>
    <xf numFmtId="37" fontId="7" fillId="3" borderId="2" xfId="0" applyFont="1" applyFill="1" applyBorder="1" applyAlignment="1"/>
    <xf numFmtId="37" fontId="4" fillId="3" borderId="3" xfId="0" applyFont="1" applyFill="1" applyBorder="1" applyAlignment="1" applyProtection="1">
      <alignment horizontal="centerContinuous" vertical="center"/>
    </xf>
    <xf numFmtId="37" fontId="7" fillId="3" borderId="3" xfId="0" applyFont="1" applyFill="1" applyBorder="1" applyAlignment="1"/>
    <xf numFmtId="37" fontId="4" fillId="3" borderId="5" xfId="0" applyFont="1" applyFill="1" applyBorder="1" applyAlignment="1">
      <alignment horizontal="centerContinuous"/>
    </xf>
    <xf numFmtId="37" fontId="4" fillId="0" borderId="10" xfId="0" applyFont="1" applyBorder="1" applyAlignment="1">
      <alignment horizontal="centerContinuous"/>
    </xf>
    <xf numFmtId="37" fontId="4" fillId="0" borderId="9" xfId="0" applyFont="1" applyBorder="1" applyAlignment="1">
      <alignment horizontal="centerContinuous"/>
    </xf>
    <xf numFmtId="168" fontId="7" fillId="0" borderId="11" xfId="0" applyNumberFormat="1" applyFont="1" applyBorder="1" applyProtection="1"/>
    <xf numFmtId="37" fontId="7" fillId="0" borderId="0" xfId="0" applyFont="1" applyAlignment="1">
      <alignment horizontal="centerContinuous"/>
    </xf>
    <xf numFmtId="37" fontId="7" fillId="3" borderId="2" xfId="0" applyFont="1" applyFill="1" applyBorder="1" applyAlignment="1">
      <alignment horizontal="right"/>
    </xf>
    <xf numFmtId="37" fontId="4" fillId="0" borderId="9" xfId="0" applyFont="1" applyBorder="1"/>
    <xf numFmtId="37" fontId="4" fillId="0" borderId="9" xfId="0" applyFont="1" applyBorder="1" applyAlignment="1">
      <alignment horizontal="center"/>
    </xf>
    <xf numFmtId="37" fontId="4" fillId="4" borderId="1" xfId="0" applyFont="1" applyFill="1" applyBorder="1" applyAlignment="1">
      <alignment horizontal="center"/>
    </xf>
    <xf numFmtId="37" fontId="7" fillId="0" borderId="0" xfId="0" applyFont="1" applyProtection="1"/>
    <xf numFmtId="37" fontId="7" fillId="4" borderId="0" xfId="0" applyFont="1" applyFill="1" applyBorder="1"/>
    <xf numFmtId="168" fontId="7" fillId="5" borderId="0" xfId="0" applyNumberFormat="1" applyFont="1" applyFill="1" applyBorder="1" applyProtection="1"/>
    <xf numFmtId="168" fontId="4" fillId="5" borderId="0" xfId="0" applyNumberFormat="1" applyFont="1" applyFill="1" applyBorder="1" applyProtection="1"/>
    <xf numFmtId="37" fontId="7" fillId="3" borderId="0" xfId="0" applyFont="1" applyFill="1" applyProtection="1"/>
    <xf numFmtId="37" fontId="4" fillId="3" borderId="2" xfId="0" applyFont="1" applyFill="1" applyBorder="1" applyAlignment="1" applyProtection="1">
      <alignment horizontal="centerContinuous" vertical="center"/>
    </xf>
    <xf numFmtId="37" fontId="7" fillId="3" borderId="2" xfId="0" applyFont="1" applyFill="1" applyBorder="1" applyAlignment="1" applyProtection="1">
      <alignment horizontal="centerContinuous"/>
    </xf>
    <xf numFmtId="37" fontId="7" fillId="3" borderId="2" xfId="0" applyFont="1" applyFill="1" applyBorder="1" applyAlignment="1" applyProtection="1">
      <alignment horizontal="right"/>
    </xf>
    <xf numFmtId="37" fontId="4" fillId="3" borderId="3" xfId="0" quotePrefix="1" applyFont="1" applyFill="1" applyBorder="1" applyAlignment="1" applyProtection="1">
      <alignment horizontal="centerContinuous" vertical="center"/>
    </xf>
    <xf numFmtId="37" fontId="7" fillId="3" borderId="3" xfId="0" applyFont="1" applyFill="1" applyBorder="1" applyAlignment="1" applyProtection="1">
      <alignment horizontal="centerContinuous"/>
    </xf>
    <xf numFmtId="37" fontId="7" fillId="3" borderId="3" xfId="0" quotePrefix="1" applyFont="1" applyFill="1" applyBorder="1" applyAlignment="1" applyProtection="1">
      <alignment horizontal="centerContinuous"/>
    </xf>
    <xf numFmtId="37" fontId="7" fillId="3" borderId="3" xfId="0" applyFont="1" applyFill="1" applyBorder="1" applyProtection="1"/>
    <xf numFmtId="170" fontId="7" fillId="3" borderId="0" xfId="0" applyNumberFormat="1" applyFont="1" applyFill="1" applyProtection="1"/>
    <xf numFmtId="37" fontId="4" fillId="0" borderId="20" xfId="0" applyFont="1" applyBorder="1" applyAlignment="1" applyProtection="1">
      <alignment horizontal="centerContinuous"/>
    </xf>
    <xf numFmtId="37" fontId="4" fillId="0" borderId="3" xfId="0" applyFont="1" applyBorder="1" applyAlignment="1" applyProtection="1">
      <alignment horizontal="centerContinuous"/>
    </xf>
    <xf numFmtId="37" fontId="4" fillId="0" borderId="21" xfId="0" applyFont="1" applyBorder="1" applyAlignment="1" applyProtection="1">
      <alignment horizontal="centerContinuous"/>
    </xf>
    <xf numFmtId="37" fontId="4" fillId="0" borderId="10" xfId="0" applyFont="1" applyBorder="1" applyAlignment="1" applyProtection="1">
      <alignment horizontal="centerContinuous"/>
    </xf>
    <xf numFmtId="37" fontId="4" fillId="0" borderId="7" xfId="0" applyFont="1" applyBorder="1" applyAlignment="1">
      <alignment vertical="center"/>
    </xf>
    <xf numFmtId="37" fontId="4" fillId="0" borderId="16" xfId="0" applyFont="1" applyBorder="1" applyAlignment="1" applyProtection="1">
      <alignment vertical="center"/>
    </xf>
    <xf numFmtId="37" fontId="4" fillId="0" borderId="8" xfId="0" applyFont="1" applyBorder="1" applyAlignment="1">
      <alignment vertical="center"/>
    </xf>
    <xf numFmtId="37" fontId="4" fillId="0" borderId="20" xfId="0" applyFont="1" applyBorder="1" applyAlignment="1" applyProtection="1">
      <alignment horizontal="center" vertical="center"/>
    </xf>
    <xf numFmtId="175" fontId="7" fillId="0" borderId="22" xfId="0" applyNumberFormat="1" applyFont="1" applyBorder="1" applyAlignment="1">
      <alignment vertical="center"/>
    </xf>
    <xf numFmtId="175" fontId="7" fillId="0" borderId="6" xfId="0" applyNumberFormat="1" applyFont="1" applyBorder="1" applyAlignment="1">
      <alignment vertical="center"/>
    </xf>
    <xf numFmtId="37" fontId="7" fillId="0" borderId="11" xfId="0" applyFont="1" applyBorder="1" applyProtection="1"/>
    <xf numFmtId="49" fontId="8" fillId="0" borderId="0" xfId="0" applyNumberFormat="1" applyFont="1" applyAlignment="1">
      <alignment horizontal="right"/>
    </xf>
    <xf numFmtId="49" fontId="13" fillId="0" borderId="6" xfId="0" applyNumberFormat="1" applyFont="1" applyBorder="1"/>
    <xf numFmtId="37" fontId="7" fillId="0" borderId="13" xfId="0" applyFont="1" applyBorder="1" applyAlignment="1">
      <alignment horizontal="right"/>
    </xf>
    <xf numFmtId="37" fontId="4" fillId="0" borderId="17" xfId="0" applyFont="1" applyBorder="1" applyAlignment="1">
      <alignment horizontal="centerContinuous"/>
    </xf>
    <xf numFmtId="37" fontId="7" fillId="0" borderId="18" xfId="0" applyFont="1" applyBorder="1" applyAlignment="1">
      <alignment horizontal="centerContinuous"/>
    </xf>
    <xf numFmtId="37" fontId="4" fillId="3" borderId="23" xfId="0" applyFont="1" applyFill="1" applyBorder="1" applyAlignment="1">
      <alignment horizontal="center"/>
    </xf>
    <xf numFmtId="37" fontId="4" fillId="3" borderId="20" xfId="0" applyFont="1" applyFill="1" applyBorder="1" applyAlignment="1">
      <alignment horizontal="centerContinuous"/>
    </xf>
    <xf numFmtId="37" fontId="7" fillId="0" borderId="2" xfId="0" applyFont="1" applyBorder="1"/>
    <xf numFmtId="171" fontId="7" fillId="3" borderId="7" xfId="0" applyNumberFormat="1" applyFont="1" applyFill="1" applyBorder="1" applyProtection="1"/>
    <xf numFmtId="167" fontId="7" fillId="3" borderId="7" xfId="0" applyNumberFormat="1" applyFont="1" applyFill="1" applyBorder="1" applyProtection="1"/>
    <xf numFmtId="37" fontId="7" fillId="3" borderId="24" xfId="0" applyFont="1" applyFill="1" applyBorder="1"/>
    <xf numFmtId="171" fontId="7" fillId="3" borderId="24" xfId="0" applyNumberFormat="1" applyFont="1" applyFill="1" applyBorder="1" applyProtection="1"/>
    <xf numFmtId="37" fontId="7" fillId="0" borderId="24" xfId="0" applyFont="1" applyBorder="1"/>
    <xf numFmtId="171" fontId="7" fillId="0" borderId="24" xfId="0" applyNumberFormat="1" applyFont="1" applyBorder="1" applyProtection="1"/>
    <xf numFmtId="171" fontId="7" fillId="0" borderId="24" xfId="0" applyNumberFormat="1" applyFont="1" applyBorder="1"/>
    <xf numFmtId="37" fontId="7" fillId="0" borderId="8" xfId="0" applyFont="1" applyBorder="1" applyAlignment="1">
      <alignment horizontal="left"/>
    </xf>
    <xf numFmtId="37" fontId="4" fillId="0" borderId="23" xfId="0" applyFont="1" applyFill="1" applyBorder="1"/>
    <xf numFmtId="37" fontId="7" fillId="0" borderId="24" xfId="0" quotePrefix="1" applyFont="1" applyBorder="1" applyAlignment="1">
      <alignment horizontal="left"/>
    </xf>
    <xf numFmtId="37" fontId="7" fillId="0" borderId="8" xfId="0" applyFont="1" applyBorder="1"/>
    <xf numFmtId="37" fontId="4" fillId="0" borderId="7" xfId="0" applyFont="1" applyFill="1" applyBorder="1"/>
    <xf numFmtId="167" fontId="7" fillId="0" borderId="0" xfId="0" applyNumberFormat="1" applyFont="1" applyProtection="1"/>
    <xf numFmtId="49" fontId="7" fillId="0" borderId="0" xfId="0" applyNumberFormat="1" applyFont="1"/>
    <xf numFmtId="167" fontId="7" fillId="0" borderId="0" xfId="8" applyNumberFormat="1" applyFont="1"/>
    <xf numFmtId="49" fontId="8" fillId="0" borderId="0" xfId="0" applyNumberFormat="1" applyFont="1"/>
    <xf numFmtId="37" fontId="7" fillId="0" borderId="0" xfId="0" quotePrefix="1" applyFont="1" applyAlignment="1">
      <alignment horizontal="left"/>
    </xf>
    <xf numFmtId="166" fontId="7" fillId="0" borderId="2" xfId="0" applyNumberFormat="1" applyFont="1" applyBorder="1" applyAlignment="1" applyProtection="1">
      <alignment vertical="center"/>
    </xf>
    <xf numFmtId="37" fontId="7" fillId="3" borderId="2" xfId="0" applyFont="1" applyFill="1" applyBorder="1" applyAlignment="1">
      <alignment horizontal="right" vertical="center"/>
    </xf>
    <xf numFmtId="166" fontId="7" fillId="0" borderId="3" xfId="0" applyNumberFormat="1" applyFont="1" applyBorder="1" applyAlignment="1" applyProtection="1">
      <alignment vertical="center"/>
    </xf>
    <xf numFmtId="37" fontId="4" fillId="3" borderId="6" xfId="0" applyFont="1" applyFill="1" applyBorder="1"/>
    <xf numFmtId="37" fontId="4" fillId="3" borderId="1" xfId="0" applyFont="1" applyFill="1" applyBorder="1" applyAlignment="1">
      <alignment horizontal="centerContinuous"/>
    </xf>
    <xf numFmtId="37" fontId="4" fillId="3" borderId="6" xfId="0" applyFont="1" applyFill="1" applyBorder="1" applyAlignment="1">
      <alignment horizontal="centerContinuous"/>
    </xf>
    <xf numFmtId="167" fontId="7" fillId="0" borderId="1" xfId="8" applyNumberFormat="1" applyFont="1" applyBorder="1"/>
    <xf numFmtId="166" fontId="7" fillId="0" borderId="2" xfId="0" applyNumberFormat="1" applyFont="1" applyBorder="1" applyAlignment="1" applyProtection="1">
      <alignment horizontal="centerContinuous" vertical="center"/>
    </xf>
    <xf numFmtId="37" fontId="7" fillId="0" borderId="12" xfId="0" applyFont="1" applyBorder="1" applyAlignment="1">
      <alignment horizontal="centerContinuous" vertical="center"/>
    </xf>
    <xf numFmtId="37" fontId="7" fillId="3" borderId="2" xfId="0" applyFont="1" applyFill="1" applyBorder="1" applyAlignment="1">
      <alignment horizontal="centerContinuous" vertical="center"/>
    </xf>
    <xf numFmtId="37" fontId="10" fillId="0" borderId="2" xfId="0" applyFont="1" applyBorder="1" applyProtection="1">
      <protection locked="0"/>
    </xf>
    <xf numFmtId="166" fontId="7" fillId="0" borderId="3" xfId="0" applyNumberFormat="1" applyFont="1" applyBorder="1" applyAlignment="1" applyProtection="1">
      <alignment horizontal="centerContinuous" vertical="center"/>
    </xf>
    <xf numFmtId="37" fontId="7" fillId="3" borderId="3" xfId="0" applyFont="1" applyFill="1" applyBorder="1" applyAlignment="1">
      <alignment horizontal="centerContinuous" vertical="center"/>
    </xf>
    <xf numFmtId="37" fontId="10" fillId="0" borderId="3" xfId="0" applyFont="1" applyBorder="1" applyProtection="1">
      <protection locked="0"/>
    </xf>
    <xf numFmtId="37" fontId="4" fillId="0" borderId="26" xfId="0" applyFont="1" applyFill="1" applyBorder="1" applyAlignment="1">
      <alignment horizontal="left"/>
    </xf>
    <xf numFmtId="37" fontId="7" fillId="0" borderId="25" xfId="0" applyFont="1" applyFill="1" applyBorder="1" applyAlignment="1"/>
    <xf numFmtId="37" fontId="7" fillId="0" borderId="27" xfId="0" applyFont="1" applyFill="1" applyBorder="1" applyAlignment="1"/>
    <xf numFmtId="171" fontId="7" fillId="0" borderId="1" xfId="0" applyNumberFormat="1" applyFont="1" applyBorder="1"/>
    <xf numFmtId="171" fontId="7" fillId="0" borderId="0" xfId="0" applyNumberFormat="1" applyFont="1"/>
    <xf numFmtId="37" fontId="7" fillId="0" borderId="12" xfId="0" applyFont="1" applyBorder="1" applyAlignment="1"/>
    <xf numFmtId="37" fontId="4" fillId="3" borderId="17" xfId="0" applyFont="1" applyFill="1" applyBorder="1" applyAlignment="1">
      <alignment horizontal="left"/>
    </xf>
    <xf numFmtId="37" fontId="4" fillId="3" borderId="13" xfId="0" applyFont="1" applyFill="1" applyBorder="1" applyAlignment="1"/>
    <xf numFmtId="37" fontId="7" fillId="3" borderId="13" xfId="0" applyFont="1" applyFill="1" applyBorder="1" applyAlignment="1"/>
    <xf numFmtId="37" fontId="7" fillId="3" borderId="18" xfId="0" applyFont="1" applyFill="1" applyBorder="1" applyAlignment="1"/>
    <xf numFmtId="37" fontId="7" fillId="0" borderId="12" xfId="0" applyFont="1" applyBorder="1" applyAlignment="1">
      <alignment horizontal="centerContinuous"/>
    </xf>
    <xf numFmtId="37" fontId="7" fillId="0" borderId="11" xfId="0" applyFont="1" applyBorder="1" applyAlignment="1">
      <alignment horizontal="centerContinuous"/>
    </xf>
    <xf numFmtId="0" fontId="7" fillId="3" borderId="2" xfId="0" applyNumberFormat="1" applyFont="1" applyFill="1" applyBorder="1" applyAlignment="1"/>
    <xf numFmtId="0" fontId="7" fillId="3" borderId="3" xfId="0" applyNumberFormat="1" applyFont="1" applyFill="1" applyBorder="1" applyAlignment="1"/>
    <xf numFmtId="37" fontId="7" fillId="3" borderId="6" xfId="0" applyFont="1" applyFill="1" applyBorder="1"/>
    <xf numFmtId="39" fontId="7" fillId="0" borderId="0" xfId="0" applyNumberFormat="1" applyFont="1" applyProtection="1"/>
    <xf numFmtId="37" fontId="4" fillId="3" borderId="17" xfId="0" applyFont="1" applyFill="1" applyBorder="1"/>
    <xf numFmtId="37" fontId="4" fillId="3" borderId="13" xfId="0" applyFont="1" applyFill="1" applyBorder="1"/>
    <xf numFmtId="37" fontId="7" fillId="3" borderId="13" xfId="0" applyFont="1" applyFill="1" applyBorder="1"/>
    <xf numFmtId="37" fontId="7" fillId="3" borderId="18" xfId="0" applyFont="1" applyFill="1" applyBorder="1"/>
    <xf numFmtId="37" fontId="4" fillId="0" borderId="18" xfId="0" applyFont="1" applyBorder="1" applyAlignment="1">
      <alignment horizontal="centerContinuous"/>
    </xf>
    <xf numFmtId="166" fontId="7" fillId="0" borderId="2" xfId="0" applyNumberFormat="1" applyFont="1" applyBorder="1" applyAlignment="1" applyProtection="1">
      <alignment horizontal="centerContinuous"/>
    </xf>
    <xf numFmtId="37" fontId="4" fillId="3" borderId="18" xfId="0" applyFont="1" applyFill="1" applyBorder="1" applyAlignment="1">
      <alignment horizontal="centerContinuous"/>
    </xf>
    <xf numFmtId="37" fontId="4" fillId="0" borderId="19" xfId="0" applyFont="1" applyBorder="1" applyAlignment="1">
      <alignment horizontal="centerContinuous"/>
    </xf>
    <xf numFmtId="37" fontId="4" fillId="3" borderId="13" xfId="0" applyFont="1" applyFill="1" applyBorder="1" applyAlignment="1">
      <alignment horizontal="centerContinuous"/>
    </xf>
    <xf numFmtId="37" fontId="7" fillId="3" borderId="13" xfId="0" applyFont="1" applyFill="1" applyBorder="1" applyAlignment="1">
      <alignment horizontal="centerContinuous"/>
    </xf>
    <xf numFmtId="37" fontId="7" fillId="3" borderId="18" xfId="0" applyFont="1" applyFill="1" applyBorder="1" applyAlignment="1">
      <alignment horizontal="centerContinuous"/>
    </xf>
    <xf numFmtId="37" fontId="4" fillId="3" borderId="13" xfId="0" applyFont="1" applyFill="1" applyBorder="1" applyProtection="1"/>
    <xf numFmtId="37" fontId="7" fillId="3" borderId="13" xfId="0" applyFont="1" applyFill="1" applyBorder="1" applyProtection="1"/>
    <xf numFmtId="37" fontId="7" fillId="3" borderId="18" xfId="0" applyFont="1" applyFill="1" applyBorder="1" applyProtection="1"/>
    <xf numFmtId="37" fontId="4" fillId="3" borderId="1" xfId="0" applyFont="1" applyFill="1" applyBorder="1" applyProtection="1"/>
    <xf numFmtId="37" fontId="4" fillId="3" borderId="1" xfId="0" applyFont="1" applyFill="1" applyBorder="1" applyAlignment="1" applyProtection="1">
      <alignment horizontal="centerContinuous"/>
    </xf>
    <xf numFmtId="37" fontId="4" fillId="0" borderId="9" xfId="0" applyFont="1" applyBorder="1" applyAlignment="1" applyProtection="1">
      <alignment horizontal="centerContinuous"/>
    </xf>
    <xf numFmtId="0" fontId="7" fillId="3" borderId="13" xfId="0" applyNumberFormat="1" applyFont="1" applyFill="1" applyBorder="1" applyAlignment="1">
      <alignment horizontal="centerContinuous"/>
    </xf>
    <xf numFmtId="0" fontId="7" fillId="3" borderId="18" xfId="0" applyNumberFormat="1" applyFont="1" applyFill="1" applyBorder="1" applyAlignment="1">
      <alignment horizontal="centerContinuous"/>
    </xf>
    <xf numFmtId="37" fontId="7" fillId="0" borderId="18" xfId="0" applyFont="1" applyBorder="1"/>
    <xf numFmtId="37" fontId="7" fillId="0" borderId="0" xfId="0" applyFont="1" applyBorder="1"/>
    <xf numFmtId="37" fontId="7" fillId="3" borderId="2" xfId="0" applyFont="1" applyFill="1" applyBorder="1" applyAlignment="1" applyProtection="1"/>
    <xf numFmtId="37" fontId="7" fillId="3" borderId="3" xfId="0" applyFont="1" applyFill="1" applyBorder="1" applyAlignment="1" applyProtection="1"/>
    <xf numFmtId="37" fontId="7" fillId="3" borderId="3" xfId="0" applyFont="1" applyFill="1" applyBorder="1" applyAlignment="1" applyProtection="1">
      <alignment horizontal="center"/>
    </xf>
    <xf numFmtId="37" fontId="4" fillId="3" borderId="17" xfId="0" applyFont="1" applyFill="1" applyBorder="1" applyProtection="1"/>
    <xf numFmtId="37" fontId="7" fillId="3" borderId="13" xfId="0" applyFont="1" applyFill="1" applyBorder="1" applyAlignment="1" applyProtection="1">
      <alignment horizontal="centerContinuous"/>
    </xf>
    <xf numFmtId="37" fontId="7" fillId="3" borderId="18" xfId="0" applyFont="1" applyFill="1" applyBorder="1" applyAlignment="1" applyProtection="1">
      <alignment horizontal="centerContinuous"/>
    </xf>
    <xf numFmtId="37" fontId="4" fillId="3" borderId="6" xfId="0" applyFont="1" applyFill="1" applyBorder="1" applyProtection="1"/>
    <xf numFmtId="37" fontId="7" fillId="0" borderId="6" xfId="0" applyFont="1" applyBorder="1" applyProtection="1"/>
    <xf numFmtId="37" fontId="7" fillId="0" borderId="4" xfId="0" applyFont="1" applyBorder="1" applyProtection="1"/>
    <xf numFmtId="37" fontId="4" fillId="0" borderId="9" xfId="0" applyFont="1" applyBorder="1" applyAlignment="1" applyProtection="1">
      <alignment horizontal="center"/>
    </xf>
    <xf numFmtId="171" fontId="7" fillId="0" borderId="16" xfId="0" applyNumberFormat="1" applyFont="1" applyBorder="1" applyAlignment="1">
      <alignment vertical="center"/>
    </xf>
    <xf numFmtId="176" fontId="7" fillId="0" borderId="28" xfId="0" applyNumberFormat="1" applyFont="1" applyBorder="1" applyAlignment="1">
      <alignment vertical="center"/>
    </xf>
    <xf numFmtId="176" fontId="7" fillId="0" borderId="0" xfId="0" applyNumberFormat="1" applyFont="1" applyAlignment="1">
      <alignment vertical="center"/>
    </xf>
    <xf numFmtId="0" fontId="4" fillId="3" borderId="13" xfId="0" applyNumberFormat="1" applyFont="1" applyFill="1" applyBorder="1" applyAlignment="1" applyProtection="1">
      <alignment horizontal="centerContinuous"/>
    </xf>
    <xf numFmtId="0" fontId="7" fillId="3" borderId="18" xfId="0" applyNumberFormat="1" applyFont="1" applyFill="1" applyBorder="1" applyAlignment="1" applyProtection="1">
      <alignment horizontal="centerContinuous"/>
    </xf>
    <xf numFmtId="37" fontId="4" fillId="3" borderId="6" xfId="0" applyFont="1" applyFill="1" applyBorder="1" applyAlignment="1" applyProtection="1">
      <alignment horizontal="centerContinuous"/>
    </xf>
    <xf numFmtId="10" fontId="7" fillId="3" borderId="2" xfId="0" applyNumberFormat="1" applyFont="1" applyFill="1" applyBorder="1" applyAlignment="1" applyProtection="1">
      <alignment horizontal="centerContinuous"/>
    </xf>
    <xf numFmtId="37" fontId="4" fillId="3" borderId="3" xfId="0" applyFont="1" applyFill="1" applyBorder="1" applyAlignment="1" applyProtection="1">
      <alignment horizontal="centerContinuous" vertical="center"/>
      <protection locked="0"/>
    </xf>
    <xf numFmtId="37" fontId="7" fillId="3" borderId="3" xfId="0" applyFont="1" applyFill="1" applyBorder="1" applyAlignment="1" applyProtection="1">
      <alignment horizontal="centerContinuous"/>
      <protection locked="0"/>
    </xf>
    <xf numFmtId="37" fontId="4" fillId="0" borderId="13" xfId="0" applyFont="1" applyBorder="1" applyAlignment="1">
      <alignment horizontal="centerContinuous" vertical="center"/>
    </xf>
    <xf numFmtId="166" fontId="7" fillId="0" borderId="0" xfId="0" applyNumberFormat="1" applyFont="1" applyBorder="1" applyProtection="1"/>
    <xf numFmtId="37" fontId="4" fillId="3" borderId="17" xfId="0" applyFont="1" applyFill="1" applyBorder="1" applyAlignment="1">
      <alignment horizontal="centerContinuous"/>
    </xf>
    <xf numFmtId="166" fontId="10" fillId="0" borderId="0" xfId="0" applyNumberFormat="1" applyFont="1" applyProtection="1">
      <protection locked="0"/>
    </xf>
    <xf numFmtId="37" fontId="4" fillId="0" borderId="2" xfId="0" applyFont="1" applyBorder="1" applyAlignment="1">
      <alignment horizontal="centerContinuous" vertical="center"/>
    </xf>
    <xf numFmtId="37" fontId="7" fillId="0" borderId="2" xfId="0" applyFont="1" applyBorder="1" applyAlignment="1">
      <alignment horizontal="centerContinuous"/>
    </xf>
    <xf numFmtId="37" fontId="7" fillId="0" borderId="2" xfId="0" applyFont="1" applyBorder="1" applyAlignment="1"/>
    <xf numFmtId="37" fontId="4" fillId="0" borderId="3" xfId="0" quotePrefix="1" applyFont="1" applyBorder="1" applyAlignment="1">
      <alignment horizontal="centerContinuous" vertical="center"/>
    </xf>
    <xf numFmtId="37" fontId="7" fillId="0" borderId="3" xfId="0" applyFont="1" applyBorder="1" applyAlignment="1">
      <alignment horizontal="centerContinuous"/>
    </xf>
    <xf numFmtId="166" fontId="7" fillId="0" borderId="13" xfId="0" applyNumberFormat="1" applyFont="1" applyBorder="1" applyAlignment="1" applyProtection="1">
      <alignment vertical="center"/>
    </xf>
    <xf numFmtId="37" fontId="7" fillId="0" borderId="13" xfId="0" applyFont="1" applyBorder="1" applyAlignment="1">
      <alignment vertical="center"/>
    </xf>
    <xf numFmtId="37" fontId="7" fillId="0" borderId="13" xfId="0" applyFont="1" applyBorder="1" applyAlignment="1">
      <alignment horizontal="right" vertical="center"/>
    </xf>
    <xf numFmtId="37" fontId="4" fillId="3" borderId="19" xfId="0" applyFont="1" applyFill="1" applyBorder="1" applyAlignment="1">
      <alignment horizontal="centerContinuous"/>
    </xf>
    <xf numFmtId="37" fontId="7" fillId="0" borderId="13" xfId="0" applyFont="1" applyBorder="1" applyAlignment="1">
      <alignment horizontal="left" vertical="center"/>
    </xf>
    <xf numFmtId="37" fontId="7" fillId="0" borderId="13" xfId="0" applyFont="1" applyBorder="1" applyAlignment="1">
      <alignment horizontal="left"/>
    </xf>
    <xf numFmtId="37" fontId="4" fillId="3" borderId="13" xfId="0" quotePrefix="1" applyFont="1" applyFill="1" applyBorder="1" applyAlignment="1" applyProtection="1">
      <alignment horizontal="centerContinuous" vertical="center"/>
    </xf>
    <xf numFmtId="37" fontId="4" fillId="0" borderId="4" xfId="0" applyFont="1" applyBorder="1" applyAlignment="1">
      <alignment horizontal="center"/>
    </xf>
    <xf numFmtId="37" fontId="7" fillId="0" borderId="0" xfId="0" applyFont="1" applyAlignment="1">
      <alignment wrapText="1"/>
    </xf>
    <xf numFmtId="166" fontId="7" fillId="0" borderId="0" xfId="0" applyNumberFormat="1" applyFont="1"/>
    <xf numFmtId="37" fontId="7" fillId="0" borderId="30" xfId="0" applyFont="1" applyBorder="1"/>
    <xf numFmtId="37" fontId="7" fillId="0" borderId="2" xfId="0" applyFont="1" applyBorder="1" applyAlignment="1">
      <alignment horizontal="centerContinuous" vertical="center"/>
    </xf>
    <xf numFmtId="37" fontId="7" fillId="0" borderId="3" xfId="0" applyFont="1" applyBorder="1" applyAlignment="1">
      <alignment horizontal="centerContinuous" vertical="center"/>
    </xf>
    <xf numFmtId="37" fontId="7" fillId="0" borderId="3" xfId="0" applyFont="1" applyBorder="1" applyAlignment="1">
      <alignment vertical="center"/>
    </xf>
    <xf numFmtId="37" fontId="7" fillId="0" borderId="0" xfId="0" quotePrefix="1" applyFont="1" applyBorder="1" applyAlignment="1">
      <alignment horizontal="centerContinuous"/>
    </xf>
    <xf numFmtId="166" fontId="7" fillId="0" borderId="12" xfId="0" applyNumberFormat="1" applyFont="1" applyBorder="1" applyAlignment="1" applyProtection="1">
      <alignment vertical="center"/>
    </xf>
    <xf numFmtId="37" fontId="4" fillId="0" borderId="12" xfId="0" applyFont="1" applyBorder="1" applyAlignment="1">
      <alignment horizontal="centerContinuous" vertical="center"/>
    </xf>
    <xf numFmtId="37" fontId="7" fillId="0" borderId="11" xfId="0" applyFont="1" applyBorder="1" applyAlignment="1"/>
    <xf numFmtId="37" fontId="7" fillId="0" borderId="2" xfId="0" quotePrefix="1" applyFont="1" applyBorder="1" applyAlignment="1">
      <alignment horizontal="right" vertical="center"/>
    </xf>
    <xf numFmtId="37" fontId="7" fillId="0" borderId="0" xfId="0" applyFont="1" applyBorder="1" applyAlignment="1">
      <alignment vertical="center"/>
    </xf>
    <xf numFmtId="37" fontId="4" fillId="0" borderId="3" xfId="0" applyFont="1" applyBorder="1" applyAlignment="1">
      <alignment horizontal="centerContinuous" vertical="center"/>
    </xf>
    <xf numFmtId="49" fontId="7" fillId="0" borderId="0" xfId="2" applyNumberFormat="1" applyFont="1"/>
    <xf numFmtId="37" fontId="14" fillId="0" borderId="3" xfId="0" applyFont="1" applyBorder="1" applyAlignment="1">
      <alignment horizontal="centerContinuous" vertical="center"/>
    </xf>
    <xf numFmtId="49" fontId="4" fillId="0" borderId="9" xfId="0" applyNumberFormat="1" applyFont="1" applyBorder="1"/>
    <xf numFmtId="49" fontId="7" fillId="0" borderId="1" xfId="0" applyNumberFormat="1" applyFont="1" applyBorder="1"/>
    <xf numFmtId="175" fontId="7" fillId="0" borderId="1" xfId="0" applyNumberFormat="1" applyFont="1" applyBorder="1"/>
    <xf numFmtId="174" fontId="7" fillId="0" borderId="0" xfId="0" applyNumberFormat="1" applyFont="1"/>
    <xf numFmtId="175" fontId="7" fillId="0" borderId="0" xfId="0" applyNumberFormat="1" applyFont="1"/>
    <xf numFmtId="171" fontId="7" fillId="0" borderId="0" xfId="0" applyNumberFormat="1" applyFont="1" applyProtection="1"/>
    <xf numFmtId="37" fontId="4" fillId="0" borderId="24" xfId="0" applyFont="1" applyBorder="1" applyAlignment="1">
      <alignment horizontal="center" vertical="center"/>
    </xf>
    <xf numFmtId="165" fontId="7" fillId="0" borderId="0" xfId="2" applyFont="1" applyAlignment="1">
      <alignment horizontal="left"/>
    </xf>
    <xf numFmtId="37" fontId="7" fillId="0" borderId="11" xfId="0" applyFont="1" applyBorder="1" applyAlignment="1">
      <alignment vertical="center"/>
    </xf>
    <xf numFmtId="37" fontId="4" fillId="3" borderId="12" xfId="0" applyFont="1" applyFill="1" applyBorder="1" applyAlignment="1">
      <alignment horizontal="centerContinuous" vertical="center"/>
    </xf>
    <xf numFmtId="37" fontId="7" fillId="3" borderId="12" xfId="0" applyFont="1" applyFill="1" applyBorder="1" applyAlignment="1">
      <alignment horizontal="centerContinuous" vertical="center"/>
    </xf>
    <xf numFmtId="37" fontId="7" fillId="3" borderId="11" xfId="0" quotePrefix="1" applyFont="1" applyFill="1" applyBorder="1" applyAlignment="1" applyProtection="1">
      <alignment horizontal="centerContinuous" vertical="center"/>
    </xf>
    <xf numFmtId="37" fontId="7" fillId="3" borderId="11" xfId="0" applyFont="1" applyFill="1" applyBorder="1" applyAlignment="1">
      <alignment horizontal="centerContinuous" vertical="center"/>
    </xf>
    <xf numFmtId="37" fontId="7" fillId="0" borderId="11" xfId="0" applyFont="1" applyBorder="1" applyAlignment="1">
      <alignment horizontal="centerContinuous" vertical="center"/>
    </xf>
    <xf numFmtId="37" fontId="7" fillId="0" borderId="0" xfId="0" applyFont="1" applyAlignment="1">
      <alignment horizontal="center"/>
    </xf>
    <xf numFmtId="37" fontId="4" fillId="3" borderId="13" xfId="0" applyFont="1" applyFill="1" applyBorder="1" applyAlignment="1">
      <alignment horizontal="centerContinuous" vertical="center"/>
    </xf>
    <xf numFmtId="37" fontId="4" fillId="3" borderId="0" xfId="0" applyFont="1" applyFill="1" applyBorder="1" applyAlignment="1">
      <alignment horizontal="centerContinuous" vertical="center"/>
    </xf>
    <xf numFmtId="37" fontId="7" fillId="3" borderId="0" xfId="0" applyFont="1" applyFill="1" applyBorder="1" applyAlignment="1">
      <alignment horizontal="centerContinuous"/>
    </xf>
    <xf numFmtId="37" fontId="7" fillId="3" borderId="0" xfId="0" quotePrefix="1" applyFont="1" applyFill="1" applyBorder="1" applyAlignment="1">
      <alignment horizontal="right"/>
    </xf>
    <xf numFmtId="37" fontId="4" fillId="0" borderId="31" xfId="0" applyFont="1" applyBorder="1" applyAlignment="1">
      <alignment horizontal="center"/>
    </xf>
    <xf numFmtId="37" fontId="7" fillId="0" borderId="7" xfId="0" applyFont="1" applyBorder="1"/>
    <xf numFmtId="37" fontId="4" fillId="0" borderId="24" xfId="0" applyFont="1" applyBorder="1" applyAlignment="1">
      <alignment horizontal="center"/>
    </xf>
    <xf numFmtId="37" fontId="7" fillId="3" borderId="0" xfId="0" applyFont="1" applyFill="1" applyBorder="1" applyAlignment="1">
      <alignment horizontal="right"/>
    </xf>
    <xf numFmtId="37" fontId="4" fillId="3" borderId="31" xfId="0" applyFont="1" applyFill="1" applyBorder="1" applyAlignment="1">
      <alignment horizontal="centerContinuous" vertical="center"/>
    </xf>
    <xf numFmtId="37" fontId="4" fillId="0" borderId="31" xfId="0" applyFont="1" applyBorder="1" applyAlignment="1">
      <alignment horizontal="center" vertical="center"/>
    </xf>
    <xf numFmtId="166" fontId="7" fillId="0" borderId="13" xfId="0" applyNumberFormat="1" applyFont="1" applyBorder="1" applyProtection="1"/>
    <xf numFmtId="37" fontId="7" fillId="0" borderId="13" xfId="0" applyFont="1" applyBorder="1" applyAlignment="1">
      <alignment horizontal="centerContinuous" vertical="center"/>
    </xf>
    <xf numFmtId="166" fontId="7" fillId="0" borderId="0" xfId="0" applyNumberFormat="1" applyFont="1" applyAlignment="1" applyProtection="1">
      <alignment horizontal="centerContinuous"/>
    </xf>
    <xf numFmtId="37" fontId="10" fillId="0" borderId="13" xfId="0" applyFont="1" applyBorder="1" applyAlignment="1" applyProtection="1">
      <alignment horizontal="centerContinuous" vertical="center"/>
      <protection locked="0"/>
    </xf>
    <xf numFmtId="37" fontId="7" fillId="0" borderId="0" xfId="0" quotePrefix="1" applyFont="1" applyAlignment="1"/>
    <xf numFmtId="37" fontId="4" fillId="0" borderId="25" xfId="0" applyFont="1" applyBorder="1" applyAlignment="1">
      <alignment horizontal="centerContinuous" vertical="center"/>
    </xf>
    <xf numFmtId="37" fontId="7" fillId="0" borderId="25" xfId="0" applyFont="1" applyBorder="1" applyAlignment="1">
      <alignment horizontal="centerContinuous" vertical="center"/>
    </xf>
    <xf numFmtId="37" fontId="10" fillId="0" borderId="13" xfId="0" applyFont="1" applyBorder="1" applyAlignment="1" applyProtection="1">
      <alignment vertical="center"/>
      <protection locked="0"/>
    </xf>
    <xf numFmtId="37" fontId="4" fillId="0" borderId="1" xfId="0" applyFont="1" applyBorder="1"/>
    <xf numFmtId="166" fontId="7" fillId="0" borderId="0" xfId="0" applyNumberFormat="1" applyFont="1" applyAlignment="1" applyProtection="1">
      <alignment horizontal="right"/>
    </xf>
    <xf numFmtId="37" fontId="7" fillId="0" borderId="32" xfId="0" applyFont="1" applyBorder="1"/>
    <xf numFmtId="37" fontId="7" fillId="0" borderId="25" xfId="0" applyFont="1" applyBorder="1"/>
    <xf numFmtId="37" fontId="7" fillId="0" borderId="27" xfId="0" applyFont="1" applyBorder="1"/>
    <xf numFmtId="0" fontId="7" fillId="0" borderId="0" xfId="0" applyNumberFormat="1" applyFont="1" applyAlignment="1">
      <alignment horizontal="center"/>
    </xf>
    <xf numFmtId="37" fontId="7" fillId="3" borderId="0" xfId="0" applyFont="1" applyFill="1" applyAlignment="1">
      <alignment horizontal="left"/>
    </xf>
    <xf numFmtId="37" fontId="7" fillId="0" borderId="0" xfId="0" quotePrefix="1" applyFont="1" applyAlignment="1">
      <alignment horizontal="center"/>
    </xf>
    <xf numFmtId="37" fontId="4" fillId="3" borderId="5" xfId="0" applyFont="1" applyFill="1" applyBorder="1" applyAlignment="1">
      <alignment vertical="center"/>
    </xf>
    <xf numFmtId="37" fontId="4" fillId="0" borderId="10" xfId="0" applyFont="1" applyBorder="1" applyAlignment="1">
      <alignment horizontal="right" vertical="center"/>
    </xf>
    <xf numFmtId="37" fontId="9" fillId="3" borderId="0" xfId="0" applyFont="1" applyFill="1" applyAlignment="1">
      <alignment horizontal="centerContinuous"/>
    </xf>
    <xf numFmtId="37" fontId="9" fillId="0" borderId="0" xfId="0" applyFont="1" applyAlignment="1">
      <alignment horizontal="centerContinuous"/>
    </xf>
    <xf numFmtId="37" fontId="4" fillId="6" borderId="17" xfId="0" applyFont="1" applyFill="1" applyBorder="1" applyAlignment="1">
      <alignment horizontal="centerContinuous"/>
    </xf>
    <xf numFmtId="37" fontId="4" fillId="6" borderId="18" xfId="0" applyFont="1" applyFill="1" applyBorder="1" applyAlignment="1">
      <alignment horizontal="centerContinuous"/>
    </xf>
    <xf numFmtId="37" fontId="4" fillId="6" borderId="18" xfId="0" applyFont="1" applyFill="1" applyBorder="1" applyAlignment="1">
      <alignment horizontal="centerContinuous" vertical="center"/>
    </xf>
    <xf numFmtId="49" fontId="7" fillId="6" borderId="1" xfId="0" applyNumberFormat="1" applyFont="1" applyFill="1" applyBorder="1" applyAlignment="1">
      <alignment vertical="center"/>
    </xf>
    <xf numFmtId="171" fontId="7" fillId="6" borderId="1" xfId="0" applyNumberFormat="1" applyFont="1" applyFill="1" applyBorder="1" applyAlignment="1">
      <alignment vertical="center"/>
    </xf>
    <xf numFmtId="49" fontId="4" fillId="6" borderId="19" xfId="2" applyNumberFormat="1" applyFont="1" applyFill="1" applyBorder="1" applyAlignment="1">
      <alignment vertical="center"/>
    </xf>
    <xf numFmtId="171" fontId="4" fillId="6" borderId="19" xfId="0" applyNumberFormat="1" applyFont="1" applyFill="1" applyBorder="1" applyAlignment="1">
      <alignment vertical="center"/>
    </xf>
    <xf numFmtId="37" fontId="4" fillId="6" borderId="17" xfId="0" applyFont="1" applyFill="1" applyBorder="1" applyAlignment="1" applyProtection="1">
      <alignment horizontal="centerContinuous" vertical="center"/>
    </xf>
    <xf numFmtId="37" fontId="4" fillId="6" borderId="13" xfId="0" applyFont="1" applyFill="1" applyBorder="1" applyAlignment="1" applyProtection="1">
      <alignment horizontal="centerContinuous"/>
    </xf>
    <xf numFmtId="37" fontId="4" fillId="6" borderId="18" xfId="0" applyFont="1" applyFill="1" applyBorder="1" applyAlignment="1" applyProtection="1">
      <alignment horizontal="centerContinuous"/>
    </xf>
    <xf numFmtId="175" fontId="7" fillId="6" borderId="1" xfId="0" applyNumberFormat="1" applyFont="1" applyFill="1" applyBorder="1" applyAlignment="1">
      <alignment vertical="center"/>
    </xf>
    <xf numFmtId="175" fontId="7" fillId="6" borderId="22" xfId="0" applyNumberFormat="1" applyFont="1" applyFill="1" applyBorder="1" applyAlignment="1">
      <alignment vertical="center"/>
    </xf>
    <xf numFmtId="175" fontId="7" fillId="6" borderId="6" xfId="0" applyNumberFormat="1" applyFont="1" applyFill="1" applyBorder="1" applyAlignment="1">
      <alignment vertical="center"/>
    </xf>
    <xf numFmtId="175" fontId="4" fillId="6" borderId="19" xfId="0" applyNumberFormat="1" applyFont="1" applyFill="1" applyBorder="1" applyAlignment="1">
      <alignment vertical="center"/>
    </xf>
    <xf numFmtId="175" fontId="4" fillId="6" borderId="33" xfId="0" applyNumberFormat="1" applyFont="1" applyFill="1" applyBorder="1" applyAlignment="1">
      <alignment vertical="center"/>
    </xf>
    <xf numFmtId="175" fontId="4" fillId="6" borderId="18" xfId="0" applyNumberFormat="1" applyFont="1" applyFill="1" applyBorder="1" applyAlignment="1">
      <alignment vertical="center"/>
    </xf>
    <xf numFmtId="37" fontId="4" fillId="6" borderId="20" xfId="0" applyFont="1" applyFill="1" applyBorder="1" applyAlignment="1">
      <alignment horizontal="centerContinuous"/>
    </xf>
    <xf numFmtId="37" fontId="4" fillId="6" borderId="3" xfId="0" applyFont="1" applyFill="1" applyBorder="1" applyAlignment="1">
      <alignment horizontal="centerContinuous"/>
    </xf>
    <xf numFmtId="37" fontId="4" fillId="6" borderId="10" xfId="0" applyFont="1" applyFill="1" applyBorder="1" applyAlignment="1">
      <alignment horizontal="centerContinuous"/>
    </xf>
    <xf numFmtId="37" fontId="4" fillId="6" borderId="17" xfId="0" applyFont="1" applyFill="1" applyBorder="1" applyAlignment="1">
      <alignment horizontal="centerContinuous" vertical="center"/>
    </xf>
    <xf numFmtId="37" fontId="7" fillId="6" borderId="13" xfId="0" applyFont="1" applyFill="1" applyBorder="1" applyAlignment="1">
      <alignment horizontal="centerContinuous"/>
    </xf>
    <xf numFmtId="37" fontId="7" fillId="6" borderId="18" xfId="0" applyFont="1" applyFill="1" applyBorder="1" applyAlignment="1">
      <alignment horizontal="centerContinuous"/>
    </xf>
    <xf numFmtId="37" fontId="4" fillId="6" borderId="4" xfId="0" applyFont="1" applyFill="1" applyBorder="1" applyAlignment="1">
      <alignment horizontal="centerContinuous"/>
    </xf>
    <xf numFmtId="37" fontId="4" fillId="6" borderId="5" xfId="0" applyFont="1" applyFill="1" applyBorder="1" applyAlignment="1">
      <alignment horizontal="center"/>
    </xf>
    <xf numFmtId="37" fontId="4" fillId="6" borderId="2" xfId="0" applyFont="1" applyFill="1" applyBorder="1" applyAlignment="1">
      <alignment horizontal="center"/>
    </xf>
    <xf numFmtId="37" fontId="7" fillId="6" borderId="5" xfId="0" applyFont="1" applyFill="1" applyBorder="1" applyAlignment="1">
      <alignment horizontal="centerContinuous"/>
    </xf>
    <xf numFmtId="37" fontId="4" fillId="6" borderId="9" xfId="0" applyFont="1" applyFill="1" applyBorder="1" applyAlignment="1">
      <alignment horizontal="centerContinuous"/>
    </xf>
    <xf numFmtId="37" fontId="7" fillId="6" borderId="3" xfId="0" applyFont="1" applyFill="1" applyBorder="1" applyAlignment="1">
      <alignment horizontal="centerContinuous"/>
    </xf>
    <xf numFmtId="37" fontId="4" fillId="6" borderId="14" xfId="0" applyFont="1" applyFill="1" applyBorder="1" applyAlignment="1">
      <alignment horizontal="centerContinuous"/>
    </xf>
    <xf numFmtId="37" fontId="4" fillId="6" borderId="5" xfId="0" applyFont="1" applyFill="1" applyBorder="1" applyAlignment="1">
      <alignment horizontal="centerContinuous"/>
    </xf>
    <xf numFmtId="37" fontId="4" fillId="6" borderId="2" xfId="0" applyFont="1" applyFill="1" applyBorder="1"/>
    <xf numFmtId="37" fontId="4" fillId="6" borderId="2" xfId="0" applyFont="1" applyFill="1" applyBorder="1" applyAlignment="1">
      <alignment horizontal="centerContinuous"/>
    </xf>
    <xf numFmtId="37" fontId="4" fillId="7" borderId="23" xfId="0" applyFont="1" applyFill="1" applyBorder="1"/>
    <xf numFmtId="37" fontId="4" fillId="8" borderId="23" xfId="0" applyFont="1" applyFill="1" applyBorder="1"/>
    <xf numFmtId="37" fontId="4" fillId="7" borderId="34" xfId="0" applyFont="1" applyFill="1" applyBorder="1"/>
    <xf numFmtId="37" fontId="7" fillId="6" borderId="2" xfId="0" applyFont="1" applyFill="1" applyBorder="1" applyAlignment="1">
      <alignment horizontal="centerContinuous"/>
    </xf>
    <xf numFmtId="37" fontId="7" fillId="6" borderId="10" xfId="0" applyFont="1" applyFill="1" applyBorder="1" applyAlignment="1">
      <alignment horizontal="centerContinuous"/>
    </xf>
    <xf numFmtId="37" fontId="7" fillId="6" borderId="14" xfId="0" applyFont="1" applyFill="1" applyBorder="1"/>
    <xf numFmtId="37" fontId="4" fillId="6" borderId="35" xfId="0" applyFont="1" applyFill="1" applyBorder="1" applyAlignment="1">
      <alignment horizontal="centerContinuous"/>
    </xf>
    <xf numFmtId="37" fontId="4" fillId="6" borderId="36" xfId="0" applyFont="1" applyFill="1" applyBorder="1" applyAlignment="1">
      <alignment horizontal="centerContinuous"/>
    </xf>
    <xf numFmtId="37" fontId="4" fillId="6" borderId="35" xfId="0" applyFont="1" applyFill="1" applyBorder="1" applyAlignment="1">
      <alignment horizontal="left"/>
    </xf>
    <xf numFmtId="37" fontId="4" fillId="6" borderId="12" xfId="0" applyFont="1" applyFill="1" applyBorder="1" applyAlignment="1">
      <alignment horizontal="left"/>
    </xf>
    <xf numFmtId="37" fontId="4" fillId="6" borderId="36" xfId="0" applyFont="1" applyFill="1" applyBorder="1" applyAlignment="1">
      <alignment horizontal="left"/>
    </xf>
    <xf numFmtId="37" fontId="4" fillId="6" borderId="39" xfId="0" applyFont="1" applyFill="1" applyBorder="1" applyAlignment="1" applyProtection="1">
      <alignment horizontal="centerContinuous"/>
    </xf>
    <xf numFmtId="37" fontId="7" fillId="6" borderId="0" xfId="0" applyFont="1" applyFill="1" applyAlignment="1" applyProtection="1">
      <alignment horizontal="centerContinuous"/>
    </xf>
    <xf numFmtId="37" fontId="7" fillId="6" borderId="6" xfId="0" applyFont="1" applyFill="1" applyBorder="1" applyAlignment="1" applyProtection="1">
      <alignment horizontal="centerContinuous"/>
    </xf>
    <xf numFmtId="37" fontId="4" fillId="6" borderId="16" xfId="0" applyFont="1" applyFill="1" applyBorder="1" applyAlignment="1" applyProtection="1">
      <alignment horizontal="centerContinuous"/>
    </xf>
    <xf numFmtId="37" fontId="4" fillId="6" borderId="20" xfId="0" applyFont="1" applyFill="1" applyBorder="1" applyAlignment="1" applyProtection="1">
      <alignment horizontal="centerContinuous"/>
    </xf>
    <xf numFmtId="37" fontId="4" fillId="6" borderId="3" xfId="0" applyFont="1" applyFill="1" applyBorder="1" applyAlignment="1" applyProtection="1">
      <alignment horizontal="centerContinuous"/>
    </xf>
    <xf numFmtId="37" fontId="4" fillId="6" borderId="10" xfId="0" applyFont="1" applyFill="1" applyBorder="1" applyAlignment="1" applyProtection="1">
      <alignment horizontal="centerContinuous"/>
    </xf>
    <xf numFmtId="49" fontId="7" fillId="9" borderId="1" xfId="0" applyNumberFormat="1" applyFont="1" applyFill="1" applyBorder="1" applyAlignment="1">
      <alignment vertical="center"/>
    </xf>
    <xf numFmtId="171" fontId="7" fillId="9" borderId="16" xfId="0" applyNumberFormat="1" applyFont="1" applyFill="1" applyBorder="1" applyAlignment="1">
      <alignment vertical="center"/>
    </xf>
    <xf numFmtId="176" fontId="7" fillId="9" borderId="28" xfId="0" applyNumberFormat="1" applyFont="1" applyFill="1" applyBorder="1" applyAlignment="1">
      <alignment vertical="center"/>
    </xf>
    <xf numFmtId="171" fontId="4" fillId="6" borderId="17" xfId="0" applyNumberFormat="1" applyFont="1" applyFill="1" applyBorder="1" applyAlignment="1">
      <alignment vertical="center"/>
    </xf>
    <xf numFmtId="176" fontId="4" fillId="6" borderId="40" xfId="0" applyNumberFormat="1" applyFont="1" applyFill="1" applyBorder="1" applyAlignment="1">
      <alignment vertical="center"/>
    </xf>
    <xf numFmtId="37" fontId="4" fillId="6" borderId="14" xfId="0" applyFont="1" applyFill="1" applyBorder="1" applyAlignment="1"/>
    <xf numFmtId="37" fontId="4" fillId="6" borderId="5" xfId="0" applyFont="1" applyFill="1" applyBorder="1" applyAlignment="1"/>
    <xf numFmtId="37" fontId="4" fillId="6" borderId="16" xfId="0" applyFont="1" applyFill="1" applyBorder="1" applyAlignment="1">
      <alignment horizontal="centerContinuous"/>
    </xf>
    <xf numFmtId="169" fontId="7" fillId="3" borderId="24" xfId="0" applyNumberFormat="1" applyFont="1" applyFill="1" applyBorder="1" applyProtection="1"/>
    <xf numFmtId="169" fontId="7" fillId="0" borderId="24" xfId="0" applyNumberFormat="1" applyFont="1" applyBorder="1" applyProtection="1"/>
    <xf numFmtId="169" fontId="4" fillId="0" borderId="7" xfId="8" applyNumberFormat="1" applyFont="1" applyFill="1" applyBorder="1"/>
    <xf numFmtId="171" fontId="4" fillId="0" borderId="23" xfId="0" applyNumberFormat="1" applyFont="1" applyBorder="1" applyProtection="1"/>
    <xf numFmtId="169" fontId="4" fillId="0" borderId="23" xfId="0" applyNumberFormat="1" applyFont="1" applyBorder="1" applyProtection="1"/>
    <xf numFmtId="171" fontId="4" fillId="8" borderId="23" xfId="0" applyNumberFormat="1" applyFont="1" applyFill="1" applyBorder="1" applyProtection="1"/>
    <xf numFmtId="169" fontId="4" fillId="8" borderId="23" xfId="0" applyNumberFormat="1" applyFont="1" applyFill="1" applyBorder="1" applyProtection="1"/>
    <xf numFmtId="37" fontId="4" fillId="6" borderId="4" xfId="0" applyNumberFormat="1" applyFont="1" applyFill="1" applyBorder="1" applyAlignment="1" applyProtection="1">
      <alignment horizontal="center"/>
    </xf>
    <xf numFmtId="37" fontId="4" fillId="6" borderId="4" xfId="0" applyFont="1" applyFill="1" applyBorder="1"/>
    <xf numFmtId="37" fontId="4" fillId="6" borderId="1" xfId="0" applyNumberFormat="1" applyFont="1" applyFill="1" applyBorder="1" applyAlignment="1" applyProtection="1"/>
    <xf numFmtId="37" fontId="4" fillId="6" borderId="1" xfId="0" applyFont="1" applyFill="1" applyBorder="1" applyAlignment="1"/>
    <xf numFmtId="37" fontId="4" fillId="6" borderId="1" xfId="0" applyFont="1" applyFill="1" applyBorder="1" applyAlignment="1">
      <alignment horizontal="centerContinuous"/>
    </xf>
    <xf numFmtId="37" fontId="4" fillId="6" borderId="9" xfId="0" applyNumberFormat="1" applyFont="1" applyFill="1" applyBorder="1" applyAlignment="1" applyProtection="1">
      <alignment horizontal="centerContinuous"/>
    </xf>
    <xf numFmtId="171" fontId="7" fillId="6" borderId="1" xfId="0" applyNumberFormat="1" applyFont="1" applyFill="1" applyBorder="1"/>
    <xf numFmtId="175" fontId="7" fillId="6" borderId="1" xfId="0" applyNumberFormat="1" applyFont="1" applyFill="1" applyBorder="1"/>
    <xf numFmtId="49" fontId="7" fillId="6" borderId="1" xfId="0" applyNumberFormat="1" applyFont="1" applyFill="1" applyBorder="1"/>
    <xf numFmtId="49" fontId="4" fillId="6" borderId="19" xfId="0" applyNumberFormat="1" applyFont="1" applyFill="1" applyBorder="1"/>
    <xf numFmtId="171" fontId="4" fillId="6" borderId="19" xfId="0" applyNumberFormat="1" applyFont="1" applyFill="1" applyBorder="1"/>
    <xf numFmtId="175" fontId="4" fillId="6" borderId="19" xfId="0" applyNumberFormat="1" applyFont="1" applyFill="1" applyBorder="1" applyProtection="1"/>
    <xf numFmtId="37" fontId="4" fillId="6" borderId="4" xfId="0" applyFont="1" applyFill="1" applyBorder="1" applyAlignment="1">
      <alignment horizontal="center"/>
    </xf>
    <xf numFmtId="37" fontId="4" fillId="6" borderId="1" xfId="0" applyFont="1" applyFill="1" applyBorder="1" applyAlignment="1">
      <alignment horizontal="center"/>
    </xf>
    <xf numFmtId="37" fontId="4" fillId="6" borderId="14" xfId="0" applyFont="1" applyFill="1" applyBorder="1"/>
    <xf numFmtId="177" fontId="7" fillId="6" borderId="1" xfId="0" applyNumberFormat="1" applyFont="1" applyFill="1" applyBorder="1" applyAlignment="1">
      <alignment vertical="center"/>
    </xf>
    <xf numFmtId="177" fontId="7" fillId="0" borderId="1" xfId="0" applyNumberFormat="1" applyFont="1" applyBorder="1" applyAlignment="1">
      <alignment vertical="center"/>
    </xf>
    <xf numFmtId="177" fontId="7" fillId="6" borderId="1" xfId="0" applyNumberFormat="1" applyFont="1" applyFill="1" applyBorder="1" applyAlignment="1">
      <alignment horizontal="right" vertical="center"/>
    </xf>
    <xf numFmtId="177" fontId="0" fillId="0" borderId="0" xfId="0" applyNumberFormat="1"/>
    <xf numFmtId="177" fontId="4" fillId="6" borderId="19" xfId="0" applyNumberFormat="1" applyFont="1" applyFill="1" applyBorder="1" applyAlignment="1">
      <alignment vertical="center"/>
    </xf>
    <xf numFmtId="171" fontId="7" fillId="6" borderId="1" xfId="0" applyNumberFormat="1" applyFont="1" applyFill="1" applyBorder="1" applyAlignment="1">
      <alignment horizontal="right" vertical="center"/>
    </xf>
    <xf numFmtId="171" fontId="0" fillId="0" borderId="0" xfId="0" applyNumberFormat="1"/>
    <xf numFmtId="37" fontId="7" fillId="9" borderId="14" xfId="0" applyFont="1" applyFill="1" applyBorder="1"/>
    <xf numFmtId="37" fontId="7" fillId="9" borderId="2" xfId="0" applyFont="1" applyFill="1" applyBorder="1"/>
    <xf numFmtId="37" fontId="7" fillId="9" borderId="2" xfId="0" applyFont="1" applyFill="1" applyBorder="1" applyAlignment="1">
      <alignment horizontal="centerContinuous"/>
    </xf>
    <xf numFmtId="37" fontId="7" fillId="9" borderId="5" xfId="0" applyFont="1" applyFill="1" applyBorder="1" applyAlignment="1">
      <alignment horizontal="centerContinuous"/>
    </xf>
    <xf numFmtId="37" fontId="7" fillId="6" borderId="0" xfId="0" applyFont="1" applyFill="1" applyAlignment="1">
      <alignment horizontal="centerContinuous"/>
    </xf>
    <xf numFmtId="37" fontId="4" fillId="6" borderId="0" xfId="0" applyFont="1" applyFill="1"/>
    <xf numFmtId="37" fontId="4" fillId="6" borderId="1" xfId="0" applyFont="1" applyFill="1" applyBorder="1"/>
    <xf numFmtId="37" fontId="4" fillId="6" borderId="0" xfId="0" applyFont="1" applyFill="1" applyBorder="1" applyAlignment="1">
      <alignment horizontal="centerContinuous"/>
    </xf>
    <xf numFmtId="175" fontId="7" fillId="0" borderId="1" xfId="0" applyNumberFormat="1" applyFont="1" applyBorder="1" applyAlignment="1">
      <alignment horizontal="right" vertical="center"/>
    </xf>
    <xf numFmtId="37" fontId="4" fillId="7" borderId="5" xfId="0" applyFont="1" applyFill="1" applyBorder="1" applyAlignment="1"/>
    <xf numFmtId="175" fontId="0" fillId="0" borderId="0" xfId="0" applyNumberFormat="1"/>
    <xf numFmtId="175" fontId="4" fillId="6" borderId="19" xfId="0" applyNumberFormat="1" applyFont="1" applyFill="1" applyBorder="1"/>
    <xf numFmtId="37" fontId="4" fillId="7" borderId="14" xfId="0" applyFont="1" applyFill="1" applyBorder="1" applyAlignment="1">
      <alignment horizontal="left"/>
    </xf>
    <xf numFmtId="37" fontId="4" fillId="7" borderId="5" xfId="0" applyFont="1" applyFill="1" applyBorder="1" applyAlignment="1">
      <alignment horizontal="left"/>
    </xf>
    <xf numFmtId="37" fontId="4" fillId="0" borderId="7" xfId="0" applyFont="1" applyFill="1" applyBorder="1" applyAlignment="1">
      <alignment horizontal="centerContinuous" vertical="center"/>
    </xf>
    <xf numFmtId="37" fontId="4" fillId="0" borderId="7" xfId="0" applyFont="1" applyFill="1" applyBorder="1" applyAlignment="1">
      <alignment vertical="center"/>
    </xf>
    <xf numFmtId="37" fontId="4" fillId="0" borderId="24" xfId="0" applyFont="1" applyFill="1" applyBorder="1" applyAlignment="1"/>
    <xf numFmtId="37" fontId="4" fillId="0" borderId="8" xfId="0" applyFont="1" applyFill="1" applyBorder="1" applyAlignment="1">
      <alignment horizontal="centerContinuous"/>
    </xf>
    <xf numFmtId="37" fontId="7" fillId="3" borderId="13" xfId="0" quotePrefix="1" applyFont="1" applyFill="1" applyBorder="1" applyAlignment="1">
      <alignment horizontal="right" vertical="center"/>
    </xf>
    <xf numFmtId="0" fontId="4" fillId="6" borderId="14" xfId="0" applyNumberFormat="1" applyFont="1" applyFill="1" applyBorder="1" applyAlignment="1"/>
    <xf numFmtId="0" fontId="4" fillId="6" borderId="2" xfId="0" applyNumberFormat="1" applyFont="1" applyFill="1" applyBorder="1" applyAlignment="1"/>
    <xf numFmtId="0" fontId="4" fillId="6" borderId="5" xfId="0" applyNumberFormat="1" applyFont="1" applyFill="1" applyBorder="1" applyAlignment="1"/>
    <xf numFmtId="0" fontId="4" fillId="0" borderId="3" xfId="0" applyNumberFormat="1" applyFont="1" applyBorder="1" applyAlignment="1">
      <alignment horizontal="centerContinuous" vertical="center"/>
    </xf>
    <xf numFmtId="0" fontId="4" fillId="0" borderId="3" xfId="0" applyNumberFormat="1" applyFont="1" applyBorder="1" applyAlignment="1" applyProtection="1">
      <alignment horizontal="centerContinuous" vertical="center"/>
    </xf>
    <xf numFmtId="37" fontId="7" fillId="0" borderId="24" xfId="0" quotePrefix="1" applyNumberFormat="1" applyFont="1" applyBorder="1" applyAlignment="1" applyProtection="1">
      <alignment horizontal="left"/>
    </xf>
    <xf numFmtId="37" fontId="4" fillId="3" borderId="17" xfId="0" quotePrefix="1" applyFont="1" applyFill="1" applyBorder="1" applyAlignment="1">
      <alignment horizontal="left"/>
    </xf>
    <xf numFmtId="49" fontId="4" fillId="0" borderId="23" xfId="0" quotePrefix="1" applyNumberFormat="1" applyFont="1" applyBorder="1" applyAlignment="1">
      <alignment horizontal="center" vertical="center"/>
    </xf>
    <xf numFmtId="37" fontId="7" fillId="3" borderId="2" xfId="0" quotePrefix="1" applyFont="1" applyFill="1" applyBorder="1" applyAlignment="1">
      <alignment horizontal="right" vertical="center"/>
    </xf>
    <xf numFmtId="49" fontId="4" fillId="10" borderId="19" xfId="2" applyNumberFormat="1" applyFont="1" applyFill="1" applyBorder="1" applyAlignment="1">
      <alignment vertical="center"/>
    </xf>
    <xf numFmtId="171" fontId="4" fillId="10" borderId="19" xfId="0" applyNumberFormat="1" applyFont="1" applyFill="1" applyBorder="1" applyAlignment="1">
      <alignment vertical="center"/>
    </xf>
    <xf numFmtId="0" fontId="4" fillId="0" borderId="3" xfId="0" applyNumberFormat="1" applyFont="1" applyBorder="1" applyAlignment="1">
      <alignment vertical="center"/>
    </xf>
    <xf numFmtId="166" fontId="7" fillId="0" borderId="2" xfId="0" applyNumberFormat="1" applyFont="1" applyBorder="1" applyAlignment="1" applyProtection="1">
      <alignment horizontal="left"/>
    </xf>
    <xf numFmtId="167" fontId="7" fillId="6" borderId="1" xfId="8" applyNumberFormat="1" applyFont="1" applyFill="1" applyBorder="1"/>
    <xf numFmtId="167" fontId="4" fillId="6" borderId="19" xfId="8" applyNumberFormat="1" applyFont="1" applyFill="1" applyBorder="1"/>
    <xf numFmtId="37" fontId="4" fillId="0" borderId="10" xfId="0" quotePrefix="1" applyFont="1" applyBorder="1" applyAlignment="1">
      <alignment horizontal="right" vertical="center"/>
    </xf>
    <xf numFmtId="37" fontId="4" fillId="0" borderId="35" xfId="0" applyFont="1" applyBorder="1"/>
    <xf numFmtId="37" fontId="4" fillId="0" borderId="37" xfId="0" applyFont="1" applyBorder="1"/>
    <xf numFmtId="37" fontId="4" fillId="3" borderId="14" xfId="0" applyFont="1" applyFill="1" applyBorder="1" applyAlignment="1">
      <alignment horizontal="left"/>
    </xf>
    <xf numFmtId="37" fontId="4" fillId="6" borderId="7" xfId="0" applyFont="1" applyFill="1" applyBorder="1" applyAlignment="1">
      <alignment horizontal="center"/>
    </xf>
    <xf numFmtId="37" fontId="4" fillId="6" borderId="24" xfId="0" applyFont="1" applyFill="1" applyBorder="1" applyAlignment="1">
      <alignment horizontal="center"/>
    </xf>
    <xf numFmtId="37" fontId="4" fillId="9" borderId="1" xfId="0" applyFont="1" applyFill="1" applyBorder="1" applyAlignment="1">
      <alignment horizontal="center"/>
    </xf>
    <xf numFmtId="37" fontId="4" fillId="3" borderId="32" xfId="0" applyFont="1" applyFill="1" applyBorder="1" applyAlignment="1">
      <alignment horizontal="left"/>
    </xf>
    <xf numFmtId="37" fontId="4" fillId="6" borderId="5" xfId="0" applyFont="1" applyFill="1" applyBorder="1"/>
    <xf numFmtId="37" fontId="4" fillId="6" borderId="6" xfId="0" applyFont="1" applyFill="1" applyBorder="1"/>
    <xf numFmtId="37" fontId="4" fillId="6" borderId="4" xfId="0" applyFont="1" applyFill="1" applyBorder="1" applyAlignment="1" applyProtection="1">
      <alignment horizontal="center"/>
    </xf>
    <xf numFmtId="37" fontId="4" fillId="6" borderId="9" xfId="0" applyFont="1" applyFill="1" applyBorder="1" applyAlignment="1" applyProtection="1">
      <alignment horizontal="center"/>
    </xf>
    <xf numFmtId="49" fontId="7" fillId="0" borderId="0" xfId="0" quotePrefix="1" applyNumberFormat="1" applyFont="1" applyAlignment="1">
      <alignment horizontal="left"/>
    </xf>
    <xf numFmtId="37" fontId="7" fillId="0" borderId="0" xfId="0" quotePrefix="1" applyFont="1" applyAlignment="1">
      <alignment horizontal="right"/>
    </xf>
    <xf numFmtId="37" fontId="7" fillId="0" borderId="0" xfId="0" applyNumberFormat="1" applyFont="1" applyAlignment="1" applyProtection="1">
      <alignment horizontal="right"/>
    </xf>
    <xf numFmtId="171" fontId="7" fillId="6" borderId="6" xfId="0" applyNumberFormat="1" applyFont="1" applyFill="1" applyBorder="1" applyAlignment="1">
      <alignment vertical="center"/>
    </xf>
    <xf numFmtId="171" fontId="7" fillId="0" borderId="6" xfId="0" applyNumberFormat="1" applyFont="1" applyBorder="1" applyAlignment="1">
      <alignment vertical="center"/>
    </xf>
    <xf numFmtId="171" fontId="7" fillId="6" borderId="22" xfId="0" applyNumberFormat="1" applyFont="1" applyFill="1" applyBorder="1" applyAlignment="1">
      <alignment vertical="center"/>
    </xf>
    <xf numFmtId="171" fontId="7" fillId="0" borderId="22" xfId="0" applyNumberFormat="1" applyFont="1" applyBorder="1" applyAlignment="1">
      <alignment vertical="center"/>
    </xf>
    <xf numFmtId="171" fontId="4" fillId="6" borderId="18" xfId="0" applyNumberFormat="1" applyFont="1" applyFill="1" applyBorder="1" applyAlignment="1">
      <alignment vertical="center"/>
    </xf>
    <xf numFmtId="171" fontId="4" fillId="6" borderId="33" xfId="0" applyNumberFormat="1" applyFont="1" applyFill="1" applyBorder="1" applyAlignment="1">
      <alignment vertical="center"/>
    </xf>
    <xf numFmtId="37" fontId="4" fillId="6" borderId="7" xfId="0" applyFont="1" applyFill="1" applyBorder="1" applyAlignment="1">
      <alignment vertical="center"/>
    </xf>
    <xf numFmtId="37" fontId="4" fillId="6" borderId="24" xfId="0" applyFont="1" applyFill="1" applyBorder="1" applyAlignment="1">
      <alignment vertical="center"/>
    </xf>
    <xf numFmtId="37" fontId="4" fillId="6" borderId="8" xfId="0" applyFont="1" applyFill="1" applyBorder="1" applyAlignment="1">
      <alignment horizontal="centerContinuous"/>
    </xf>
    <xf numFmtId="169" fontId="4" fillId="0" borderId="24" xfId="8" applyNumberFormat="1" applyFont="1" applyFill="1" applyBorder="1"/>
    <xf numFmtId="37" fontId="3" fillId="0" borderId="0" xfId="0" applyFont="1"/>
    <xf numFmtId="49" fontId="13" fillId="0" borderId="0" xfId="0" applyNumberFormat="1" applyFont="1"/>
    <xf numFmtId="49" fontId="8" fillId="0" borderId="0" xfId="0" quotePrefix="1" applyNumberFormat="1" applyFont="1" applyAlignment="1">
      <alignment horizontal="right"/>
    </xf>
    <xf numFmtId="37" fontId="4" fillId="0" borderId="26" xfId="0" applyNumberFormat="1" applyFont="1" applyBorder="1" applyProtection="1"/>
    <xf numFmtId="0" fontId="4" fillId="6" borderId="8" xfId="5" quotePrefix="1" applyFont="1" applyFill="1" applyBorder="1" applyAlignment="1">
      <alignment horizontal="center"/>
    </xf>
    <xf numFmtId="37" fontId="4" fillId="7" borderId="4" xfId="0" applyFont="1" applyFill="1" applyBorder="1" applyAlignment="1">
      <alignment horizontal="center"/>
    </xf>
    <xf numFmtId="37" fontId="0" fillId="0" borderId="11" xfId="0" applyBorder="1"/>
    <xf numFmtId="49" fontId="7" fillId="0" borderId="0" xfId="5" quotePrefix="1" applyNumberFormat="1" applyFont="1" applyAlignment="1">
      <alignment horizontal="left"/>
    </xf>
    <xf numFmtId="37" fontId="7" fillId="3" borderId="25" xfId="0" applyFont="1" applyFill="1" applyBorder="1" applyAlignment="1">
      <alignment horizontal="centerContinuous"/>
    </xf>
    <xf numFmtId="37" fontId="7" fillId="3" borderId="27" xfId="0" applyFont="1" applyFill="1" applyBorder="1" applyAlignment="1">
      <alignment horizontal="centerContinuous"/>
    </xf>
    <xf numFmtId="37" fontId="4" fillId="6" borderId="24" xfId="0" applyFont="1" applyFill="1" applyBorder="1" applyAlignment="1">
      <alignment horizontal="center" vertical="center"/>
    </xf>
    <xf numFmtId="37" fontId="4" fillId="3" borderId="23" xfId="0" applyFont="1" applyFill="1" applyBorder="1" applyAlignment="1">
      <alignment horizontal="centerContinuous"/>
    </xf>
    <xf numFmtId="37" fontId="0" fillId="0" borderId="0" xfId="0" applyBorder="1"/>
    <xf numFmtId="37" fontId="4" fillId="3" borderId="11" xfId="0" applyFont="1" applyFill="1" applyBorder="1" applyAlignment="1">
      <alignment horizontal="left"/>
    </xf>
    <xf numFmtId="37" fontId="7" fillId="3" borderId="11" xfId="0" applyFont="1" applyFill="1" applyBorder="1"/>
    <xf numFmtId="49" fontId="21" fillId="0" borderId="0" xfId="4" applyNumberFormat="1" applyFont="1" applyAlignment="1" applyProtection="1">
      <alignment horizontal="left" indent="2"/>
    </xf>
    <xf numFmtId="165" fontId="0" fillId="0" borderId="0" xfId="2" applyFont="1"/>
    <xf numFmtId="37" fontId="7" fillId="0" borderId="13" xfId="0" applyFont="1" applyFill="1" applyBorder="1" applyAlignment="1">
      <alignment horizontal="center"/>
    </xf>
    <xf numFmtId="37" fontId="4" fillId="6" borderId="43" xfId="0" applyFont="1" applyFill="1" applyBorder="1" applyAlignment="1">
      <alignment horizontal="centerContinuous"/>
    </xf>
    <xf numFmtId="37" fontId="4" fillId="0" borderId="12" xfId="0" quotePrefix="1" applyFont="1" applyBorder="1" applyAlignment="1">
      <alignment horizontal="center" vertical="center"/>
    </xf>
    <xf numFmtId="37" fontId="4" fillId="0" borderId="2" xfId="0" applyFont="1" applyBorder="1" applyAlignment="1">
      <alignment horizontal="left" vertical="center"/>
    </xf>
    <xf numFmtId="37" fontId="4" fillId="0" borderId="3" xfId="0" quotePrefix="1" applyFont="1" applyBorder="1" applyAlignment="1">
      <alignment horizontal="right" vertical="center"/>
    </xf>
    <xf numFmtId="37" fontId="23" fillId="0" borderId="7" xfId="0" applyFont="1" applyFill="1" applyBorder="1" applyAlignment="1">
      <alignment horizontal="centerContinuous" vertical="center"/>
    </xf>
    <xf numFmtId="37" fontId="12" fillId="0" borderId="12" xfId="0" quotePrefix="1" applyFont="1" applyBorder="1" applyAlignment="1">
      <alignment horizontal="left" vertical="center"/>
    </xf>
    <xf numFmtId="37" fontId="4" fillId="6" borderId="35" xfId="0" applyFont="1" applyFill="1" applyBorder="1" applyAlignment="1">
      <alignment horizontal="center"/>
    </xf>
    <xf numFmtId="49" fontId="4" fillId="0" borderId="23" xfId="0" quotePrefix="1" applyNumberFormat="1" applyFont="1" applyFill="1" applyBorder="1" applyAlignment="1">
      <alignment horizontal="center" vertical="center"/>
    </xf>
    <xf numFmtId="166" fontId="7" fillId="0" borderId="0" xfId="6" applyNumberFormat="1" applyFont="1" applyProtection="1"/>
    <xf numFmtId="0" fontId="7" fillId="3" borderId="0" xfId="6" applyFont="1" applyFill="1"/>
    <xf numFmtId="0" fontId="7" fillId="0" borderId="0" xfId="6" applyFont="1"/>
    <xf numFmtId="0" fontId="4" fillId="0" borderId="2" xfId="6" applyFont="1" applyFill="1" applyBorder="1" applyAlignment="1">
      <alignment horizontal="centerContinuous"/>
    </xf>
    <xf numFmtId="0" fontId="7" fillId="3" borderId="2" xfId="6" applyFont="1" applyFill="1" applyBorder="1" applyAlignment="1">
      <alignment horizontal="centerContinuous"/>
    </xf>
    <xf numFmtId="0" fontId="7" fillId="3" borderId="3" xfId="6" applyFont="1" applyFill="1" applyBorder="1" applyAlignment="1">
      <alignment horizontal="centerContinuous"/>
    </xf>
    <xf numFmtId="0" fontId="4" fillId="0" borderId="8" xfId="6" applyFont="1" applyBorder="1"/>
    <xf numFmtId="0" fontId="4" fillId="0" borderId="0" xfId="6" applyFont="1"/>
    <xf numFmtId="166" fontId="10" fillId="0" borderId="0" xfId="6" applyNumberFormat="1" applyFont="1" applyProtection="1">
      <protection locked="0"/>
    </xf>
    <xf numFmtId="171" fontId="7" fillId="0" borderId="0" xfId="6" applyNumberFormat="1" applyFont="1"/>
    <xf numFmtId="49" fontId="7" fillId="0" borderId="1" xfId="6" applyNumberFormat="1" applyFont="1" applyBorder="1" applyAlignment="1">
      <alignment vertical="center"/>
    </xf>
    <xf numFmtId="171" fontId="7" fillId="0" borderId="1" xfId="6" applyNumberFormat="1" applyFont="1" applyBorder="1" applyAlignment="1">
      <alignment vertical="center"/>
    </xf>
    <xf numFmtId="175" fontId="7" fillId="0" borderId="1" xfId="6" applyNumberFormat="1" applyFont="1" applyBorder="1" applyAlignment="1">
      <alignment vertical="center"/>
    </xf>
    <xf numFmtId="0" fontId="7" fillId="0" borderId="11" xfId="6" applyFont="1" applyBorder="1"/>
    <xf numFmtId="171" fontId="7" fillId="0" borderId="11" xfId="6" applyNumberFormat="1" applyFont="1" applyBorder="1"/>
    <xf numFmtId="0" fontId="7" fillId="0" borderId="0" xfId="6" applyFont="1" applyAlignment="1"/>
    <xf numFmtId="0" fontId="8" fillId="0" borderId="0" xfId="6" applyFont="1" applyAlignment="1"/>
    <xf numFmtId="49" fontId="7" fillId="10" borderId="1" xfId="6" applyNumberFormat="1" applyFont="1" applyFill="1" applyBorder="1" applyAlignment="1">
      <alignment vertical="center"/>
    </xf>
    <xf numFmtId="171" fontId="7" fillId="10" borderId="1" xfId="6" applyNumberFormat="1" applyFont="1" applyFill="1" applyBorder="1" applyAlignment="1">
      <alignment vertical="center"/>
    </xf>
    <xf numFmtId="175" fontId="7" fillId="10" borderId="1" xfId="6" applyNumberFormat="1" applyFont="1" applyFill="1" applyBorder="1" applyAlignment="1">
      <alignment vertical="center"/>
    </xf>
    <xf numFmtId="49" fontId="4" fillId="10" borderId="19" xfId="3" applyNumberFormat="1" applyFont="1" applyFill="1" applyBorder="1" applyAlignment="1">
      <alignment vertical="center"/>
    </xf>
    <xf numFmtId="171" fontId="4" fillId="10" borderId="23" xfId="6" applyNumberFormat="1" applyFont="1" applyFill="1" applyBorder="1"/>
    <xf numFmtId="175" fontId="4" fillId="10" borderId="23" xfId="6" applyNumberFormat="1" applyFont="1" applyFill="1" applyBorder="1"/>
    <xf numFmtId="0" fontId="4" fillId="5" borderId="19" xfId="6" applyNumberFormat="1" applyFont="1" applyFill="1" applyBorder="1" applyAlignment="1">
      <alignment horizontal="center"/>
    </xf>
    <xf numFmtId="39" fontId="3" fillId="0" borderId="0" xfId="7" applyFont="1"/>
    <xf numFmtId="39" fontId="3" fillId="0" borderId="0" xfId="7" applyFont="1" applyAlignment="1">
      <alignment horizontal="left"/>
    </xf>
    <xf numFmtId="39" fontId="3" fillId="0" borderId="3" xfId="7" applyFont="1" applyBorder="1"/>
    <xf numFmtId="176" fontId="3" fillId="0" borderId="3" xfId="7" applyNumberFormat="1" applyFont="1" applyBorder="1" applyProtection="1"/>
    <xf numFmtId="37" fontId="3" fillId="0" borderId="0" xfId="7" applyNumberFormat="1" applyFont="1"/>
    <xf numFmtId="37" fontId="4" fillId="3" borderId="13" xfId="0" applyFont="1" applyFill="1" applyBorder="1" applyAlignment="1">
      <alignment horizontal="left" vertical="center"/>
    </xf>
    <xf numFmtId="37" fontId="7" fillId="0" borderId="0" xfId="0" applyFont="1" applyFill="1"/>
    <xf numFmtId="49" fontId="7" fillId="0" borderId="11" xfId="0" applyNumberFormat="1" applyFont="1" applyBorder="1"/>
    <xf numFmtId="37" fontId="4" fillId="11" borderId="4" xfId="0" applyFont="1" applyFill="1" applyBorder="1" applyAlignment="1">
      <alignment horizontal="centerContinuous"/>
    </xf>
    <xf numFmtId="37" fontId="4" fillId="10" borderId="4" xfId="0" quotePrefix="1" applyFont="1" applyFill="1" applyBorder="1" applyAlignment="1">
      <alignment horizontal="center"/>
    </xf>
    <xf numFmtId="37" fontId="4" fillId="10" borderId="4" xfId="0" applyFont="1" applyFill="1" applyBorder="1" applyAlignment="1">
      <alignment horizontal="center"/>
    </xf>
    <xf numFmtId="37" fontId="4" fillId="3" borderId="32" xfId="0" quotePrefix="1" applyFont="1" applyFill="1" applyBorder="1" applyAlignment="1">
      <alignment horizontal="left"/>
    </xf>
    <xf numFmtId="0" fontId="7" fillId="12" borderId="0" xfId="0" applyNumberFormat="1" applyFont="1" applyFill="1" applyAlignment="1">
      <alignment horizontal="center"/>
    </xf>
    <xf numFmtId="0" fontId="4" fillId="5" borderId="19" xfId="0" applyNumberFormat="1" applyFont="1" applyFill="1" applyBorder="1" applyAlignment="1">
      <alignment horizontal="center"/>
    </xf>
    <xf numFmtId="0" fontId="4" fillId="5" borderId="19" xfId="0" quotePrefix="1" applyNumberFormat="1" applyFont="1" applyFill="1" applyBorder="1" applyAlignment="1">
      <alignment horizontal="center"/>
    </xf>
    <xf numFmtId="37" fontId="4" fillId="6" borderId="35" xfId="0" applyFont="1" applyFill="1" applyBorder="1" applyAlignment="1" applyProtection="1">
      <alignment horizontal="centerContinuous"/>
    </xf>
    <xf numFmtId="37" fontId="4" fillId="6" borderId="37" xfId="0" applyFont="1" applyFill="1" applyBorder="1" applyAlignment="1" applyProtection="1">
      <alignment horizontal="centerContinuous"/>
    </xf>
    <xf numFmtId="37" fontId="4" fillId="6" borderId="38" xfId="0" applyFont="1" applyFill="1" applyBorder="1" applyAlignment="1" applyProtection="1">
      <alignment horizontal="centerContinuous"/>
    </xf>
    <xf numFmtId="37" fontId="26" fillId="0" borderId="0" xfId="0" applyFont="1"/>
    <xf numFmtId="37" fontId="26" fillId="0" borderId="0" xfId="0" applyFont="1" applyAlignment="1">
      <alignment horizontal="right"/>
    </xf>
    <xf numFmtId="37" fontId="26" fillId="0" borderId="0" xfId="0" quotePrefix="1" applyFont="1" applyAlignment="1">
      <alignment horizontal="left"/>
    </xf>
    <xf numFmtId="0" fontId="26" fillId="0" borderId="0" xfId="6" applyFont="1"/>
    <xf numFmtId="171" fontId="26" fillId="0" borderId="0" xfId="6" applyNumberFormat="1" applyFont="1"/>
    <xf numFmtId="177" fontId="26" fillId="0" borderId="0" xfId="6" applyNumberFormat="1" applyFont="1"/>
    <xf numFmtId="173" fontId="7" fillId="0" borderId="0" xfId="0" applyNumberFormat="1" applyFont="1"/>
    <xf numFmtId="0" fontId="7" fillId="0" borderId="0" xfId="5" quotePrefix="1" applyFont="1" applyBorder="1" applyAlignment="1">
      <alignment horizontal="left"/>
    </xf>
    <xf numFmtId="37" fontId="7" fillId="0" borderId="0" xfId="0" quotePrefix="1" applyFont="1"/>
    <xf numFmtId="37" fontId="24" fillId="0" borderId="11" xfId="0" applyFont="1" applyBorder="1"/>
    <xf numFmtId="37" fontId="4" fillId="6" borderId="44" xfId="0" applyFont="1" applyFill="1" applyBorder="1" applyAlignment="1">
      <alignment horizontal="centerContinuous"/>
    </xf>
    <xf numFmtId="37" fontId="4" fillId="8" borderId="9" xfId="0" applyFont="1" applyFill="1" applyBorder="1" applyAlignment="1">
      <alignment horizontal="center" wrapText="1"/>
    </xf>
    <xf numFmtId="37" fontId="4" fillId="8" borderId="9" xfId="0" applyFont="1" applyFill="1" applyBorder="1" applyAlignment="1">
      <alignment wrapText="1"/>
    </xf>
    <xf numFmtId="37" fontId="4" fillId="9" borderId="45" xfId="0" applyFont="1" applyFill="1" applyBorder="1" applyAlignment="1">
      <alignment horizontal="center"/>
    </xf>
    <xf numFmtId="166" fontId="7" fillId="0" borderId="11" xfId="0" applyNumberFormat="1" applyFont="1" applyBorder="1" applyProtection="1"/>
    <xf numFmtId="37" fontId="27" fillId="0" borderId="0" xfId="0" applyFont="1"/>
    <xf numFmtId="182" fontId="7" fillId="0" borderId="0" xfId="7" applyNumberFormat="1" applyFont="1" applyBorder="1" applyProtection="1"/>
    <xf numFmtId="37" fontId="4" fillId="0" borderId="0" xfId="7" applyNumberFormat="1" applyFont="1" applyBorder="1" applyAlignment="1" applyProtection="1">
      <alignment horizontal="centerContinuous"/>
    </xf>
    <xf numFmtId="39" fontId="7" fillId="0" borderId="0" xfId="7" applyFont="1"/>
    <xf numFmtId="166" fontId="7" fillId="0" borderId="2" xfId="7" applyNumberFormat="1" applyFont="1" applyBorder="1" applyAlignment="1" applyProtection="1">
      <alignment horizontal="left"/>
    </xf>
    <xf numFmtId="166" fontId="7" fillId="0" borderId="3" xfId="7" applyNumberFormat="1" applyFont="1" applyBorder="1" applyAlignment="1" applyProtection="1">
      <alignment horizontal="left"/>
    </xf>
    <xf numFmtId="37" fontId="7" fillId="0" borderId="0" xfId="7" applyNumberFormat="1" applyFont="1" applyProtection="1"/>
    <xf numFmtId="39" fontId="4" fillId="0" borderId="14" xfId="7" applyFont="1" applyBorder="1" applyProtection="1"/>
    <xf numFmtId="39" fontId="4" fillId="3" borderId="20" xfId="7" applyFont="1" applyFill="1" applyBorder="1" applyProtection="1"/>
    <xf numFmtId="39" fontId="7" fillId="3" borderId="0" xfId="7" applyFont="1" applyFill="1" applyProtection="1"/>
    <xf numFmtId="168" fontId="7" fillId="10" borderId="1" xfId="7" applyNumberFormat="1" applyFont="1" applyFill="1" applyBorder="1"/>
    <xf numFmtId="168" fontId="7" fillId="3" borderId="1" xfId="7" applyNumberFormat="1" applyFont="1" applyFill="1" applyBorder="1"/>
    <xf numFmtId="168" fontId="4" fillId="10" borderId="19" xfId="7" applyNumberFormat="1" applyFont="1" applyFill="1" applyBorder="1"/>
    <xf numFmtId="168" fontId="7" fillId="0" borderId="0" xfId="7" applyNumberFormat="1" applyFont="1"/>
    <xf numFmtId="39" fontId="7" fillId="0" borderId="1" xfId="7" applyFont="1" applyBorder="1" applyProtection="1"/>
    <xf numFmtId="37" fontId="25" fillId="0" borderId="0" xfId="0" applyFont="1" applyAlignment="1">
      <alignment horizontal="left" indent="5"/>
    </xf>
    <xf numFmtId="37" fontId="7" fillId="0" borderId="31" xfId="0" applyFont="1" applyBorder="1"/>
    <xf numFmtId="0" fontId="7" fillId="0" borderId="0" xfId="0" applyNumberFormat="1" applyFont="1" applyAlignment="1"/>
    <xf numFmtId="37" fontId="4" fillId="6" borderId="52" xfId="0" applyFont="1" applyFill="1" applyBorder="1" applyAlignment="1">
      <alignment horizontal="centerContinuous"/>
    </xf>
    <xf numFmtId="37" fontId="4" fillId="6" borderId="53" xfId="0" applyFont="1" applyFill="1" applyBorder="1" applyAlignment="1">
      <alignment horizontal="centerContinuous"/>
    </xf>
    <xf numFmtId="37" fontId="4" fillId="6" borderId="54" xfId="0" applyFont="1" applyFill="1" applyBorder="1" applyAlignment="1">
      <alignment horizontal="centerContinuous"/>
    </xf>
    <xf numFmtId="37" fontId="4" fillId="6" borderId="55" xfId="0" applyFont="1" applyFill="1" applyBorder="1" applyAlignment="1">
      <alignment horizontal="center"/>
    </xf>
    <xf numFmtId="37" fontId="4" fillId="6" borderId="56" xfId="0" applyFont="1" applyFill="1" applyBorder="1" applyAlignment="1">
      <alignment horizontal="center"/>
    </xf>
    <xf numFmtId="37" fontId="4" fillId="0" borderId="1" xfId="0" quotePrefix="1" applyFont="1" applyBorder="1" applyAlignment="1">
      <alignment horizontal="center"/>
    </xf>
    <xf numFmtId="37" fontId="4" fillId="0" borderId="9" xfId="0" quotePrefix="1" applyFont="1" applyBorder="1" applyAlignment="1">
      <alignment horizontal="center"/>
    </xf>
    <xf numFmtId="37" fontId="15" fillId="3" borderId="2" xfId="0" quotePrefix="1" applyFont="1" applyFill="1" applyBorder="1" applyAlignment="1">
      <alignment horizontal="left" vertical="center"/>
    </xf>
    <xf numFmtId="37" fontId="15" fillId="3" borderId="0" xfId="0" quotePrefix="1" applyFont="1" applyFill="1" applyBorder="1" applyAlignment="1">
      <alignment horizontal="left" vertical="center"/>
    </xf>
    <xf numFmtId="166" fontId="15" fillId="0" borderId="0" xfId="0" quotePrefix="1" applyNumberFormat="1" applyFont="1" applyBorder="1" applyAlignment="1" applyProtection="1">
      <alignment horizontal="left"/>
    </xf>
    <xf numFmtId="37" fontId="15" fillId="0" borderId="0" xfId="0" quotePrefix="1" applyFont="1" applyAlignment="1">
      <alignment horizontal="left"/>
    </xf>
    <xf numFmtId="37" fontId="15" fillId="0" borderId="11" xfId="0" quotePrefix="1" applyFont="1" applyBorder="1" applyAlignment="1">
      <alignment horizontal="left"/>
    </xf>
    <xf numFmtId="166" fontId="15" fillId="0" borderId="11" xfId="0" quotePrefix="1" applyNumberFormat="1" applyFont="1" applyBorder="1" applyAlignment="1" applyProtection="1">
      <alignment horizontal="left" vertical="center"/>
    </xf>
    <xf numFmtId="166" fontId="15" fillId="0" borderId="3" xfId="0" quotePrefix="1" applyNumberFormat="1" applyFont="1" applyBorder="1" applyAlignment="1" applyProtection="1">
      <alignment horizontal="left" vertical="center"/>
    </xf>
    <xf numFmtId="166" fontId="15" fillId="0" borderId="3" xfId="0" quotePrefix="1" applyNumberFormat="1" applyFont="1" applyBorder="1" applyAlignment="1" applyProtection="1">
      <alignment horizontal="left"/>
    </xf>
    <xf numFmtId="37" fontId="4" fillId="3" borderId="3" xfId="6" quotePrefix="1" applyNumberFormat="1" applyFont="1" applyFill="1" applyBorder="1" applyAlignment="1" applyProtection="1">
      <alignment horizontal="centerContinuous" vertical="center"/>
    </xf>
    <xf numFmtId="37" fontId="4" fillId="3" borderId="11" xfId="0" applyFont="1" applyFill="1" applyBorder="1" applyAlignment="1" applyProtection="1">
      <alignment horizontal="centerContinuous" vertical="top"/>
    </xf>
    <xf numFmtId="37" fontId="7" fillId="0" borderId="0" xfId="0" applyFont="1" applyFill="1" applyAlignment="1">
      <alignment horizontal="right"/>
    </xf>
    <xf numFmtId="37" fontId="4" fillId="0" borderId="0" xfId="0" quotePrefix="1" applyFont="1" applyAlignment="1">
      <alignment horizontal="left"/>
    </xf>
    <xf numFmtId="37" fontId="7" fillId="3" borderId="2" xfId="0" applyFont="1" applyFill="1" applyBorder="1"/>
    <xf numFmtId="165" fontId="26" fillId="0" borderId="0" xfId="2" applyFont="1"/>
    <xf numFmtId="37" fontId="28" fillId="0" borderId="0" xfId="0" applyFont="1" applyAlignment="1">
      <alignment horizontal="right"/>
    </xf>
    <xf numFmtId="171" fontId="7" fillId="6" borderId="62" xfId="0" applyNumberFormat="1" applyFont="1" applyFill="1" applyBorder="1" applyAlignment="1">
      <alignment vertical="center"/>
    </xf>
    <xf numFmtId="171" fontId="7" fillId="0" borderId="62" xfId="0" applyNumberFormat="1" applyFont="1" applyBorder="1" applyAlignment="1">
      <alignment vertical="center"/>
    </xf>
    <xf numFmtId="37" fontId="0" fillId="0" borderId="0" xfId="0"/>
    <xf numFmtId="37" fontId="7" fillId="0" borderId="23" xfId="0" applyFont="1" applyBorder="1"/>
    <xf numFmtId="37" fontId="7" fillId="13" borderId="32" xfId="0" applyFont="1" applyFill="1" applyBorder="1" applyAlignment="1">
      <alignment horizontal="right"/>
    </xf>
    <xf numFmtId="37" fontId="7" fillId="13" borderId="23" xfId="0" applyFont="1" applyFill="1" applyBorder="1"/>
    <xf numFmtId="37" fontId="4" fillId="6" borderId="5" xfId="0" applyFont="1" applyFill="1" applyBorder="1" applyAlignment="1">
      <alignment horizontal="center"/>
    </xf>
    <xf numFmtId="37" fontId="4" fillId="3" borderId="14" xfId="0" applyFont="1" applyFill="1" applyBorder="1"/>
    <xf numFmtId="37" fontId="4" fillId="3" borderId="2" xfId="0" applyFont="1" applyFill="1" applyBorder="1"/>
    <xf numFmtId="37" fontId="4" fillId="3" borderId="14" xfId="0" quotePrefix="1" applyFont="1" applyFill="1" applyBorder="1" applyAlignment="1">
      <alignment horizontal="left"/>
    </xf>
    <xf numFmtId="37" fontId="4" fillId="0" borderId="12" xfId="0" applyFont="1" applyFill="1" applyBorder="1" applyAlignment="1">
      <alignment horizontal="centerContinuous"/>
    </xf>
    <xf numFmtId="37" fontId="4" fillId="0" borderId="48" xfId="0" applyFont="1" applyFill="1" applyBorder="1" applyAlignment="1">
      <alignment horizontal="centerContinuous"/>
    </xf>
    <xf numFmtId="37" fontId="4" fillId="0" borderId="35" xfId="0" applyFont="1" applyFill="1" applyBorder="1" applyAlignment="1">
      <alignment horizontal="centerContinuous" vertical="center"/>
    </xf>
    <xf numFmtId="37" fontId="4" fillId="3" borderId="3" xfId="0" applyFont="1" applyFill="1" applyBorder="1" applyAlignment="1">
      <alignment horizontal="centerContinuous"/>
    </xf>
    <xf numFmtId="37" fontId="4" fillId="10" borderId="5" xfId="0" applyNumberFormat="1" applyFont="1" applyFill="1" applyBorder="1" applyAlignment="1" applyProtection="1">
      <alignment horizontal="center"/>
    </xf>
    <xf numFmtId="37" fontId="4" fillId="6" borderId="6" xfId="0" applyFont="1" applyFill="1" applyBorder="1" applyAlignment="1">
      <alignment horizontal="center"/>
    </xf>
    <xf numFmtId="49" fontId="4" fillId="0" borderId="35" xfId="0" applyNumberFormat="1" applyFont="1" applyBorder="1"/>
    <xf numFmtId="49" fontId="4" fillId="0" borderId="37" xfId="0" applyNumberFormat="1" applyFont="1" applyBorder="1"/>
    <xf numFmtId="0" fontId="4" fillId="0" borderId="35" xfId="6" applyFont="1" applyBorder="1"/>
    <xf numFmtId="49" fontId="4" fillId="5" borderId="9" xfId="6" applyNumberFormat="1" applyFont="1" applyFill="1" applyBorder="1" applyAlignment="1">
      <alignment horizontal="center"/>
    </xf>
    <xf numFmtId="0" fontId="4" fillId="5" borderId="9" xfId="6" applyNumberFormat="1" applyFont="1" applyFill="1" applyBorder="1" applyAlignment="1">
      <alignment horizontal="center" vertical="center" wrapText="1"/>
    </xf>
    <xf numFmtId="37" fontId="4" fillId="7" borderId="2" xfId="0" applyFont="1" applyFill="1" applyBorder="1" applyAlignment="1"/>
    <xf numFmtId="0" fontId="4" fillId="5" borderId="9" xfId="0" applyNumberFormat="1" applyFont="1" applyFill="1" applyBorder="1" applyAlignment="1">
      <alignment horizontal="center"/>
    </xf>
    <xf numFmtId="0" fontId="4" fillId="5" borderId="9" xfId="0" quotePrefix="1" applyNumberFormat="1" applyFont="1" applyFill="1" applyBorder="1" applyAlignment="1">
      <alignment horizontal="center"/>
    </xf>
    <xf numFmtId="37" fontId="27" fillId="0" borderId="0" xfId="0" applyFont="1" applyAlignment="1">
      <alignment horizontal="right"/>
    </xf>
    <xf numFmtId="37" fontId="7" fillId="0" borderId="0" xfId="0" applyFont="1" applyBorder="1" applyAlignment="1"/>
    <xf numFmtId="49" fontId="7" fillId="6" borderId="1" xfId="0" quotePrefix="1" applyNumberFormat="1" applyFont="1" applyFill="1" applyBorder="1" applyAlignment="1">
      <alignment horizontal="left"/>
    </xf>
    <xf numFmtId="37" fontId="4" fillId="3" borderId="13" xfId="0" applyFont="1" applyFill="1" applyBorder="1" applyAlignment="1">
      <alignment horizontal="right" vertical="center"/>
    </xf>
    <xf numFmtId="49" fontId="7" fillId="0" borderId="0" xfId="0" applyNumberFormat="1" applyFont="1" applyBorder="1" applyAlignment="1">
      <alignment horizontal="left"/>
    </xf>
    <xf numFmtId="37" fontId="7" fillId="0" borderId="0" xfId="0" applyFont="1" applyAlignment="1">
      <alignment horizontal="center" wrapText="1"/>
    </xf>
    <xf numFmtId="175" fontId="7" fillId="0" borderId="1" xfId="0" quotePrefix="1" applyNumberFormat="1" applyFont="1" applyBorder="1" applyAlignment="1">
      <alignment horizontal="right" vertical="center"/>
    </xf>
    <xf numFmtId="37" fontId="0" fillId="0" borderId="0" xfId="0"/>
    <xf numFmtId="175" fontId="7" fillId="6" borderId="1" xfId="0" applyNumberFormat="1" applyFont="1" applyFill="1" applyBorder="1" applyAlignment="1">
      <alignment horizontal="right" vertical="center"/>
    </xf>
    <xf numFmtId="175" fontId="4" fillId="6" borderId="19" xfId="0" applyNumberFormat="1" applyFont="1" applyFill="1" applyBorder="1" applyAlignment="1">
      <alignment horizontal="right" vertical="center"/>
    </xf>
    <xf numFmtId="173" fontId="7" fillId="0" borderId="0" xfId="0" applyNumberFormat="1" applyFont="1" applyProtection="1"/>
    <xf numFmtId="37" fontId="29" fillId="6" borderId="36" xfId="0" quotePrefix="1" applyFont="1" applyFill="1" applyBorder="1" applyAlignment="1" applyProtection="1">
      <alignment horizontal="center"/>
    </xf>
    <xf numFmtId="37" fontId="0" fillId="0" borderId="0" xfId="0"/>
    <xf numFmtId="37" fontId="7" fillId="12" borderId="0" xfId="0" applyFont="1" applyFill="1"/>
    <xf numFmtId="37" fontId="7" fillId="0" borderId="0" xfId="0" quotePrefix="1" applyFont="1" applyAlignment="1">
      <alignment horizontal="left" vertical="top" wrapText="1"/>
    </xf>
    <xf numFmtId="37" fontId="4" fillId="3" borderId="57" xfId="0" quotePrefix="1" applyFont="1" applyFill="1" applyBorder="1" applyAlignment="1">
      <alignment horizontal="center" wrapText="1"/>
    </xf>
    <xf numFmtId="37" fontId="4" fillId="3" borderId="63" xfId="0" applyFont="1" applyFill="1" applyBorder="1" applyAlignment="1">
      <alignment horizontal="center" wrapText="1"/>
    </xf>
    <xf numFmtId="37" fontId="4" fillId="3" borderId="4" xfId="0" quotePrefix="1" applyFont="1" applyFill="1" applyBorder="1" applyAlignment="1">
      <alignment horizontal="center" wrapText="1"/>
    </xf>
    <xf numFmtId="37" fontId="4" fillId="3" borderId="1" xfId="0" applyFont="1" applyFill="1" applyBorder="1" applyAlignment="1">
      <alignment horizontal="center" wrapText="1"/>
    </xf>
    <xf numFmtId="37" fontId="4" fillId="3" borderId="9" xfId="0" applyFont="1" applyFill="1" applyBorder="1" applyAlignment="1">
      <alignment horizontal="center" wrapText="1"/>
    </xf>
    <xf numFmtId="0" fontId="4" fillId="3" borderId="4" xfId="0" quotePrefix="1" applyNumberFormat="1" applyFont="1" applyFill="1" applyBorder="1" applyAlignment="1">
      <alignment horizontal="center" wrapText="1"/>
    </xf>
    <xf numFmtId="0" fontId="4" fillId="3" borderId="1" xfId="0" applyNumberFormat="1" applyFont="1" applyFill="1" applyBorder="1" applyAlignment="1">
      <alignment horizontal="center" wrapText="1"/>
    </xf>
    <xf numFmtId="0" fontId="4" fillId="3" borderId="9" xfId="0" applyNumberFormat="1" applyFont="1" applyFill="1" applyBorder="1" applyAlignment="1">
      <alignment horizontal="center" wrapText="1"/>
    </xf>
    <xf numFmtId="37" fontId="4" fillId="3" borderId="1" xfId="0" quotePrefix="1" applyFont="1" applyFill="1" applyBorder="1" applyAlignment="1">
      <alignment horizontal="center" wrapText="1"/>
    </xf>
    <xf numFmtId="37" fontId="4" fillId="3" borderId="9" xfId="0" quotePrefix="1" applyFont="1" applyFill="1" applyBorder="1" applyAlignment="1">
      <alignment horizontal="center" wrapText="1"/>
    </xf>
    <xf numFmtId="37" fontId="4" fillId="3" borderId="12" xfId="0" quotePrefix="1" applyFont="1" applyFill="1" applyBorder="1" applyAlignment="1">
      <alignment horizontal="center" vertical="center"/>
    </xf>
    <xf numFmtId="37" fontId="4" fillId="3" borderId="12" xfId="0" applyFont="1" applyFill="1" applyBorder="1" applyAlignment="1">
      <alignment horizontal="center" vertical="center"/>
    </xf>
    <xf numFmtId="37" fontId="4" fillId="3" borderId="11" xfId="0" applyFont="1" applyFill="1" applyBorder="1" applyAlignment="1">
      <alignment horizontal="center" vertical="center"/>
    </xf>
    <xf numFmtId="0" fontId="7" fillId="0" borderId="12" xfId="0" quotePrefix="1" applyNumberFormat="1" applyFont="1" applyBorder="1" applyAlignment="1">
      <alignment horizontal="left" wrapText="1"/>
    </xf>
    <xf numFmtId="0" fontId="7" fillId="0" borderId="0" xfId="0" quotePrefix="1" applyNumberFormat="1" applyFont="1" applyAlignment="1">
      <alignment horizontal="left" wrapText="1"/>
    </xf>
    <xf numFmtId="37" fontId="4" fillId="0" borderId="57" xfId="0" quotePrefix="1" applyFont="1" applyBorder="1" applyAlignment="1" applyProtection="1">
      <alignment horizontal="center" vertical="center" wrapText="1"/>
    </xf>
    <xf numFmtId="37" fontId="4" fillId="0" borderId="63" xfId="0" quotePrefix="1" applyFont="1" applyBorder="1" applyAlignment="1" applyProtection="1">
      <alignment horizontal="center" vertical="center" wrapText="1"/>
    </xf>
    <xf numFmtId="37" fontId="4" fillId="0" borderId="64" xfId="0" quotePrefix="1" applyFont="1" applyBorder="1" applyAlignment="1" applyProtection="1">
      <alignment horizontal="center" vertical="center" wrapText="1"/>
    </xf>
    <xf numFmtId="37" fontId="4" fillId="0" borderId="42" xfId="0" quotePrefix="1" applyFont="1" applyBorder="1" applyAlignment="1" applyProtection="1">
      <alignment horizontal="center" vertical="center" wrapText="1"/>
    </xf>
    <xf numFmtId="37" fontId="4" fillId="0" borderId="65" xfId="0" quotePrefix="1" applyFont="1" applyBorder="1" applyAlignment="1" applyProtection="1">
      <alignment horizontal="center" vertical="center" wrapText="1"/>
    </xf>
    <xf numFmtId="37" fontId="4" fillId="0" borderId="29" xfId="0" quotePrefix="1" applyFont="1" applyBorder="1" applyAlignment="1" applyProtection="1">
      <alignment horizontal="center" vertical="center" wrapText="1"/>
    </xf>
    <xf numFmtId="37" fontId="4" fillId="0" borderId="4" xfId="0" quotePrefix="1" applyFont="1" applyBorder="1" applyAlignment="1" applyProtection="1">
      <alignment horizontal="center" vertical="center" wrapText="1"/>
    </xf>
    <xf numFmtId="37" fontId="4" fillId="0" borderId="9" xfId="0" quotePrefix="1" applyFont="1" applyBorder="1" applyAlignment="1" applyProtection="1">
      <alignment horizontal="center" vertical="center" wrapText="1"/>
    </xf>
    <xf numFmtId="37" fontId="4" fillId="3" borderId="4" xfId="0" applyFont="1" applyFill="1" applyBorder="1" applyAlignment="1">
      <alignment horizontal="center" wrapText="1"/>
    </xf>
    <xf numFmtId="37" fontId="4" fillId="3" borderId="66" xfId="0" quotePrefix="1" applyFont="1" applyFill="1" applyBorder="1" applyAlignment="1">
      <alignment horizontal="center" wrapText="1"/>
    </xf>
    <xf numFmtId="37" fontId="7" fillId="0" borderId="12" xfId="0" quotePrefix="1" applyFont="1" applyBorder="1" applyAlignment="1">
      <alignment horizontal="left" wrapText="1"/>
    </xf>
    <xf numFmtId="37" fontId="7" fillId="0" borderId="0" xfId="0" quotePrefix="1" applyFont="1" applyAlignment="1">
      <alignment horizontal="left" wrapText="1"/>
    </xf>
    <xf numFmtId="37" fontId="4" fillId="3" borderId="60" xfId="0" quotePrefix="1" applyFont="1" applyFill="1" applyBorder="1" applyAlignment="1">
      <alignment horizontal="center" wrapText="1"/>
    </xf>
    <xf numFmtId="37" fontId="4" fillId="3" borderId="67" xfId="0" quotePrefix="1" applyFont="1" applyFill="1" applyBorder="1" applyAlignment="1">
      <alignment horizontal="center" wrapText="1"/>
    </xf>
    <xf numFmtId="37" fontId="4" fillId="3" borderId="61" xfId="0" quotePrefix="1" applyFont="1" applyFill="1" applyBorder="1" applyAlignment="1">
      <alignment horizontal="center" wrapText="1"/>
    </xf>
    <xf numFmtId="49" fontId="4" fillId="0" borderId="39" xfId="0" quotePrefix="1" applyNumberFormat="1" applyFont="1" applyBorder="1" applyAlignment="1">
      <alignment horizontal="center" vertical="center"/>
    </xf>
    <xf numFmtId="49" fontId="4" fillId="0" borderId="13" xfId="0" quotePrefix="1" applyNumberFormat="1" applyFont="1" applyBorder="1" applyAlignment="1">
      <alignment horizontal="center" vertical="center"/>
    </xf>
    <xf numFmtId="49" fontId="4" fillId="0" borderId="51" xfId="0" quotePrefix="1" applyNumberFormat="1" applyFont="1" applyBorder="1" applyAlignment="1">
      <alignment horizontal="center" vertical="center"/>
    </xf>
    <xf numFmtId="37" fontId="4" fillId="3" borderId="59" xfId="0" quotePrefix="1" applyFont="1" applyFill="1" applyBorder="1" applyAlignment="1">
      <alignment horizontal="center" wrapText="1"/>
    </xf>
    <xf numFmtId="37" fontId="4" fillId="3" borderId="60" xfId="0" applyFont="1" applyFill="1" applyBorder="1" applyAlignment="1">
      <alignment horizontal="center" wrapText="1"/>
    </xf>
    <xf numFmtId="37" fontId="4" fillId="3" borderId="57" xfId="0" quotePrefix="1" applyFont="1" applyFill="1" applyBorder="1" applyAlignment="1">
      <alignment horizontal="right" wrapText="1"/>
    </xf>
    <xf numFmtId="37" fontId="4" fillId="3" borderId="63" xfId="0" quotePrefix="1" applyFont="1" applyFill="1" applyBorder="1" applyAlignment="1">
      <alignment horizontal="right" wrapText="1"/>
    </xf>
    <xf numFmtId="37" fontId="4" fillId="0" borderId="20" xfId="0" applyFont="1" applyBorder="1" applyAlignment="1">
      <alignment horizontal="center"/>
    </xf>
    <xf numFmtId="37" fontId="4" fillId="0" borderId="10" xfId="0" applyFont="1" applyBorder="1" applyAlignment="1">
      <alignment horizontal="center"/>
    </xf>
    <xf numFmtId="49" fontId="15" fillId="0" borderId="16" xfId="0" applyNumberFormat="1" applyFont="1" applyBorder="1" applyAlignment="1">
      <alignment horizontal="center" vertical="top" textRotation="180"/>
    </xf>
    <xf numFmtId="37" fontId="4" fillId="6" borderId="4" xfId="0" quotePrefix="1" applyFont="1" applyFill="1" applyBorder="1" applyAlignment="1">
      <alignment horizontal="center" wrapText="1"/>
    </xf>
    <xf numFmtId="37" fontId="4" fillId="6" borderId="9" xfId="0" applyFont="1" applyFill="1" applyBorder="1" applyAlignment="1">
      <alignment horizontal="center" wrapText="1"/>
    </xf>
    <xf numFmtId="37" fontId="4" fillId="6" borderId="4" xfId="0" applyFont="1" applyFill="1" applyBorder="1" applyAlignment="1">
      <alignment horizontal="center" wrapText="1"/>
    </xf>
    <xf numFmtId="37" fontId="4" fillId="6" borderId="58" xfId="0" applyFont="1" applyFill="1" applyBorder="1" applyAlignment="1">
      <alignment horizontal="center" wrapText="1"/>
    </xf>
    <xf numFmtId="37" fontId="4" fillId="6" borderId="68" xfId="0" applyFont="1" applyFill="1" applyBorder="1" applyAlignment="1">
      <alignment horizontal="center" wrapText="1"/>
    </xf>
    <xf numFmtId="37" fontId="4" fillId="6" borderId="7" xfId="0" applyFont="1" applyFill="1" applyBorder="1" applyAlignment="1">
      <alignment horizontal="center" wrapText="1"/>
    </xf>
    <xf numFmtId="37" fontId="4" fillId="6" borderId="8" xfId="0" applyFont="1" applyFill="1" applyBorder="1" applyAlignment="1">
      <alignment horizontal="center" wrapText="1"/>
    </xf>
    <xf numFmtId="49" fontId="15" fillId="0" borderId="15" xfId="0" applyNumberFormat="1" applyFont="1" applyBorder="1" applyAlignment="1">
      <alignment horizontal="right" vertical="center" textRotation="180"/>
    </xf>
    <xf numFmtId="37" fontId="15" fillId="0" borderId="15" xfId="0" applyFont="1" applyBorder="1" applyAlignment="1">
      <alignment horizontal="right" vertical="center" textRotation="180"/>
    </xf>
    <xf numFmtId="37" fontId="4" fillId="6" borderId="14" xfId="0" quotePrefix="1" applyFont="1" applyFill="1" applyBorder="1" applyAlignment="1">
      <alignment horizontal="center" wrapText="1"/>
    </xf>
    <xf numFmtId="37" fontId="4" fillId="6" borderId="5" xfId="0" applyFont="1" applyFill="1" applyBorder="1" applyAlignment="1">
      <alignment horizontal="center" wrapText="1"/>
    </xf>
    <xf numFmtId="37" fontId="4" fillId="6" borderId="20" xfId="0" applyFont="1" applyFill="1" applyBorder="1" applyAlignment="1">
      <alignment horizontal="center" wrapText="1"/>
    </xf>
    <xf numFmtId="37" fontId="4" fillId="6" borderId="10" xfId="0" applyFont="1" applyFill="1" applyBorder="1" applyAlignment="1">
      <alignment horizontal="center" wrapText="1"/>
    </xf>
    <xf numFmtId="37" fontId="4" fillId="6" borderId="14" xfId="0" applyFont="1" applyFill="1" applyBorder="1" applyAlignment="1">
      <alignment horizontal="center" wrapText="1"/>
    </xf>
    <xf numFmtId="37" fontId="4" fillId="6" borderId="20" xfId="0" applyFont="1" applyFill="1" applyBorder="1" applyAlignment="1">
      <alignment horizontal="center"/>
    </xf>
    <xf numFmtId="37" fontId="4" fillId="6" borderId="10" xfId="0" applyFont="1" applyFill="1" applyBorder="1" applyAlignment="1">
      <alignment horizontal="center"/>
    </xf>
    <xf numFmtId="37" fontId="4" fillId="6" borderId="3" xfId="0" applyFont="1" applyFill="1" applyBorder="1" applyAlignment="1">
      <alignment horizontal="center"/>
    </xf>
    <xf numFmtId="37" fontId="4" fillId="6" borderId="2" xfId="0" applyFont="1" applyFill="1" applyBorder="1" applyAlignment="1">
      <alignment horizontal="center" wrapText="1"/>
    </xf>
    <xf numFmtId="37" fontId="4" fillId="6" borderId="3" xfId="0" applyFont="1" applyFill="1" applyBorder="1" applyAlignment="1">
      <alignment horizontal="center" wrapText="1"/>
    </xf>
    <xf numFmtId="37" fontId="4" fillId="6" borderId="17" xfId="0" applyFont="1" applyFill="1" applyBorder="1" applyAlignment="1" applyProtection="1">
      <alignment horizontal="center"/>
    </xf>
    <xf numFmtId="37" fontId="4" fillId="6" borderId="13" xfId="0" applyFont="1" applyFill="1" applyBorder="1" applyAlignment="1" applyProtection="1">
      <alignment horizontal="center"/>
    </xf>
    <xf numFmtId="37" fontId="4" fillId="6" borderId="18" xfId="0" applyFont="1" applyFill="1" applyBorder="1" applyAlignment="1" applyProtection="1">
      <alignment horizontal="center"/>
    </xf>
    <xf numFmtId="37" fontId="4" fillId="3" borderId="22" xfId="0" quotePrefix="1" applyFont="1" applyFill="1" applyBorder="1" applyAlignment="1" applyProtection="1">
      <alignment horizontal="center" wrapText="1"/>
    </xf>
    <xf numFmtId="37" fontId="4" fillId="3" borderId="42" xfId="0" quotePrefix="1" applyFont="1" applyFill="1" applyBorder="1" applyAlignment="1" applyProtection="1">
      <alignment horizontal="center" wrapText="1"/>
    </xf>
    <xf numFmtId="37" fontId="4" fillId="3" borderId="65" xfId="0" quotePrefix="1" applyFont="1" applyFill="1" applyBorder="1" applyAlignment="1" applyProtection="1">
      <alignment horizontal="center" wrapText="1"/>
    </xf>
    <xf numFmtId="37" fontId="4" fillId="3" borderId="28" xfId="0" quotePrefix="1" applyFont="1" applyFill="1" applyBorder="1" applyAlignment="1" applyProtection="1">
      <alignment horizontal="center" wrapText="1"/>
    </xf>
    <xf numFmtId="37" fontId="4" fillId="3" borderId="29" xfId="0" quotePrefix="1" applyFont="1" applyFill="1" applyBorder="1" applyAlignment="1" applyProtection="1">
      <alignment horizontal="center" wrapText="1"/>
    </xf>
    <xf numFmtId="37" fontId="4" fillId="3" borderId="17" xfId="0" applyFont="1" applyFill="1" applyBorder="1" applyAlignment="1" applyProtection="1">
      <alignment horizontal="center"/>
    </xf>
    <xf numFmtId="37" fontId="4" fillId="3" borderId="13" xfId="0" applyFont="1" applyFill="1" applyBorder="1" applyAlignment="1" applyProtection="1">
      <alignment horizontal="center"/>
    </xf>
    <xf numFmtId="37" fontId="4" fillId="3" borderId="18" xfId="0" applyFont="1" applyFill="1" applyBorder="1" applyAlignment="1" applyProtection="1">
      <alignment horizontal="center"/>
    </xf>
    <xf numFmtId="37" fontId="4" fillId="0" borderId="4" xfId="0" quotePrefix="1" applyFont="1" applyBorder="1" applyAlignment="1" applyProtection="1">
      <alignment horizontal="center" wrapText="1"/>
    </xf>
    <xf numFmtId="37" fontId="4" fillId="0" borderId="9" xfId="0" quotePrefix="1" applyFont="1" applyBorder="1" applyAlignment="1" applyProtection="1">
      <alignment horizontal="center" wrapText="1"/>
    </xf>
    <xf numFmtId="0" fontId="7" fillId="0" borderId="12" xfId="0" quotePrefix="1" applyNumberFormat="1" applyFont="1" applyBorder="1" applyAlignment="1">
      <alignment horizontal="left" vertical="top" wrapText="1"/>
    </xf>
    <xf numFmtId="0" fontId="7" fillId="0" borderId="0" xfId="0" quotePrefix="1" applyNumberFormat="1" applyFont="1" applyBorder="1" applyAlignment="1">
      <alignment horizontal="left" vertical="top" wrapText="1"/>
    </xf>
    <xf numFmtId="37" fontId="4" fillId="6" borderId="69" xfId="0" applyFont="1" applyFill="1" applyBorder="1" applyAlignment="1">
      <alignment horizontal="center" wrapText="1"/>
    </xf>
    <xf numFmtId="37" fontId="4" fillId="6" borderId="70" xfId="0" applyFont="1" applyFill="1" applyBorder="1" applyAlignment="1">
      <alignment horizontal="center" wrapText="1"/>
    </xf>
    <xf numFmtId="37" fontId="4" fillId="6" borderId="35" xfId="0" quotePrefix="1" applyFont="1" applyFill="1" applyBorder="1" applyAlignment="1">
      <alignment horizontal="center" wrapText="1"/>
    </xf>
    <xf numFmtId="37" fontId="4" fillId="6" borderId="36" xfId="0" applyFont="1" applyFill="1" applyBorder="1" applyAlignment="1">
      <alignment horizontal="center" wrapText="1"/>
    </xf>
    <xf numFmtId="37" fontId="4" fillId="6" borderId="37" xfId="0" applyFont="1" applyFill="1" applyBorder="1" applyAlignment="1">
      <alignment horizontal="center" wrapText="1"/>
    </xf>
    <xf numFmtId="37" fontId="4" fillId="6" borderId="38" xfId="0" applyFont="1" applyFill="1" applyBorder="1" applyAlignment="1">
      <alignment horizontal="center" wrapText="1"/>
    </xf>
    <xf numFmtId="37" fontId="4" fillId="6" borderId="12" xfId="0" applyFont="1" applyFill="1" applyBorder="1" applyAlignment="1">
      <alignment horizontal="center" wrapText="1"/>
    </xf>
    <xf numFmtId="37" fontId="4" fillId="6" borderId="11" xfId="0" applyFont="1" applyFill="1" applyBorder="1" applyAlignment="1">
      <alignment horizontal="center" wrapText="1"/>
    </xf>
    <xf numFmtId="37" fontId="4" fillId="6" borderId="48" xfId="0" applyFont="1" applyFill="1" applyBorder="1" applyAlignment="1">
      <alignment horizontal="center" wrapText="1"/>
    </xf>
    <xf numFmtId="37" fontId="4" fillId="6" borderId="44" xfId="0" applyFont="1" applyFill="1" applyBorder="1" applyAlignment="1">
      <alignment horizontal="center" wrapText="1"/>
    </xf>
    <xf numFmtId="37" fontId="4" fillId="10" borderId="71" xfId="0" quotePrefix="1" applyFont="1" applyFill="1" applyBorder="1" applyAlignment="1">
      <alignment horizontal="center" wrapText="1"/>
    </xf>
    <xf numFmtId="37" fontId="4" fillId="10" borderId="12" xfId="0" applyFont="1" applyFill="1" applyBorder="1" applyAlignment="1">
      <alignment horizontal="center" wrapText="1"/>
    </xf>
    <xf numFmtId="37" fontId="4" fillId="10" borderId="48" xfId="0" applyFont="1" applyFill="1" applyBorder="1" applyAlignment="1">
      <alignment horizontal="center" wrapText="1"/>
    </xf>
    <xf numFmtId="37" fontId="4" fillId="10" borderId="20" xfId="0" applyFont="1" applyFill="1" applyBorder="1" applyAlignment="1">
      <alignment horizontal="center" wrapText="1"/>
    </xf>
    <xf numFmtId="37" fontId="4" fillId="10" borderId="3" xfId="0" applyFont="1" applyFill="1" applyBorder="1" applyAlignment="1">
      <alignment horizontal="center" wrapText="1"/>
    </xf>
    <xf numFmtId="37" fontId="4" fillId="10" borderId="10" xfId="0" applyFont="1" applyFill="1" applyBorder="1" applyAlignment="1">
      <alignment horizontal="center" wrapText="1"/>
    </xf>
    <xf numFmtId="37" fontId="4" fillId="6" borderId="15" xfId="0" applyFont="1" applyFill="1" applyBorder="1" applyAlignment="1">
      <alignment horizontal="center" wrapText="1"/>
    </xf>
    <xf numFmtId="37" fontId="4" fillId="6" borderId="31" xfId="0" applyFont="1" applyFill="1" applyBorder="1" applyAlignment="1">
      <alignment horizontal="center" wrapText="1"/>
    </xf>
    <xf numFmtId="37" fontId="4" fillId="6" borderId="0" xfId="0" applyFont="1" applyFill="1" applyBorder="1" applyAlignment="1">
      <alignment horizontal="center" wrapText="1"/>
    </xf>
    <xf numFmtId="37" fontId="4" fillId="6" borderId="6" xfId="0" applyFont="1" applyFill="1" applyBorder="1" applyAlignment="1">
      <alignment horizontal="center" wrapText="1"/>
    </xf>
    <xf numFmtId="37" fontId="4" fillId="6" borderId="16" xfId="0" applyFont="1" applyFill="1" applyBorder="1" applyAlignment="1">
      <alignment horizontal="center" wrapText="1"/>
    </xf>
    <xf numFmtId="37" fontId="4" fillId="6" borderId="44" xfId="0" applyFont="1" applyFill="1" applyBorder="1" applyAlignment="1">
      <alignment horizontal="center"/>
    </xf>
    <xf numFmtId="37" fontId="4" fillId="6" borderId="72" xfId="0" quotePrefix="1" applyFont="1" applyFill="1" applyBorder="1" applyAlignment="1">
      <alignment horizontal="center" wrapText="1"/>
    </xf>
    <xf numFmtId="37" fontId="4" fillId="6" borderId="14" xfId="0" applyFont="1" applyFill="1" applyBorder="1" applyAlignment="1">
      <alignment horizontal="center"/>
    </xf>
    <xf numFmtId="37" fontId="4" fillId="6" borderId="2" xfId="0" applyFont="1" applyFill="1" applyBorder="1" applyAlignment="1">
      <alignment horizontal="center"/>
    </xf>
    <xf numFmtId="37" fontId="4" fillId="6" borderId="5" xfId="0" applyFont="1" applyFill="1" applyBorder="1" applyAlignment="1">
      <alignment horizontal="center"/>
    </xf>
    <xf numFmtId="37" fontId="4" fillId="6" borderId="36" xfId="0" quotePrefix="1" applyFont="1" applyFill="1" applyBorder="1" applyAlignment="1">
      <alignment horizontal="center" wrapText="1"/>
    </xf>
    <xf numFmtId="37" fontId="4" fillId="6" borderId="37" xfId="0" quotePrefix="1" applyFont="1" applyFill="1" applyBorder="1" applyAlignment="1">
      <alignment horizontal="center" wrapText="1"/>
    </xf>
    <xf numFmtId="37" fontId="4" fillId="6" borderId="38" xfId="0" quotePrefix="1" applyFont="1" applyFill="1" applyBorder="1" applyAlignment="1">
      <alignment horizontal="center" wrapText="1"/>
    </xf>
    <xf numFmtId="37" fontId="4" fillId="0" borderId="4" xfId="0" quotePrefix="1" applyFont="1" applyBorder="1" applyAlignment="1">
      <alignment horizontal="center" wrapText="1"/>
    </xf>
    <xf numFmtId="37" fontId="4" fillId="0" borderId="9" xfId="0" applyFont="1" applyBorder="1" applyAlignment="1">
      <alignment horizontal="center" wrapText="1"/>
    </xf>
    <xf numFmtId="37" fontId="4" fillId="0" borderId="4" xfId="0" applyFont="1" applyBorder="1" applyAlignment="1">
      <alignment horizontal="center" wrapText="1"/>
    </xf>
    <xf numFmtId="37" fontId="4" fillId="9" borderId="20" xfId="0" applyFont="1" applyFill="1" applyBorder="1" applyAlignment="1">
      <alignment horizontal="center"/>
    </xf>
    <xf numFmtId="37" fontId="4" fillId="9" borderId="3" xfId="0" applyFont="1" applyFill="1" applyBorder="1" applyAlignment="1">
      <alignment horizontal="center"/>
    </xf>
    <xf numFmtId="37" fontId="4" fillId="9" borderId="10" xfId="0" applyFont="1" applyFill="1" applyBorder="1" applyAlignment="1">
      <alignment horizontal="center"/>
    </xf>
    <xf numFmtId="37" fontId="4" fillId="9" borderId="14" xfId="0" quotePrefix="1" applyFont="1" applyFill="1" applyBorder="1" applyAlignment="1">
      <alignment horizontal="center" wrapText="1"/>
    </xf>
    <xf numFmtId="37" fontId="4" fillId="9" borderId="5" xfId="0" applyFont="1" applyFill="1" applyBorder="1" applyAlignment="1">
      <alignment horizontal="center" wrapText="1"/>
    </xf>
    <xf numFmtId="37" fontId="4" fillId="9" borderId="20" xfId="0" applyFont="1" applyFill="1" applyBorder="1" applyAlignment="1">
      <alignment horizontal="center" wrapText="1"/>
    </xf>
    <xf numFmtId="37" fontId="4" fillId="9" borderId="10" xfId="0" applyFont="1" applyFill="1" applyBorder="1" applyAlignment="1">
      <alignment horizontal="center" wrapText="1"/>
    </xf>
    <xf numFmtId="37" fontId="4" fillId="6" borderId="17" xfId="0" applyFont="1" applyFill="1" applyBorder="1" applyAlignment="1">
      <alignment horizontal="center"/>
    </xf>
    <xf numFmtId="37" fontId="4" fillId="6" borderId="13" xfId="0" applyFont="1" applyFill="1" applyBorder="1" applyAlignment="1">
      <alignment horizontal="center"/>
    </xf>
    <xf numFmtId="37" fontId="4" fillId="6" borderId="18" xfId="0" applyFont="1" applyFill="1" applyBorder="1" applyAlignment="1">
      <alignment horizontal="center"/>
    </xf>
    <xf numFmtId="37" fontId="4" fillId="6" borderId="37" xfId="0" applyFont="1" applyFill="1" applyBorder="1" applyAlignment="1">
      <alignment horizontal="center"/>
    </xf>
    <xf numFmtId="37" fontId="4" fillId="6" borderId="11" xfId="0" applyFont="1" applyFill="1" applyBorder="1" applyAlignment="1">
      <alignment horizontal="center"/>
    </xf>
    <xf numFmtId="37" fontId="4" fillId="6" borderId="38" xfId="0" applyFont="1" applyFill="1" applyBorder="1" applyAlignment="1">
      <alignment horizontal="center"/>
    </xf>
    <xf numFmtId="37" fontId="4" fillId="6" borderId="1" xfId="0" applyFont="1" applyFill="1" applyBorder="1" applyAlignment="1">
      <alignment horizontal="center" wrapText="1"/>
    </xf>
    <xf numFmtId="37" fontId="4" fillId="0" borderId="24" xfId="0" quotePrefix="1" applyFont="1" applyFill="1" applyBorder="1" applyAlignment="1">
      <alignment horizontal="center" wrapText="1"/>
    </xf>
    <xf numFmtId="37" fontId="4" fillId="0" borderId="24" xfId="0" applyFont="1" applyFill="1" applyBorder="1" applyAlignment="1">
      <alignment horizontal="center" wrapText="1"/>
    </xf>
    <xf numFmtId="37" fontId="4" fillId="0" borderId="8" xfId="0" applyFont="1" applyFill="1" applyBorder="1" applyAlignment="1">
      <alignment horizontal="center" wrapText="1"/>
    </xf>
    <xf numFmtId="49" fontId="7" fillId="0" borderId="0" xfId="0" quotePrefix="1" applyNumberFormat="1" applyFont="1" applyFill="1" applyAlignment="1">
      <alignment horizontal="left" wrapText="1"/>
    </xf>
    <xf numFmtId="37" fontId="4" fillId="6" borderId="73" xfId="0" applyFont="1" applyFill="1" applyBorder="1" applyAlignment="1">
      <alignment horizontal="center" vertical="center"/>
    </xf>
    <xf numFmtId="37" fontId="4" fillId="6" borderId="30" xfId="0" applyFont="1" applyFill="1" applyBorder="1" applyAlignment="1">
      <alignment horizontal="center" vertical="center"/>
    </xf>
    <xf numFmtId="37" fontId="4" fillId="6" borderId="74" xfId="0" applyFont="1" applyFill="1" applyBorder="1" applyAlignment="1">
      <alignment horizontal="center" vertical="center"/>
    </xf>
    <xf numFmtId="37" fontId="4" fillId="6" borderId="17" xfId="0" applyFont="1" applyFill="1" applyBorder="1" applyAlignment="1">
      <alignment horizontal="center" vertical="center"/>
    </xf>
    <xf numFmtId="37" fontId="4" fillId="6" borderId="13" xfId="0" applyFont="1" applyFill="1" applyBorder="1" applyAlignment="1">
      <alignment horizontal="center" vertical="center"/>
    </xf>
    <xf numFmtId="37" fontId="4" fillId="6" borderId="18" xfId="0" applyFont="1" applyFill="1" applyBorder="1" applyAlignment="1">
      <alignment horizontal="center" vertical="center"/>
    </xf>
    <xf numFmtId="37" fontId="4" fillId="0" borderId="15" xfId="0" applyFont="1" applyFill="1" applyBorder="1" applyAlignment="1">
      <alignment horizontal="center" wrapText="1"/>
    </xf>
    <xf numFmtId="37" fontId="4" fillId="0" borderId="37" xfId="0" applyFont="1" applyFill="1" applyBorder="1" applyAlignment="1">
      <alignment horizontal="center" wrapText="1"/>
    </xf>
    <xf numFmtId="37" fontId="4" fillId="0" borderId="7" xfId="0" quotePrefix="1" applyFont="1" applyBorder="1" applyAlignment="1">
      <alignment horizontal="center" wrapText="1"/>
    </xf>
    <xf numFmtId="37" fontId="4" fillId="0" borderId="24" xfId="0" applyFont="1" applyBorder="1" applyAlignment="1">
      <alignment horizontal="center" wrapText="1"/>
    </xf>
    <xf numFmtId="37" fontId="4" fillId="0" borderId="8" xfId="0" applyFont="1" applyBorder="1" applyAlignment="1">
      <alignment horizontal="center" wrapText="1"/>
    </xf>
    <xf numFmtId="37" fontId="4" fillId="0" borderId="8" xfId="0" quotePrefix="1" applyFont="1" applyFill="1" applyBorder="1" applyAlignment="1">
      <alignment horizontal="center" wrapText="1"/>
    </xf>
    <xf numFmtId="37" fontId="7" fillId="0" borderId="12" xfId="0" applyFont="1" applyBorder="1" applyAlignment="1">
      <alignment horizontal="left" wrapText="1"/>
    </xf>
    <xf numFmtId="37" fontId="7" fillId="0" borderId="0" xfId="0" applyFont="1" applyAlignment="1">
      <alignment horizontal="left" wrapText="1"/>
    </xf>
    <xf numFmtId="37" fontId="4" fillId="6" borderId="1" xfId="0" quotePrefix="1" applyFont="1" applyFill="1" applyBorder="1" applyAlignment="1">
      <alignment horizontal="center" wrapText="1"/>
    </xf>
    <xf numFmtId="37" fontId="4" fillId="6" borderId="9" xfId="0" quotePrefix="1" applyFont="1" applyFill="1" applyBorder="1" applyAlignment="1">
      <alignment horizontal="center" wrapText="1"/>
    </xf>
    <xf numFmtId="37" fontId="4" fillId="6" borderId="69" xfId="0" applyFont="1" applyFill="1" applyBorder="1" applyAlignment="1">
      <alignment horizontal="center"/>
    </xf>
    <xf numFmtId="37" fontId="4" fillId="6" borderId="24" xfId="0" applyFont="1" applyFill="1" applyBorder="1" applyAlignment="1">
      <alignment horizontal="center" wrapText="1"/>
    </xf>
    <xf numFmtId="37" fontId="4" fillId="0" borderId="12" xfId="0" applyFont="1" applyBorder="1" applyAlignment="1">
      <alignment horizontal="center" vertical="center"/>
    </xf>
    <xf numFmtId="37" fontId="4" fillId="0" borderId="11" xfId="0" applyFont="1" applyBorder="1" applyAlignment="1">
      <alignment horizontal="center" vertical="center"/>
    </xf>
    <xf numFmtId="37" fontId="4" fillId="6" borderId="24" xfId="0" quotePrefix="1" applyFont="1" applyFill="1" applyBorder="1" applyAlignment="1">
      <alignment horizontal="center" wrapText="1"/>
    </xf>
    <xf numFmtId="37" fontId="4" fillId="6" borderId="8" xfId="0" quotePrefix="1" applyFont="1" applyFill="1" applyBorder="1" applyAlignment="1">
      <alignment horizontal="center" wrapText="1"/>
    </xf>
    <xf numFmtId="37" fontId="4" fillId="6" borderId="75" xfId="0" quotePrefix="1" applyFont="1" applyFill="1" applyBorder="1" applyAlignment="1">
      <alignment horizontal="center" wrapText="1"/>
    </xf>
    <xf numFmtId="37" fontId="4" fillId="6" borderId="66" xfId="0" quotePrefix="1" applyFont="1" applyFill="1" applyBorder="1" applyAlignment="1">
      <alignment horizontal="center" wrapText="1"/>
    </xf>
    <xf numFmtId="37" fontId="4" fillId="0" borderId="12" xfId="0" quotePrefix="1" applyFont="1" applyBorder="1" applyAlignment="1">
      <alignment horizontal="center" vertical="center"/>
    </xf>
    <xf numFmtId="37" fontId="4" fillId="0" borderId="11" xfId="0" quotePrefix="1" applyFont="1" applyBorder="1" applyAlignment="1">
      <alignment horizontal="center" vertical="center"/>
    </xf>
    <xf numFmtId="37" fontId="4" fillId="6" borderId="62" xfId="0" quotePrefix="1" applyFont="1" applyFill="1" applyBorder="1" applyAlignment="1">
      <alignment horizontal="center" wrapText="1"/>
    </xf>
    <xf numFmtId="37" fontId="4" fillId="6" borderId="63" xfId="0" applyFont="1" applyFill="1" applyBorder="1" applyAlignment="1">
      <alignment horizontal="center" wrapText="1"/>
    </xf>
    <xf numFmtId="37" fontId="4" fillId="7" borderId="12" xfId="0" applyFont="1" applyFill="1" applyBorder="1" applyAlignment="1">
      <alignment horizontal="center"/>
    </xf>
    <xf numFmtId="37" fontId="4" fillId="7" borderId="48" xfId="0" applyFont="1" applyFill="1" applyBorder="1" applyAlignment="1">
      <alignment horizontal="center"/>
    </xf>
    <xf numFmtId="0" fontId="7" fillId="0" borderId="12" xfId="5" quotePrefix="1" applyFont="1" applyBorder="1" applyAlignment="1">
      <alignment horizontal="left" wrapText="1"/>
    </xf>
    <xf numFmtId="0" fontId="7" fillId="0" borderId="0" xfId="5" quotePrefix="1" applyFont="1" applyAlignment="1">
      <alignment horizontal="left" wrapText="1"/>
    </xf>
    <xf numFmtId="37" fontId="4" fillId="7" borderId="41" xfId="0" quotePrefix="1" applyFont="1" applyFill="1" applyBorder="1" applyAlignment="1">
      <alignment horizontal="center" wrapText="1"/>
    </xf>
    <xf numFmtId="37" fontId="4" fillId="7" borderId="22" xfId="0" quotePrefix="1" applyFont="1" applyFill="1" applyBorder="1" applyAlignment="1">
      <alignment horizontal="center" wrapText="1"/>
    </xf>
    <xf numFmtId="37" fontId="4" fillId="7" borderId="42" xfId="0" quotePrefix="1" applyFont="1" applyFill="1" applyBorder="1" applyAlignment="1">
      <alignment horizontal="center" wrapText="1"/>
    </xf>
    <xf numFmtId="37" fontId="4" fillId="9" borderId="1" xfId="0" quotePrefix="1" applyFont="1" applyFill="1" applyBorder="1" applyAlignment="1">
      <alignment horizontal="center" wrapText="1"/>
    </xf>
    <xf numFmtId="37" fontId="4" fillId="9" borderId="9" xfId="0" quotePrefix="1" applyFont="1" applyFill="1" applyBorder="1" applyAlignment="1">
      <alignment horizontal="center" wrapText="1"/>
    </xf>
    <xf numFmtId="37" fontId="4" fillId="9" borderId="28" xfId="0" quotePrefix="1" applyFont="1" applyFill="1" applyBorder="1" applyAlignment="1">
      <alignment horizontal="center" wrapText="1"/>
    </xf>
    <xf numFmtId="37" fontId="4" fillId="9" borderId="29" xfId="0" quotePrefix="1" applyFont="1" applyFill="1" applyBorder="1" applyAlignment="1">
      <alignment horizontal="center" wrapText="1"/>
    </xf>
    <xf numFmtId="49" fontId="7" fillId="0" borderId="0" xfId="5" quotePrefix="1" applyNumberFormat="1" applyFont="1" applyAlignment="1">
      <alignment horizontal="left" wrapText="1"/>
    </xf>
    <xf numFmtId="37" fontId="4" fillId="6" borderId="24" xfId="0" quotePrefix="1" applyFont="1" applyFill="1" applyBorder="1" applyAlignment="1">
      <alignment horizontal="center"/>
    </xf>
    <xf numFmtId="37" fontId="4" fillId="6" borderId="8" xfId="0" applyFont="1" applyFill="1" applyBorder="1" applyAlignment="1">
      <alignment horizontal="center"/>
    </xf>
    <xf numFmtId="37" fontId="4" fillId="3" borderId="14" xfId="0" quotePrefix="1" applyFont="1" applyFill="1" applyBorder="1" applyAlignment="1">
      <alignment horizontal="center"/>
    </xf>
    <xf numFmtId="37" fontId="4" fillId="3" borderId="2" xfId="0" quotePrefix="1" applyFont="1" applyFill="1" applyBorder="1" applyAlignment="1">
      <alignment horizontal="center"/>
    </xf>
    <xf numFmtId="37" fontId="4" fillId="3" borderId="5" xfId="0" quotePrefix="1" applyFont="1" applyFill="1" applyBorder="1" applyAlignment="1">
      <alignment horizontal="center"/>
    </xf>
    <xf numFmtId="37" fontId="4" fillId="6" borderId="7" xfId="0" quotePrefix="1" applyFont="1" applyFill="1" applyBorder="1" applyAlignment="1">
      <alignment horizontal="center" wrapText="1"/>
    </xf>
    <xf numFmtId="37" fontId="4" fillId="0" borderId="12" xfId="0" quotePrefix="1" applyFont="1" applyBorder="1" applyAlignment="1">
      <alignment horizontal="right" vertical="center"/>
    </xf>
    <xf numFmtId="0" fontId="4" fillId="9" borderId="1" xfId="5" quotePrefix="1" applyFont="1" applyFill="1" applyBorder="1" applyAlignment="1">
      <alignment horizontal="center" wrapText="1"/>
    </xf>
    <xf numFmtId="0" fontId="4" fillId="9" borderId="9" xfId="5" quotePrefix="1" applyFont="1" applyFill="1" applyBorder="1" applyAlignment="1">
      <alignment horizontal="center" wrapText="1"/>
    </xf>
    <xf numFmtId="37" fontId="4" fillId="9" borderId="46" xfId="0" quotePrefix="1" applyFont="1" applyFill="1" applyBorder="1" applyAlignment="1">
      <alignment horizontal="center" wrapText="1"/>
    </xf>
    <xf numFmtId="37" fontId="4" fillId="9" borderId="47" xfId="0" quotePrefix="1" applyFont="1" applyFill="1" applyBorder="1" applyAlignment="1">
      <alignment horizontal="center" wrapText="1"/>
    </xf>
    <xf numFmtId="37" fontId="4" fillId="9" borderId="76" xfId="0" quotePrefix="1" applyFont="1" applyFill="1" applyBorder="1" applyAlignment="1">
      <alignment horizontal="center" wrapText="1"/>
    </xf>
    <xf numFmtId="37" fontId="4" fillId="9" borderId="77" xfId="0" quotePrefix="1" applyFont="1" applyFill="1" applyBorder="1" applyAlignment="1">
      <alignment horizontal="center" wrapText="1"/>
    </xf>
    <xf numFmtId="37" fontId="4" fillId="9" borderId="24" xfId="0" quotePrefix="1" applyFont="1" applyFill="1" applyBorder="1" applyAlignment="1">
      <alignment horizontal="center" wrapText="1"/>
    </xf>
    <xf numFmtId="37" fontId="4" fillId="9" borderId="8" xfId="0" quotePrefix="1" applyFont="1" applyFill="1" applyBorder="1" applyAlignment="1">
      <alignment horizontal="center" wrapText="1"/>
    </xf>
    <xf numFmtId="37" fontId="4" fillId="10" borderId="6" xfId="0" quotePrefix="1" applyNumberFormat="1" applyFont="1" applyFill="1" applyBorder="1" applyAlignment="1" applyProtection="1">
      <alignment horizontal="center" wrapText="1"/>
    </xf>
    <xf numFmtId="37" fontId="4" fillId="10" borderId="10" xfId="0" quotePrefix="1" applyNumberFormat="1" applyFont="1" applyFill="1" applyBorder="1" applyAlignment="1" applyProtection="1">
      <alignment horizontal="center" wrapText="1"/>
    </xf>
    <xf numFmtId="37" fontId="4" fillId="10" borderId="7" xfId="0" quotePrefix="1" applyNumberFormat="1" applyFont="1" applyFill="1" applyBorder="1" applyAlignment="1" applyProtection="1">
      <alignment horizontal="center" wrapText="1"/>
    </xf>
    <xf numFmtId="37" fontId="4" fillId="10" borderId="24" xfId="0" quotePrefix="1" applyNumberFormat="1" applyFont="1" applyFill="1" applyBorder="1" applyAlignment="1" applyProtection="1">
      <alignment horizontal="center" wrapText="1"/>
    </xf>
    <xf numFmtId="37" fontId="4" fillId="10" borderId="8" xfId="0" quotePrefix="1" applyNumberFormat="1" applyFont="1" applyFill="1" applyBorder="1" applyAlignment="1" applyProtection="1">
      <alignment horizontal="center" wrapText="1"/>
    </xf>
    <xf numFmtId="37" fontId="4" fillId="6" borderId="4" xfId="0" quotePrefix="1" applyNumberFormat="1" applyFont="1" applyFill="1" applyBorder="1" applyAlignment="1" applyProtection="1">
      <alignment horizontal="center" wrapText="1"/>
    </xf>
    <xf numFmtId="37" fontId="4" fillId="6" borderId="1" xfId="0" applyNumberFormat="1" applyFont="1" applyFill="1" applyBorder="1" applyAlignment="1" applyProtection="1">
      <alignment horizontal="center" wrapText="1"/>
    </xf>
    <xf numFmtId="37" fontId="4" fillId="6" borderId="9" xfId="0" applyNumberFormat="1" applyFont="1" applyFill="1" applyBorder="1" applyAlignment="1" applyProtection="1">
      <alignment horizontal="center" wrapText="1"/>
    </xf>
    <xf numFmtId="37" fontId="4" fillId="10" borderId="1" xfId="0" quotePrefix="1" applyFont="1" applyFill="1" applyBorder="1" applyAlignment="1">
      <alignment horizontal="center" wrapText="1"/>
    </xf>
    <xf numFmtId="37" fontId="4" fillId="10" borderId="9" xfId="0" applyFont="1" applyFill="1" applyBorder="1" applyAlignment="1">
      <alignment horizontal="center" wrapText="1"/>
    </xf>
    <xf numFmtId="37" fontId="4" fillId="11" borderId="62" xfId="0" quotePrefix="1" applyFont="1" applyFill="1" applyBorder="1" applyAlignment="1">
      <alignment horizontal="center" wrapText="1"/>
    </xf>
    <xf numFmtId="37" fontId="4" fillId="11" borderId="63" xfId="0" applyFont="1" applyFill="1" applyBorder="1" applyAlignment="1">
      <alignment horizontal="center" wrapText="1"/>
    </xf>
    <xf numFmtId="0" fontId="7" fillId="0" borderId="0" xfId="0" quotePrefix="1" applyNumberFormat="1" applyFont="1" applyAlignment="1">
      <alignment horizontal="left" vertical="top" wrapText="1"/>
    </xf>
    <xf numFmtId="37" fontId="4" fillId="0" borderId="17" xfId="0" applyFont="1" applyBorder="1" applyAlignment="1">
      <alignment horizontal="center"/>
    </xf>
    <xf numFmtId="37" fontId="4" fillId="0" borderId="13" xfId="0" applyFont="1" applyBorder="1" applyAlignment="1">
      <alignment horizontal="center"/>
    </xf>
    <xf numFmtId="37" fontId="4" fillId="0" borderId="18" xfId="0" applyFont="1" applyBorder="1" applyAlignment="1">
      <alignment horizontal="center"/>
    </xf>
    <xf numFmtId="37" fontId="4" fillId="6" borderId="14" xfId="0" quotePrefix="1" applyFont="1" applyFill="1" applyBorder="1" applyAlignment="1">
      <alignment horizontal="center" vertical="center" wrapText="1"/>
    </xf>
    <xf numFmtId="37" fontId="4" fillId="6" borderId="2" xfId="0" applyFont="1" applyFill="1" applyBorder="1" applyAlignment="1">
      <alignment horizontal="center" vertical="center" wrapText="1"/>
    </xf>
    <xf numFmtId="37" fontId="4" fillId="6" borderId="5" xfId="0" applyFont="1" applyFill="1" applyBorder="1" applyAlignment="1">
      <alignment horizontal="center" vertical="center" wrapText="1"/>
    </xf>
    <xf numFmtId="37" fontId="4" fillId="6" borderId="20" xfId="0" applyFont="1" applyFill="1" applyBorder="1" applyAlignment="1">
      <alignment horizontal="center" vertical="center" wrapText="1"/>
    </xf>
    <xf numFmtId="37" fontId="4" fillId="6" borderId="3" xfId="0" applyFont="1" applyFill="1" applyBorder="1" applyAlignment="1">
      <alignment horizontal="center" vertical="center" wrapText="1"/>
    </xf>
    <xf numFmtId="37" fontId="4" fillId="6" borderId="10" xfId="0" applyFont="1" applyFill="1" applyBorder="1" applyAlignment="1">
      <alignment horizontal="center" vertical="center" wrapText="1"/>
    </xf>
    <xf numFmtId="37" fontId="4" fillId="0" borderId="4" xfId="0" applyFont="1" applyBorder="1" applyAlignment="1">
      <alignment horizontal="center" vertical="center" wrapText="1"/>
    </xf>
    <xf numFmtId="37" fontId="4" fillId="0" borderId="1" xfId="0" applyFont="1" applyBorder="1" applyAlignment="1">
      <alignment horizontal="center" vertical="center" wrapText="1"/>
    </xf>
    <xf numFmtId="37" fontId="4" fillId="0" borderId="9" xfId="0" applyFont="1" applyBorder="1" applyAlignment="1">
      <alignment horizontal="center" vertical="center" wrapText="1"/>
    </xf>
    <xf numFmtId="37" fontId="4" fillId="0" borderId="62" xfId="0" quotePrefix="1" applyFont="1" applyBorder="1" applyAlignment="1">
      <alignment horizontal="center" wrapText="1"/>
    </xf>
    <xf numFmtId="37" fontId="4" fillId="0" borderId="63" xfId="0" quotePrefix="1" applyFont="1" applyBorder="1" applyAlignment="1">
      <alignment horizontal="center" wrapText="1"/>
    </xf>
    <xf numFmtId="37" fontId="4" fillId="0" borderId="1" xfId="0" quotePrefix="1" applyFont="1" applyBorder="1" applyAlignment="1">
      <alignment horizontal="center" wrapText="1"/>
    </xf>
    <xf numFmtId="37" fontId="4" fillId="0" borderId="9" xfId="0" quotePrefix="1" applyFont="1" applyBorder="1" applyAlignment="1">
      <alignment horizontal="center" wrapText="1"/>
    </xf>
    <xf numFmtId="37" fontId="4" fillId="6" borderId="14" xfId="0" applyFont="1" applyFill="1" applyBorder="1" applyAlignment="1">
      <alignment horizontal="center" vertical="center" wrapText="1"/>
    </xf>
    <xf numFmtId="37" fontId="4" fillId="0" borderId="17" xfId="0" applyFont="1" applyBorder="1" applyAlignment="1">
      <alignment horizontal="center" vertical="center"/>
    </xf>
    <xf numFmtId="37" fontId="4" fillId="0" borderId="13" xfId="0" applyFont="1" applyBorder="1" applyAlignment="1">
      <alignment horizontal="center" vertical="center"/>
    </xf>
    <xf numFmtId="37" fontId="4" fillId="0" borderId="18" xfId="0" applyFont="1" applyBorder="1" applyAlignment="1">
      <alignment horizontal="center" vertical="center"/>
    </xf>
    <xf numFmtId="0" fontId="7" fillId="0" borderId="0" xfId="2" quotePrefix="1" applyNumberFormat="1" applyFont="1" applyAlignment="1">
      <alignment horizontal="left" wrapText="1"/>
    </xf>
    <xf numFmtId="37" fontId="4" fillId="0" borderId="62" xfId="0" applyFont="1" applyBorder="1" applyAlignment="1">
      <alignment horizontal="center"/>
    </xf>
    <xf numFmtId="37" fontId="4" fillId="0" borderId="63" xfId="0" applyFont="1" applyBorder="1" applyAlignment="1">
      <alignment horizontal="center"/>
    </xf>
    <xf numFmtId="37" fontId="4" fillId="0" borderId="24" xfId="0" quotePrefix="1" applyFont="1" applyBorder="1" applyAlignment="1">
      <alignment horizontal="center" wrapText="1"/>
    </xf>
    <xf numFmtId="37" fontId="4" fillId="0" borderId="8" xfId="0" quotePrefix="1" applyFont="1" applyBorder="1" applyAlignment="1">
      <alignment horizontal="center" wrapText="1"/>
    </xf>
    <xf numFmtId="37" fontId="4" fillId="0" borderId="57" xfId="0" quotePrefix="1" applyFont="1" applyBorder="1" applyAlignment="1">
      <alignment horizontal="center" wrapText="1"/>
    </xf>
    <xf numFmtId="37" fontId="4" fillId="0" borderId="14" xfId="0" applyFont="1" applyBorder="1" applyAlignment="1">
      <alignment horizontal="center" vertical="center"/>
    </xf>
    <xf numFmtId="37" fontId="4" fillId="0" borderId="2" xfId="0" applyFont="1" applyBorder="1" applyAlignment="1">
      <alignment horizontal="center" vertical="center"/>
    </xf>
    <xf numFmtId="37" fontId="4" fillId="0" borderId="5" xfId="0" applyFont="1" applyBorder="1" applyAlignment="1">
      <alignment horizontal="center" vertical="center"/>
    </xf>
    <xf numFmtId="49" fontId="7" fillId="0" borderId="0" xfId="0" quotePrefix="1" applyNumberFormat="1" applyFont="1" applyAlignment="1">
      <alignment horizontal="left" wrapText="1"/>
    </xf>
    <xf numFmtId="49" fontId="7" fillId="0" borderId="12" xfId="0" quotePrefix="1" applyNumberFormat="1" applyFont="1" applyBorder="1" applyAlignment="1">
      <alignment horizontal="left" wrapText="1"/>
    </xf>
    <xf numFmtId="37" fontId="4" fillId="0" borderId="1" xfId="0" applyFont="1" applyBorder="1" applyAlignment="1">
      <alignment horizontal="center" wrapText="1"/>
    </xf>
    <xf numFmtId="0" fontId="7" fillId="0" borderId="12" xfId="0" quotePrefix="1" applyNumberFormat="1" applyFont="1" applyBorder="1" applyAlignment="1">
      <alignment horizontal="left" vertical="center" wrapText="1"/>
    </xf>
    <xf numFmtId="0" fontId="7" fillId="0" borderId="0" xfId="0" quotePrefix="1" applyNumberFormat="1" applyFont="1" applyBorder="1" applyAlignment="1">
      <alignment horizontal="left" vertical="center" wrapText="1"/>
    </xf>
    <xf numFmtId="37" fontId="4" fillId="6" borderId="32" xfId="8" applyNumberFormat="1" applyFont="1" applyFill="1" applyBorder="1" applyAlignment="1">
      <alignment horizontal="center" vertical="center"/>
    </xf>
    <xf numFmtId="37" fontId="4" fillId="6" borderId="25" xfId="8" applyNumberFormat="1" applyFont="1" applyFill="1" applyBorder="1" applyAlignment="1">
      <alignment horizontal="center" vertical="center"/>
    </xf>
    <xf numFmtId="37" fontId="4" fillId="6" borderId="27" xfId="8" applyNumberFormat="1" applyFont="1" applyFill="1" applyBorder="1" applyAlignment="1">
      <alignment horizontal="center" vertical="center"/>
    </xf>
    <xf numFmtId="37" fontId="4" fillId="7" borderId="32" xfId="0" applyFont="1" applyFill="1" applyBorder="1" applyAlignment="1">
      <alignment horizontal="center" vertical="center"/>
    </xf>
    <xf numFmtId="37" fontId="4" fillId="7" borderId="25" xfId="0" applyFont="1" applyFill="1" applyBorder="1" applyAlignment="1">
      <alignment horizontal="center" vertical="center"/>
    </xf>
    <xf numFmtId="37" fontId="4" fillId="7" borderId="27" xfId="0" applyFont="1" applyFill="1" applyBorder="1" applyAlignment="1">
      <alignment horizontal="center" vertical="center"/>
    </xf>
    <xf numFmtId="0" fontId="7" fillId="0" borderId="0" xfId="0" quotePrefix="1" applyNumberFormat="1" applyFont="1" applyBorder="1" applyAlignment="1">
      <alignment horizontal="left" wrapText="1"/>
    </xf>
    <xf numFmtId="39" fontId="4" fillId="0" borderId="2" xfId="7" applyFont="1" applyBorder="1" applyAlignment="1">
      <alignment horizontal="center" vertical="center"/>
    </xf>
    <xf numFmtId="39" fontId="4" fillId="0" borderId="3" xfId="7" applyFont="1" applyBorder="1" applyAlignment="1">
      <alignment horizontal="center" vertical="center"/>
    </xf>
    <xf numFmtId="37" fontId="4" fillId="8" borderId="14" xfId="0" applyFont="1" applyFill="1" applyBorder="1" applyAlignment="1">
      <alignment horizontal="center" wrapText="1"/>
    </xf>
    <xf numFmtId="37" fontId="4" fillId="8" borderId="9" xfId="0" applyFont="1" applyFill="1" applyBorder="1" applyAlignment="1">
      <alignment horizontal="center" wrapText="1"/>
    </xf>
    <xf numFmtId="37" fontId="4" fillId="8" borderId="5" xfId="0" applyFont="1" applyFill="1" applyBorder="1" applyAlignment="1">
      <alignment horizontal="center" wrapText="1"/>
    </xf>
    <xf numFmtId="37" fontId="4" fillId="8" borderId="4" xfId="0" applyFont="1" applyFill="1" applyBorder="1" applyAlignment="1">
      <alignment horizontal="center" wrapText="1"/>
    </xf>
    <xf numFmtId="37" fontId="7" fillId="0" borderId="2" xfId="9" quotePrefix="1" applyFont="1" applyBorder="1" applyAlignment="1">
      <alignment horizontal="left" vertical="center" wrapText="1"/>
    </xf>
    <xf numFmtId="37" fontId="7" fillId="0" borderId="0" xfId="9" quotePrefix="1" applyFont="1" applyAlignment="1">
      <alignment horizontal="left" vertical="center" wrapText="1"/>
    </xf>
    <xf numFmtId="37" fontId="4" fillId="8" borderId="49" xfId="0" applyFont="1" applyFill="1" applyBorder="1" applyAlignment="1">
      <alignment horizontal="center" wrapText="1"/>
    </xf>
    <xf numFmtId="37" fontId="4" fillId="8" borderId="50" xfId="0" applyFont="1" applyFill="1" applyBorder="1" applyAlignment="1">
      <alignment horizontal="center" wrapText="1"/>
    </xf>
    <xf numFmtId="49" fontId="4" fillId="0" borderId="0" xfId="7" applyNumberFormat="1" applyFont="1" applyFill="1" applyBorder="1" applyAlignment="1" applyProtection="1">
      <alignment horizontal="center"/>
    </xf>
    <xf numFmtId="0" fontId="4" fillId="8" borderId="2" xfId="6" quotePrefix="1" applyFont="1" applyFill="1" applyBorder="1" applyAlignment="1">
      <alignment horizontal="center" wrapText="1"/>
    </xf>
    <xf numFmtId="0" fontId="4" fillId="8" borderId="5" xfId="6" applyFont="1" applyFill="1" applyBorder="1" applyAlignment="1">
      <alignment horizontal="center" wrapText="1"/>
    </xf>
    <xf numFmtId="0" fontId="4" fillId="8" borderId="0" xfId="6" applyFont="1" applyFill="1" applyBorder="1" applyAlignment="1">
      <alignment horizontal="center" wrapText="1"/>
    </xf>
    <xf numFmtId="0" fontId="4" fillId="8" borderId="6" xfId="6" applyFont="1" applyFill="1" applyBorder="1" applyAlignment="1">
      <alignment horizontal="center" wrapText="1"/>
    </xf>
    <xf numFmtId="0" fontId="4" fillId="8" borderId="3" xfId="6" applyFont="1" applyFill="1" applyBorder="1" applyAlignment="1">
      <alignment horizontal="center" wrapText="1"/>
    </xf>
    <xf numFmtId="0" fontId="4" fillId="8" borderId="10" xfId="6" applyFont="1" applyFill="1" applyBorder="1" applyAlignment="1">
      <alignment horizontal="center" wrapText="1"/>
    </xf>
    <xf numFmtId="0" fontId="4" fillId="8" borderId="35" xfId="6" quotePrefix="1" applyFont="1" applyFill="1" applyBorder="1" applyAlignment="1">
      <alignment horizontal="center" wrapText="1"/>
    </xf>
    <xf numFmtId="0" fontId="4" fillId="8" borderId="12" xfId="6" applyFont="1" applyFill="1" applyBorder="1" applyAlignment="1">
      <alignment horizontal="center" wrapText="1"/>
    </xf>
    <xf numFmtId="0" fontId="4" fillId="8" borderId="36" xfId="6" applyFont="1" applyFill="1" applyBorder="1" applyAlignment="1">
      <alignment horizontal="center" wrapText="1"/>
    </xf>
    <xf numFmtId="0" fontId="4" fillId="8" borderId="15" xfId="6" applyFont="1" applyFill="1" applyBorder="1" applyAlignment="1">
      <alignment horizontal="center" wrapText="1"/>
    </xf>
    <xf numFmtId="0" fontId="4" fillId="8" borderId="31" xfId="6" applyFont="1" applyFill="1" applyBorder="1" applyAlignment="1">
      <alignment horizontal="center" wrapText="1"/>
    </xf>
    <xf numFmtId="0" fontId="4" fillId="8" borderId="37" xfId="6" applyFont="1" applyFill="1" applyBorder="1" applyAlignment="1">
      <alignment horizontal="center" wrapText="1"/>
    </xf>
    <xf numFmtId="0" fontId="4" fillId="8" borderId="11" xfId="6" applyFont="1" applyFill="1" applyBorder="1" applyAlignment="1">
      <alignment horizontal="center" wrapText="1"/>
    </xf>
    <xf numFmtId="0" fontId="4" fillId="8" borderId="38" xfId="6" applyFont="1" applyFill="1" applyBorder="1" applyAlignment="1">
      <alignment horizontal="center" wrapText="1"/>
    </xf>
    <xf numFmtId="0" fontId="7" fillId="0" borderId="12" xfId="6" quotePrefix="1" applyFont="1" applyBorder="1" applyAlignment="1">
      <alignment horizontal="left" wrapText="1"/>
    </xf>
    <xf numFmtId="37" fontId="0" fillId="0" borderId="12" xfId="0" applyBorder="1" applyAlignment="1">
      <alignment horizontal="left"/>
    </xf>
    <xf numFmtId="37" fontId="0" fillId="0" borderId="0" xfId="0" applyAlignment="1">
      <alignment horizontal="left"/>
    </xf>
    <xf numFmtId="37" fontId="4" fillId="7" borderId="16" xfId="0" quotePrefix="1" applyFont="1" applyFill="1" applyBorder="1" applyAlignment="1">
      <alignment horizontal="center" wrapText="1"/>
    </xf>
    <xf numFmtId="37" fontId="4" fillId="7" borderId="6" xfId="0" applyFont="1" applyFill="1" applyBorder="1" applyAlignment="1">
      <alignment horizontal="center" wrapText="1"/>
    </xf>
    <xf numFmtId="37" fontId="4" fillId="7" borderId="20" xfId="0" applyFont="1" applyFill="1" applyBorder="1" applyAlignment="1">
      <alignment horizontal="center" wrapText="1"/>
    </xf>
    <xf numFmtId="37" fontId="4" fillId="7" borderId="10" xfId="0" applyFont="1" applyFill="1" applyBorder="1" applyAlignment="1">
      <alignment horizontal="center" wrapText="1"/>
    </xf>
    <xf numFmtId="37" fontId="4" fillId="7" borderId="14" xfId="0" quotePrefix="1" applyFont="1" applyFill="1" applyBorder="1" applyAlignment="1">
      <alignment horizontal="center" wrapText="1"/>
    </xf>
    <xf numFmtId="37" fontId="4" fillId="7" borderId="5" xfId="0" applyFont="1" applyFill="1" applyBorder="1" applyAlignment="1">
      <alignment horizontal="center" wrapText="1"/>
    </xf>
    <xf numFmtId="37" fontId="4" fillId="7" borderId="16" xfId="0" applyFont="1" applyFill="1" applyBorder="1" applyAlignment="1">
      <alignment horizontal="center" wrapText="1"/>
    </xf>
    <xf numFmtId="37" fontId="4" fillId="7" borderId="0" xfId="0" quotePrefix="1" applyFont="1" applyFill="1" applyBorder="1" applyAlignment="1">
      <alignment horizontal="center" wrapText="1"/>
    </xf>
    <xf numFmtId="37" fontId="4" fillId="7" borderId="3" xfId="0" applyFont="1" applyFill="1" applyBorder="1" applyAlignment="1">
      <alignment horizontal="center" wrapText="1"/>
    </xf>
    <xf numFmtId="37" fontId="4" fillId="7" borderId="35" xfId="0" quotePrefix="1" applyFont="1" applyFill="1" applyBorder="1" applyAlignment="1">
      <alignment horizontal="center" wrapText="1"/>
    </xf>
    <xf numFmtId="37" fontId="4" fillId="7" borderId="36" xfId="0" applyFont="1" applyFill="1" applyBorder="1" applyAlignment="1">
      <alignment horizontal="center" wrapText="1"/>
    </xf>
    <xf numFmtId="37" fontId="4" fillId="7" borderId="15" xfId="0" applyFont="1" applyFill="1" applyBorder="1" applyAlignment="1">
      <alignment horizontal="center" wrapText="1"/>
    </xf>
    <xf numFmtId="37" fontId="4" fillId="7" borderId="31" xfId="0" applyFont="1" applyFill="1" applyBorder="1" applyAlignment="1">
      <alignment horizontal="center" wrapText="1"/>
    </xf>
    <xf numFmtId="37" fontId="4" fillId="7" borderId="37" xfId="0" applyFont="1" applyFill="1" applyBorder="1" applyAlignment="1">
      <alignment horizontal="center" wrapText="1"/>
    </xf>
    <xf numFmtId="37" fontId="4" fillId="7" borderId="38" xfId="0" applyFont="1" applyFill="1" applyBorder="1" applyAlignment="1">
      <alignment horizontal="center" wrapText="1"/>
    </xf>
    <xf numFmtId="37" fontId="26" fillId="14" borderId="37" xfId="0" quotePrefix="1" applyFont="1" applyFill="1" applyBorder="1" applyAlignment="1">
      <alignment horizontal="center"/>
    </xf>
    <xf numFmtId="37" fontId="26" fillId="14" borderId="11" xfId="0" applyFont="1" applyFill="1" applyBorder="1" applyAlignment="1">
      <alignment horizontal="center"/>
    </xf>
    <xf numFmtId="37" fontId="26" fillId="14" borderId="38" xfId="0" applyFont="1" applyFill="1" applyBorder="1" applyAlignment="1">
      <alignment horizontal="center"/>
    </xf>
    <xf numFmtId="37" fontId="7" fillId="0" borderId="0" xfId="0" applyFont="1" applyAlignment="1">
      <alignment horizontal="center" wrapText="1"/>
    </xf>
    <xf numFmtId="37" fontId="15" fillId="7" borderId="0" xfId="9" applyFont="1" applyFill="1"/>
    <xf numFmtId="37" fontId="24" fillId="0" borderId="0" xfId="9"/>
    <xf numFmtId="37" fontId="20" fillId="7" borderId="0" xfId="9" quotePrefix="1" applyFont="1" applyFill="1" applyAlignment="1">
      <alignment horizontal="center"/>
    </xf>
    <xf numFmtId="37" fontId="15" fillId="7" borderId="0" xfId="9" applyFont="1" applyFill="1" applyAlignment="1"/>
    <xf numFmtId="37" fontId="15" fillId="7" borderId="0" xfId="9" applyFont="1" applyFill="1" applyAlignment="1">
      <alignment horizontal="left" vertical="top" wrapText="1"/>
    </xf>
    <xf numFmtId="37" fontId="15" fillId="7" borderId="0" xfId="9" applyFont="1" applyFill="1" applyAlignment="1">
      <alignment wrapText="1"/>
    </xf>
    <xf numFmtId="167" fontId="26" fillId="0" borderId="0" xfId="8" applyNumberFormat="1" applyFont="1"/>
  </cellXfs>
  <cellStyles count="10">
    <cellStyle name="BODY" xfId="1"/>
    <cellStyle name="Comma" xfId="2" builtinId="3"/>
    <cellStyle name="Comma_Direct Support" xfId="3"/>
    <cellStyle name="Hyperlink" xfId="4" builtinId="8"/>
    <cellStyle name="Normal" xfId="0" builtinId="0"/>
    <cellStyle name="Normal 2" xfId="9"/>
    <cellStyle name="Normal_06 07 new frame pages" xfId="5"/>
    <cellStyle name="Normal_Direct Support" xfId="6"/>
    <cellStyle name="Normal_Draft Personnel_ 10B" xfId="7"/>
    <cellStyle name="Percent" xfId="8" builtinId="5"/>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externalLink" Target="externalLinks/externalLink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externalLink" Target="externalLinks/externalLink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externalLink" Target="externalLinks/externalLink2.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514350</xdr:colOff>
          <xdr:row>1</xdr:row>
          <xdr:rowOff>76200</xdr:rowOff>
        </xdr:from>
        <xdr:to>
          <xdr:col>4</xdr:col>
          <xdr:colOff>581025</xdr:colOff>
          <xdr:row>3</xdr:row>
          <xdr:rowOff>47625</xdr:rowOff>
        </xdr:to>
        <xdr:sp macro="" textlink="">
          <xdr:nvSpPr>
            <xdr:cNvPr id="225281" name="Button 1" hidden="1">
              <a:extLst>
                <a:ext uri="{63B3BB69-23CF-44E3-9099-C40C66FF867C}">
                  <a14:compatExt spid="_x0000_s225281"/>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CA" sz="900" b="0" i="0" u="none" strike="noStrike" baseline="0">
                  <a:solidFill>
                    <a:srgbClr val="000000"/>
                  </a:solidFill>
                  <a:latin typeface="Times New Roman"/>
                  <a:cs typeface="Times New Roman"/>
                </a:rPr>
                <a:t>Insert Draft Only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1</xdr:row>
          <xdr:rowOff>85725</xdr:rowOff>
        </xdr:from>
        <xdr:to>
          <xdr:col>6</xdr:col>
          <xdr:colOff>95250</xdr:colOff>
          <xdr:row>3</xdr:row>
          <xdr:rowOff>47625</xdr:rowOff>
        </xdr:to>
        <xdr:sp macro="" textlink="">
          <xdr:nvSpPr>
            <xdr:cNvPr id="225282" name="Button 2" hidden="1">
              <a:extLst>
                <a:ext uri="{63B3BB69-23CF-44E3-9099-C40C66FF867C}">
                  <a14:compatExt spid="_x0000_s225282"/>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CA" sz="900" b="0" i="0" u="none" strike="noStrike" baseline="0">
                  <a:solidFill>
                    <a:srgbClr val="000000"/>
                  </a:solidFill>
                  <a:latin typeface="Times New Roman"/>
                  <a:cs typeface="Times New Roman"/>
                </a:rPr>
                <a:t>Delete Draft Only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609600</xdr:colOff>
          <xdr:row>1</xdr:row>
          <xdr:rowOff>66675</xdr:rowOff>
        </xdr:from>
        <xdr:to>
          <xdr:col>8</xdr:col>
          <xdr:colOff>66675</xdr:colOff>
          <xdr:row>3</xdr:row>
          <xdr:rowOff>28575</xdr:rowOff>
        </xdr:to>
        <xdr:sp macro="" textlink="">
          <xdr:nvSpPr>
            <xdr:cNvPr id="225283" name="Button 3" hidden="1">
              <a:extLst>
                <a:ext uri="{63B3BB69-23CF-44E3-9099-C40C66FF867C}">
                  <a14:compatExt spid="_x0000_s225283"/>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CA" sz="900" b="0" i="0" u="none" strike="noStrike" baseline="0">
                  <a:solidFill>
                    <a:srgbClr val="000000"/>
                  </a:solidFill>
                  <a:latin typeface="Times New Roman"/>
                  <a:cs typeface="Times New Roman"/>
                </a:rPr>
                <a:t>Go to A1 in each page</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dusfb/Age%20and%20Area/Age%20and%20Area%202006-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dusfb/Internet%20Projects/Forms/_Web%20Site/FB115A_Feb.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dusfb/Frame/REPORTS/2008-09%20FRAME%20Budge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16-17%20FRAME%20Actua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09-10%20FRAME%20Actu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D"/>
      <sheetName val="Data"/>
      <sheetName val="Form"/>
      <sheetName val="WI"/>
      <sheetName val="List"/>
      <sheetName val="Decades"/>
      <sheetName val="TU's"/>
      <sheetName val="Summary"/>
      <sheetName val="Summary (2)"/>
      <sheetName val="Colony Form"/>
      <sheetName val="Rented Space"/>
    </sheetNames>
    <sheetDataSet>
      <sheetData sheetId="0"/>
      <sheetData sheetId="1">
        <row r="9">
          <cell r="A9" t="str">
            <v>BE</v>
          </cell>
        </row>
        <row r="10">
          <cell r="A10" t="str">
            <v>BE</v>
          </cell>
        </row>
        <row r="11">
          <cell r="A11" t="str">
            <v>BE</v>
          </cell>
        </row>
        <row r="12">
          <cell r="A12" t="str">
            <v>BE</v>
          </cell>
        </row>
        <row r="13">
          <cell r="A13" t="str">
            <v>BE</v>
          </cell>
        </row>
        <row r="14">
          <cell r="A14" t="str">
            <v>BE</v>
          </cell>
        </row>
        <row r="15">
          <cell r="A15" t="str">
            <v>BE</v>
          </cell>
        </row>
        <row r="16">
          <cell r="A16" t="str">
            <v>BE</v>
          </cell>
        </row>
        <row r="17">
          <cell r="A17" t="str">
            <v>BE</v>
          </cell>
        </row>
        <row r="18">
          <cell r="A18" t="str">
            <v>BE</v>
          </cell>
        </row>
        <row r="19">
          <cell r="A19" t="str">
            <v>BE</v>
          </cell>
        </row>
        <row r="20">
          <cell r="A20" t="str">
            <v>BE</v>
          </cell>
        </row>
        <row r="21">
          <cell r="A21" t="str">
            <v>BE</v>
          </cell>
        </row>
        <row r="22">
          <cell r="A22" t="str">
            <v>BE</v>
          </cell>
        </row>
        <row r="23">
          <cell r="A23" t="str">
            <v>BO</v>
          </cell>
        </row>
        <row r="24">
          <cell r="A24" t="str">
            <v>BO</v>
          </cell>
        </row>
        <row r="25">
          <cell r="A25" t="str">
            <v>BO</v>
          </cell>
        </row>
        <row r="26">
          <cell r="A26" t="str">
            <v>BO</v>
          </cell>
        </row>
        <row r="27">
          <cell r="A27" t="str">
            <v>BO</v>
          </cell>
        </row>
        <row r="28">
          <cell r="A28" t="str">
            <v>BO</v>
          </cell>
        </row>
        <row r="29">
          <cell r="A29" t="str">
            <v>BO</v>
          </cell>
        </row>
        <row r="30">
          <cell r="A30" t="str">
            <v>BO</v>
          </cell>
        </row>
        <row r="31">
          <cell r="A31" t="str">
            <v>BO</v>
          </cell>
        </row>
        <row r="32">
          <cell r="A32" t="str">
            <v>BO</v>
          </cell>
        </row>
        <row r="33">
          <cell r="A33" t="str">
            <v>BO</v>
          </cell>
        </row>
        <row r="34">
          <cell r="A34" t="str">
            <v>BO</v>
          </cell>
        </row>
        <row r="35">
          <cell r="A35" t="str">
            <v>BO</v>
          </cell>
        </row>
        <row r="36">
          <cell r="A36" t="str">
            <v>BO</v>
          </cell>
        </row>
        <row r="37">
          <cell r="A37" t="str">
            <v>BO</v>
          </cell>
        </row>
        <row r="38">
          <cell r="A38" t="str">
            <v>BR</v>
          </cell>
        </row>
        <row r="39">
          <cell r="A39" t="str">
            <v>BR</v>
          </cell>
        </row>
        <row r="40">
          <cell r="A40" t="str">
            <v>BR</v>
          </cell>
        </row>
        <row r="41">
          <cell r="A41" t="str">
            <v>BR</v>
          </cell>
        </row>
        <row r="42">
          <cell r="A42" t="str">
            <v>BR</v>
          </cell>
        </row>
        <row r="43">
          <cell r="A43" t="str">
            <v>BR</v>
          </cell>
        </row>
        <row r="44">
          <cell r="A44" t="str">
            <v>BR</v>
          </cell>
        </row>
        <row r="45">
          <cell r="A45" t="str">
            <v>BR</v>
          </cell>
        </row>
        <row r="46">
          <cell r="A46" t="str">
            <v>BR</v>
          </cell>
        </row>
        <row r="47">
          <cell r="A47" t="str">
            <v>BR</v>
          </cell>
        </row>
        <row r="48">
          <cell r="A48" t="str">
            <v>BR</v>
          </cell>
        </row>
        <row r="49">
          <cell r="A49" t="str">
            <v>BR</v>
          </cell>
        </row>
        <row r="50">
          <cell r="A50" t="str">
            <v>BR</v>
          </cell>
        </row>
        <row r="51">
          <cell r="A51" t="str">
            <v>BR</v>
          </cell>
        </row>
        <row r="52">
          <cell r="A52" t="str">
            <v>BR</v>
          </cell>
        </row>
        <row r="53">
          <cell r="A53" t="str">
            <v>BR</v>
          </cell>
        </row>
        <row r="54">
          <cell r="A54" t="str">
            <v>BR</v>
          </cell>
        </row>
        <row r="55">
          <cell r="A55" t="str">
            <v>BR</v>
          </cell>
        </row>
        <row r="57">
          <cell r="A57" t="str">
            <v>BR</v>
          </cell>
        </row>
        <row r="58">
          <cell r="A58" t="str">
            <v>BR</v>
          </cell>
        </row>
        <row r="59">
          <cell r="A59" t="str">
            <v>BR</v>
          </cell>
        </row>
        <row r="60">
          <cell r="A60" t="str">
            <v>DI</v>
          </cell>
        </row>
        <row r="61">
          <cell r="A61" t="str">
            <v>DI</v>
          </cell>
        </row>
        <row r="62">
          <cell r="A62" t="str">
            <v>DI</v>
          </cell>
        </row>
        <row r="64">
          <cell r="A64" t="str">
            <v>DI</v>
          </cell>
        </row>
        <row r="65">
          <cell r="A65" t="str">
            <v>DI</v>
          </cell>
        </row>
        <row r="66">
          <cell r="A66" t="str">
            <v>DI</v>
          </cell>
        </row>
        <row r="67">
          <cell r="A67" t="str">
            <v>DI</v>
          </cell>
        </row>
        <row r="68">
          <cell r="A68" t="str">
            <v>DI</v>
          </cell>
        </row>
        <row r="70">
          <cell r="A70" t="str">
            <v>DI</v>
          </cell>
        </row>
        <row r="71">
          <cell r="A71" t="str">
            <v>DI</v>
          </cell>
        </row>
        <row r="72">
          <cell r="A72" t="str">
            <v>DI</v>
          </cell>
        </row>
        <row r="73">
          <cell r="A73" t="str">
            <v>DI</v>
          </cell>
        </row>
        <row r="74">
          <cell r="A74" t="str">
            <v>DI</v>
          </cell>
        </row>
        <row r="75">
          <cell r="A75" t="str">
            <v>DI</v>
          </cell>
        </row>
        <row r="76">
          <cell r="A76" t="str">
            <v>DI</v>
          </cell>
        </row>
        <row r="77">
          <cell r="A77" t="str">
            <v>DI</v>
          </cell>
        </row>
        <row r="78">
          <cell r="A78" t="str">
            <v>DI</v>
          </cell>
        </row>
        <row r="79">
          <cell r="A79" t="str">
            <v>DI</v>
          </cell>
        </row>
        <row r="80">
          <cell r="A80" t="str">
            <v>DI</v>
          </cell>
        </row>
        <row r="81">
          <cell r="A81" t="str">
            <v>DI</v>
          </cell>
        </row>
        <row r="82">
          <cell r="A82" t="str">
            <v>EV</v>
          </cell>
        </row>
        <row r="83">
          <cell r="A83" t="str">
            <v>EV</v>
          </cell>
        </row>
        <row r="84">
          <cell r="A84" t="str">
            <v>EV</v>
          </cell>
        </row>
        <row r="85">
          <cell r="A85" t="str">
            <v>EV</v>
          </cell>
        </row>
        <row r="86">
          <cell r="A86" t="str">
            <v>EV</v>
          </cell>
        </row>
        <row r="88">
          <cell r="A88" t="str">
            <v>EV</v>
          </cell>
        </row>
        <row r="89">
          <cell r="A89" t="str">
            <v>EV</v>
          </cell>
        </row>
        <row r="90">
          <cell r="A90" t="str">
            <v>FL</v>
          </cell>
        </row>
        <row r="91">
          <cell r="A91" t="str">
            <v>FL</v>
          </cell>
        </row>
        <row r="92">
          <cell r="A92" t="str">
            <v>FL</v>
          </cell>
        </row>
        <row r="93">
          <cell r="A93" t="str">
            <v>FL</v>
          </cell>
        </row>
        <row r="94">
          <cell r="A94" t="str">
            <v>FO</v>
          </cell>
        </row>
        <row r="95">
          <cell r="A95" t="str">
            <v>FO</v>
          </cell>
        </row>
        <row r="96">
          <cell r="A96" t="str">
            <v>FO</v>
          </cell>
        </row>
        <row r="97">
          <cell r="A97" t="str">
            <v>FO</v>
          </cell>
        </row>
        <row r="98">
          <cell r="A98" t="str">
            <v>FO</v>
          </cell>
        </row>
        <row r="99">
          <cell r="A99" t="str">
            <v>FO</v>
          </cell>
        </row>
        <row r="100">
          <cell r="A100" t="str">
            <v>FO</v>
          </cell>
        </row>
        <row r="101">
          <cell r="A101" t="str">
            <v>FO</v>
          </cell>
        </row>
        <row r="102">
          <cell r="A102" t="str">
            <v>FO</v>
          </cell>
        </row>
        <row r="103">
          <cell r="A103" t="str">
            <v>FO</v>
          </cell>
        </row>
        <row r="104">
          <cell r="A104" t="str">
            <v>FO</v>
          </cell>
        </row>
        <row r="105">
          <cell r="A105" t="str">
            <v>FR</v>
          </cell>
        </row>
        <row r="106">
          <cell r="A106" t="str">
            <v>FR</v>
          </cell>
        </row>
        <row r="107">
          <cell r="A107" t="str">
            <v>FR</v>
          </cell>
        </row>
        <row r="108">
          <cell r="A108" t="str">
            <v>FR</v>
          </cell>
        </row>
        <row r="109">
          <cell r="A109" t="str">
            <v>FR</v>
          </cell>
        </row>
        <row r="110">
          <cell r="A110" t="str">
            <v>FR</v>
          </cell>
        </row>
        <row r="111">
          <cell r="A111" t="str">
            <v>FR</v>
          </cell>
        </row>
        <row r="112">
          <cell r="A112" t="str">
            <v>FR</v>
          </cell>
        </row>
        <row r="113">
          <cell r="A113" t="str">
            <v>FR</v>
          </cell>
        </row>
        <row r="114">
          <cell r="A114" t="str">
            <v>FR</v>
          </cell>
        </row>
        <row r="115">
          <cell r="A115" t="str">
            <v>FR</v>
          </cell>
        </row>
        <row r="116">
          <cell r="A116" t="str">
            <v>FR</v>
          </cell>
        </row>
        <row r="117">
          <cell r="A117" t="str">
            <v>FR</v>
          </cell>
        </row>
        <row r="118">
          <cell r="A118" t="str">
            <v>FR</v>
          </cell>
        </row>
        <row r="119">
          <cell r="A119" t="str">
            <v>FR</v>
          </cell>
        </row>
        <row r="120">
          <cell r="A120" t="str">
            <v>FR</v>
          </cell>
        </row>
        <row r="121">
          <cell r="A121" t="str">
            <v>FR</v>
          </cell>
        </row>
        <row r="122">
          <cell r="A122" t="str">
            <v>FR</v>
          </cell>
        </row>
        <row r="123">
          <cell r="A123" t="str">
            <v>FR</v>
          </cell>
        </row>
        <row r="124">
          <cell r="A124" t="str">
            <v>FR</v>
          </cell>
        </row>
        <row r="125">
          <cell r="A125" t="str">
            <v>FR</v>
          </cell>
        </row>
        <row r="126">
          <cell r="A126" t="str">
            <v>FR</v>
          </cell>
        </row>
        <row r="127">
          <cell r="A127" t="str">
            <v>FR</v>
          </cell>
        </row>
        <row r="128">
          <cell r="A128" t="str">
            <v>FR</v>
          </cell>
        </row>
        <row r="129">
          <cell r="A129" t="str">
            <v>FR</v>
          </cell>
        </row>
        <row r="130">
          <cell r="A130" t="str">
            <v>FR</v>
          </cell>
        </row>
        <row r="131">
          <cell r="A131" t="str">
            <v>FR</v>
          </cell>
        </row>
        <row r="132">
          <cell r="A132" t="str">
            <v>FR</v>
          </cell>
        </row>
        <row r="133">
          <cell r="A133" t="str">
            <v>FR</v>
          </cell>
        </row>
        <row r="134">
          <cell r="A134" t="str">
            <v>FR</v>
          </cell>
        </row>
        <row r="135">
          <cell r="A135" t="str">
            <v>FR</v>
          </cell>
        </row>
        <row r="136">
          <cell r="A136" t="str">
            <v>FR</v>
          </cell>
        </row>
        <row r="137">
          <cell r="A137" t="str">
            <v>FR</v>
          </cell>
        </row>
        <row r="138">
          <cell r="A138" t="str">
            <v>FR</v>
          </cell>
        </row>
        <row r="139">
          <cell r="A139" t="str">
            <v>FR</v>
          </cell>
        </row>
        <row r="140">
          <cell r="A140" t="str">
            <v>FR</v>
          </cell>
        </row>
        <row r="141">
          <cell r="A141" t="str">
            <v>FR</v>
          </cell>
        </row>
        <row r="142">
          <cell r="A142" t="str">
            <v>FR</v>
          </cell>
        </row>
        <row r="143">
          <cell r="A143" t="str">
            <v>FR</v>
          </cell>
        </row>
        <row r="144">
          <cell r="A144" t="str">
            <v>GA</v>
          </cell>
        </row>
        <row r="145">
          <cell r="A145" t="str">
            <v>GA</v>
          </cell>
        </row>
        <row r="146">
          <cell r="A146" t="str">
            <v>GA</v>
          </cell>
        </row>
        <row r="147">
          <cell r="A147" t="str">
            <v>GA</v>
          </cell>
        </row>
        <row r="148">
          <cell r="A148" t="str">
            <v>GA</v>
          </cell>
        </row>
        <row r="149">
          <cell r="A149" t="str">
            <v>GA</v>
          </cell>
        </row>
        <row r="150">
          <cell r="A150" t="str">
            <v>GA</v>
          </cell>
        </row>
        <row r="151">
          <cell r="A151" t="str">
            <v>GA</v>
          </cell>
        </row>
        <row r="152">
          <cell r="A152" t="str">
            <v>GA</v>
          </cell>
        </row>
        <row r="153">
          <cell r="A153" t="str">
            <v>GA</v>
          </cell>
        </row>
        <row r="154">
          <cell r="A154" t="str">
            <v>HA</v>
          </cell>
        </row>
        <row r="155">
          <cell r="A155" t="str">
            <v>HA</v>
          </cell>
        </row>
        <row r="156">
          <cell r="A156" t="str">
            <v>HA</v>
          </cell>
        </row>
        <row r="157">
          <cell r="A157" t="str">
            <v>HA</v>
          </cell>
        </row>
        <row r="158">
          <cell r="A158" t="str">
            <v>HA</v>
          </cell>
        </row>
        <row r="159">
          <cell r="A159" t="str">
            <v>HA</v>
          </cell>
        </row>
        <row r="160">
          <cell r="A160" t="str">
            <v>HA</v>
          </cell>
        </row>
        <row r="161">
          <cell r="A161" t="str">
            <v>HA</v>
          </cell>
        </row>
        <row r="162">
          <cell r="A162" t="str">
            <v>HA</v>
          </cell>
        </row>
        <row r="163">
          <cell r="A163" t="str">
            <v>HA</v>
          </cell>
        </row>
        <row r="164">
          <cell r="A164" t="str">
            <v>HA</v>
          </cell>
        </row>
        <row r="165">
          <cell r="A165" t="str">
            <v>HA</v>
          </cell>
        </row>
        <row r="166">
          <cell r="A166" t="str">
            <v>HA</v>
          </cell>
        </row>
        <row r="167">
          <cell r="A167" t="str">
            <v>HA</v>
          </cell>
        </row>
        <row r="168">
          <cell r="A168" t="str">
            <v>HA</v>
          </cell>
        </row>
        <row r="169">
          <cell r="A169" t="str">
            <v>HA</v>
          </cell>
        </row>
        <row r="170">
          <cell r="A170" t="str">
            <v>HA</v>
          </cell>
        </row>
        <row r="171">
          <cell r="A171" t="str">
            <v>IN</v>
          </cell>
        </row>
        <row r="172">
          <cell r="A172" t="str">
            <v>IN</v>
          </cell>
        </row>
        <row r="173">
          <cell r="A173" t="str">
            <v>IN</v>
          </cell>
        </row>
        <row r="174">
          <cell r="A174" t="str">
            <v>IN</v>
          </cell>
        </row>
        <row r="175">
          <cell r="A175" t="str">
            <v>IN</v>
          </cell>
        </row>
        <row r="176">
          <cell r="A176" t="str">
            <v>IN</v>
          </cell>
        </row>
        <row r="177">
          <cell r="A177" t="str">
            <v>IN</v>
          </cell>
        </row>
        <row r="178">
          <cell r="A178" t="str">
            <v>IN</v>
          </cell>
        </row>
        <row r="179">
          <cell r="A179" t="str">
            <v>IN</v>
          </cell>
        </row>
        <row r="180">
          <cell r="A180" t="str">
            <v>IN</v>
          </cell>
        </row>
        <row r="181">
          <cell r="A181" t="str">
            <v>IN</v>
          </cell>
        </row>
        <row r="182">
          <cell r="A182" t="str">
            <v>IN</v>
          </cell>
        </row>
        <row r="183">
          <cell r="A183" t="str">
            <v>IN</v>
          </cell>
        </row>
        <row r="184">
          <cell r="A184" t="str">
            <v>IN</v>
          </cell>
        </row>
        <row r="185">
          <cell r="A185" t="str">
            <v>IN</v>
          </cell>
        </row>
        <row r="186">
          <cell r="A186" t="str">
            <v>IN</v>
          </cell>
        </row>
        <row r="187">
          <cell r="A187" t="str">
            <v>IN</v>
          </cell>
        </row>
        <row r="188">
          <cell r="A188" t="str">
            <v>IN</v>
          </cell>
        </row>
        <row r="189">
          <cell r="A189" t="str">
            <v>IN</v>
          </cell>
        </row>
        <row r="190">
          <cell r="A190" t="str">
            <v>IN</v>
          </cell>
        </row>
        <row r="191">
          <cell r="A191" t="str">
            <v>IN</v>
          </cell>
        </row>
        <row r="192">
          <cell r="A192" t="str">
            <v>KE</v>
          </cell>
        </row>
        <row r="193">
          <cell r="A193" t="str">
            <v>KE</v>
          </cell>
        </row>
        <row r="194">
          <cell r="A194" t="str">
            <v>KE</v>
          </cell>
        </row>
        <row r="195">
          <cell r="A195" t="str">
            <v>KE</v>
          </cell>
        </row>
        <row r="196">
          <cell r="A196" t="str">
            <v>KE</v>
          </cell>
        </row>
        <row r="197">
          <cell r="A197" t="str">
            <v>LA</v>
          </cell>
        </row>
        <row r="198">
          <cell r="A198" t="str">
            <v>LA</v>
          </cell>
        </row>
        <row r="200">
          <cell r="A200" t="str">
            <v>LA</v>
          </cell>
        </row>
        <row r="201">
          <cell r="A201" t="str">
            <v>LA</v>
          </cell>
        </row>
        <row r="202">
          <cell r="A202" t="str">
            <v>LA</v>
          </cell>
        </row>
        <row r="203">
          <cell r="A203" t="str">
            <v>LA</v>
          </cell>
        </row>
        <row r="204">
          <cell r="A204" t="str">
            <v>LA</v>
          </cell>
        </row>
        <row r="205">
          <cell r="A205" t="str">
            <v>LA</v>
          </cell>
        </row>
        <row r="206">
          <cell r="A206" t="str">
            <v>LA</v>
          </cell>
        </row>
        <row r="207">
          <cell r="A207" t="str">
            <v>LO</v>
          </cell>
        </row>
        <row r="208">
          <cell r="A208" t="str">
            <v>LO</v>
          </cell>
        </row>
        <row r="210">
          <cell r="A210" t="str">
            <v>LO</v>
          </cell>
        </row>
        <row r="211">
          <cell r="A211" t="str">
            <v>LO</v>
          </cell>
        </row>
        <row r="212">
          <cell r="A212" t="str">
            <v>LO</v>
          </cell>
        </row>
        <row r="213">
          <cell r="A213" t="str">
            <v>LO</v>
          </cell>
        </row>
        <row r="214">
          <cell r="A214" t="str">
            <v>LO</v>
          </cell>
        </row>
        <row r="215">
          <cell r="A215" t="str">
            <v>LO</v>
          </cell>
        </row>
        <row r="216">
          <cell r="A216" t="str">
            <v>LO</v>
          </cell>
        </row>
        <row r="217">
          <cell r="A217" t="str">
            <v>LO</v>
          </cell>
        </row>
        <row r="218">
          <cell r="A218" t="str">
            <v>LO</v>
          </cell>
        </row>
        <row r="219">
          <cell r="A219" t="str">
            <v>LO</v>
          </cell>
        </row>
        <row r="220">
          <cell r="A220" t="str">
            <v>LO</v>
          </cell>
        </row>
        <row r="221">
          <cell r="A221" t="str">
            <v>LR</v>
          </cell>
        </row>
        <row r="222">
          <cell r="A222" t="str">
            <v>LR</v>
          </cell>
        </row>
        <row r="223">
          <cell r="A223" t="str">
            <v>LR</v>
          </cell>
        </row>
        <row r="224">
          <cell r="A224" t="str">
            <v>LR</v>
          </cell>
        </row>
        <row r="225">
          <cell r="A225" t="str">
            <v>LR</v>
          </cell>
        </row>
        <row r="226">
          <cell r="A226" t="str">
            <v>LR</v>
          </cell>
        </row>
        <row r="227">
          <cell r="A227" t="str">
            <v>LR</v>
          </cell>
        </row>
        <row r="228">
          <cell r="A228" t="str">
            <v>LR</v>
          </cell>
        </row>
        <row r="229">
          <cell r="A229" t="str">
            <v>LR</v>
          </cell>
        </row>
        <row r="230">
          <cell r="A230" t="str">
            <v>LR</v>
          </cell>
        </row>
        <row r="231">
          <cell r="A231" t="str">
            <v>LR</v>
          </cell>
        </row>
        <row r="232">
          <cell r="A232" t="str">
            <v>LR</v>
          </cell>
        </row>
        <row r="233">
          <cell r="A233" t="str">
            <v>LR</v>
          </cell>
        </row>
        <row r="234">
          <cell r="A234" t="str">
            <v>LR</v>
          </cell>
        </row>
        <row r="235">
          <cell r="A235" t="str">
            <v>LR</v>
          </cell>
        </row>
        <row r="236">
          <cell r="A236" t="str">
            <v>LR</v>
          </cell>
        </row>
        <row r="237">
          <cell r="A237" t="str">
            <v>LR</v>
          </cell>
        </row>
        <row r="238">
          <cell r="A238" t="str">
            <v>LR</v>
          </cell>
        </row>
        <row r="239">
          <cell r="A239" t="str">
            <v>LR</v>
          </cell>
        </row>
        <row r="240">
          <cell r="A240" t="str">
            <v>LR</v>
          </cell>
        </row>
        <row r="241">
          <cell r="A241" t="str">
            <v>LR</v>
          </cell>
        </row>
        <row r="242">
          <cell r="A242" t="str">
            <v>LR</v>
          </cell>
        </row>
        <row r="243">
          <cell r="A243" t="str">
            <v>LR</v>
          </cell>
        </row>
        <row r="244">
          <cell r="A244" t="str">
            <v>LR</v>
          </cell>
        </row>
        <row r="245">
          <cell r="A245" t="str">
            <v>LR</v>
          </cell>
        </row>
        <row r="246">
          <cell r="A246" t="str">
            <v>LR</v>
          </cell>
        </row>
        <row r="247">
          <cell r="A247" t="str">
            <v>LR</v>
          </cell>
        </row>
        <row r="248">
          <cell r="A248" t="str">
            <v>LR</v>
          </cell>
        </row>
        <row r="249">
          <cell r="A249" t="str">
            <v>LR</v>
          </cell>
        </row>
        <row r="250">
          <cell r="A250" t="str">
            <v>LR</v>
          </cell>
        </row>
        <row r="251">
          <cell r="A251" t="str">
            <v>LR</v>
          </cell>
        </row>
        <row r="252">
          <cell r="A252" t="str">
            <v>LR</v>
          </cell>
        </row>
        <row r="253">
          <cell r="A253" t="str">
            <v>LR</v>
          </cell>
        </row>
        <row r="254">
          <cell r="A254" t="str">
            <v>LR</v>
          </cell>
        </row>
        <row r="255">
          <cell r="A255" t="str">
            <v>LR</v>
          </cell>
        </row>
        <row r="256">
          <cell r="A256" t="str">
            <v>LR</v>
          </cell>
        </row>
        <row r="257">
          <cell r="A257" t="str">
            <v>LR</v>
          </cell>
        </row>
        <row r="258">
          <cell r="A258" t="str">
            <v>LR</v>
          </cell>
        </row>
        <row r="259">
          <cell r="A259" t="str">
            <v>LR</v>
          </cell>
        </row>
        <row r="260">
          <cell r="A260" t="str">
            <v>MO</v>
          </cell>
        </row>
        <row r="261">
          <cell r="A261" t="str">
            <v>MO</v>
          </cell>
        </row>
        <row r="262">
          <cell r="A262" t="str">
            <v>MO</v>
          </cell>
        </row>
        <row r="263">
          <cell r="A263" t="str">
            <v>MO</v>
          </cell>
        </row>
        <row r="264">
          <cell r="A264" t="str">
            <v>MO</v>
          </cell>
        </row>
        <row r="265">
          <cell r="A265" t="str">
            <v>MO</v>
          </cell>
        </row>
        <row r="266">
          <cell r="A266" t="str">
            <v>MO</v>
          </cell>
        </row>
        <row r="267">
          <cell r="A267" t="str">
            <v>MO</v>
          </cell>
        </row>
        <row r="268">
          <cell r="A268" t="str">
            <v>MO</v>
          </cell>
        </row>
        <row r="269">
          <cell r="A269" t="str">
            <v>MO</v>
          </cell>
        </row>
        <row r="270">
          <cell r="A270" t="str">
            <v>MO</v>
          </cell>
        </row>
        <row r="271">
          <cell r="A271" t="str">
            <v>MO</v>
          </cell>
        </row>
        <row r="272">
          <cell r="A272" t="str">
            <v>MO</v>
          </cell>
        </row>
        <row r="273">
          <cell r="A273" t="str">
            <v>MO</v>
          </cell>
        </row>
        <row r="274">
          <cell r="A274" t="str">
            <v>MO</v>
          </cell>
        </row>
        <row r="275">
          <cell r="A275" t="str">
            <v>MO</v>
          </cell>
        </row>
        <row r="276">
          <cell r="A276" t="str">
            <v>MY</v>
          </cell>
        </row>
        <row r="277">
          <cell r="A277" t="str">
            <v>MY</v>
          </cell>
        </row>
        <row r="278">
          <cell r="A278" t="str">
            <v>MY</v>
          </cell>
        </row>
        <row r="279">
          <cell r="A279" t="str">
            <v>MY</v>
          </cell>
        </row>
        <row r="280">
          <cell r="A280" t="str">
            <v>MY</v>
          </cell>
        </row>
        <row r="281">
          <cell r="A281" t="str">
            <v>MY</v>
          </cell>
        </row>
        <row r="282">
          <cell r="A282" t="str">
            <v>MY</v>
          </cell>
        </row>
        <row r="283">
          <cell r="A283" t="str">
            <v>PA</v>
          </cell>
        </row>
        <row r="284">
          <cell r="A284" t="str">
            <v>PA</v>
          </cell>
        </row>
        <row r="285">
          <cell r="A285" t="str">
            <v>PA</v>
          </cell>
        </row>
        <row r="286">
          <cell r="A286" t="str">
            <v>PA</v>
          </cell>
        </row>
        <row r="287">
          <cell r="A287" t="str">
            <v>PA</v>
          </cell>
        </row>
        <row r="288">
          <cell r="A288" t="str">
            <v>PA</v>
          </cell>
        </row>
        <row r="289">
          <cell r="A289" t="str">
            <v>PA</v>
          </cell>
        </row>
        <row r="290">
          <cell r="A290" t="str">
            <v>PA</v>
          </cell>
        </row>
        <row r="291">
          <cell r="A291" t="str">
            <v>PA</v>
          </cell>
        </row>
        <row r="292">
          <cell r="A292" t="str">
            <v>PA</v>
          </cell>
        </row>
        <row r="293">
          <cell r="A293" t="str">
            <v>PA</v>
          </cell>
        </row>
        <row r="294">
          <cell r="A294" t="str">
            <v>PA</v>
          </cell>
        </row>
        <row r="295">
          <cell r="A295" t="str">
            <v>PA</v>
          </cell>
        </row>
        <row r="296">
          <cell r="A296" t="str">
            <v>PA</v>
          </cell>
        </row>
        <row r="297">
          <cell r="A297" t="str">
            <v>PE</v>
          </cell>
        </row>
        <row r="298">
          <cell r="A298" t="str">
            <v>PE</v>
          </cell>
        </row>
        <row r="299">
          <cell r="A299" t="str">
            <v>PE</v>
          </cell>
        </row>
        <row r="300">
          <cell r="A300" t="str">
            <v>PE</v>
          </cell>
        </row>
        <row r="301">
          <cell r="A301" t="str">
            <v>PE</v>
          </cell>
        </row>
        <row r="302">
          <cell r="A302" t="str">
            <v>PE</v>
          </cell>
        </row>
        <row r="303">
          <cell r="A303" t="str">
            <v>PE</v>
          </cell>
        </row>
        <row r="304">
          <cell r="A304" t="str">
            <v>PE</v>
          </cell>
        </row>
        <row r="305">
          <cell r="A305" t="str">
            <v>PE</v>
          </cell>
        </row>
        <row r="306">
          <cell r="A306" t="str">
            <v>PE</v>
          </cell>
        </row>
        <row r="307">
          <cell r="A307" t="str">
            <v>PE</v>
          </cell>
        </row>
        <row r="308">
          <cell r="A308" t="str">
            <v>PE</v>
          </cell>
        </row>
        <row r="309">
          <cell r="A309" t="str">
            <v>PE</v>
          </cell>
        </row>
        <row r="310">
          <cell r="A310" t="str">
            <v>PE</v>
          </cell>
        </row>
        <row r="311">
          <cell r="A311" t="str">
            <v>PE</v>
          </cell>
        </row>
        <row r="312">
          <cell r="A312" t="str">
            <v>PE</v>
          </cell>
        </row>
        <row r="313">
          <cell r="A313" t="str">
            <v>PE</v>
          </cell>
        </row>
        <row r="314">
          <cell r="A314" t="str">
            <v>PE</v>
          </cell>
        </row>
        <row r="315">
          <cell r="A315" t="str">
            <v>PE</v>
          </cell>
        </row>
        <row r="316">
          <cell r="A316" t="str">
            <v>PE</v>
          </cell>
        </row>
        <row r="317">
          <cell r="A317" t="str">
            <v>PE</v>
          </cell>
        </row>
        <row r="318">
          <cell r="A318" t="str">
            <v>PE</v>
          </cell>
        </row>
        <row r="319">
          <cell r="A319" t="str">
            <v>PE</v>
          </cell>
        </row>
        <row r="320">
          <cell r="A320" t="str">
            <v>PE</v>
          </cell>
        </row>
        <row r="321">
          <cell r="A321" t="str">
            <v>PE</v>
          </cell>
        </row>
        <row r="322">
          <cell r="A322" t="str">
            <v>PE</v>
          </cell>
        </row>
        <row r="323">
          <cell r="A323" t="str">
            <v>PE</v>
          </cell>
        </row>
        <row r="324">
          <cell r="A324" t="str">
            <v>PE</v>
          </cell>
        </row>
        <row r="325">
          <cell r="A325" t="str">
            <v>PE</v>
          </cell>
        </row>
        <row r="326">
          <cell r="A326" t="str">
            <v>PE</v>
          </cell>
        </row>
        <row r="327">
          <cell r="A327" t="str">
            <v>PE</v>
          </cell>
        </row>
        <row r="328">
          <cell r="A328" t="str">
            <v>PE</v>
          </cell>
        </row>
        <row r="329">
          <cell r="A329" t="str">
            <v>PE</v>
          </cell>
        </row>
        <row r="330">
          <cell r="A330" t="str">
            <v>PI</v>
          </cell>
        </row>
        <row r="331">
          <cell r="A331" t="str">
            <v>PI</v>
          </cell>
        </row>
        <row r="332">
          <cell r="A332" t="str">
            <v>PI</v>
          </cell>
        </row>
        <row r="333">
          <cell r="A333" t="str">
            <v>PI</v>
          </cell>
        </row>
        <row r="334">
          <cell r="A334" t="str">
            <v>PI</v>
          </cell>
        </row>
        <row r="335">
          <cell r="A335" t="str">
            <v>PI</v>
          </cell>
        </row>
        <row r="336">
          <cell r="A336" t="str">
            <v>PI</v>
          </cell>
        </row>
        <row r="337">
          <cell r="A337" t="str">
            <v>PI</v>
          </cell>
        </row>
        <row r="338">
          <cell r="A338" t="str">
            <v>PI</v>
          </cell>
        </row>
        <row r="339">
          <cell r="A339" t="str">
            <v>PI</v>
          </cell>
        </row>
        <row r="340">
          <cell r="A340" t="str">
            <v>PI</v>
          </cell>
        </row>
        <row r="341">
          <cell r="A341" t="str">
            <v>PI</v>
          </cell>
        </row>
        <row r="342">
          <cell r="A342" t="str">
            <v>PI</v>
          </cell>
        </row>
        <row r="343">
          <cell r="A343" t="str">
            <v>PO</v>
          </cell>
        </row>
        <row r="344">
          <cell r="A344" t="str">
            <v>PO</v>
          </cell>
        </row>
        <row r="345">
          <cell r="A345" t="str">
            <v>PO</v>
          </cell>
        </row>
        <row r="346">
          <cell r="A346" t="str">
            <v>PO</v>
          </cell>
        </row>
        <row r="347">
          <cell r="A347" t="str">
            <v>PO</v>
          </cell>
        </row>
        <row r="348">
          <cell r="A348" t="str">
            <v>PO</v>
          </cell>
        </row>
        <row r="349">
          <cell r="A349" t="str">
            <v>PO</v>
          </cell>
        </row>
        <row r="350">
          <cell r="A350" t="str">
            <v>PO</v>
          </cell>
        </row>
        <row r="351">
          <cell r="A351" t="str">
            <v>PO</v>
          </cell>
        </row>
        <row r="352">
          <cell r="A352" t="str">
            <v>PO</v>
          </cell>
        </row>
        <row r="353">
          <cell r="A353" t="str">
            <v>PO</v>
          </cell>
        </row>
        <row r="354">
          <cell r="A354" t="str">
            <v>PO</v>
          </cell>
        </row>
        <row r="355">
          <cell r="A355" t="str">
            <v>PO</v>
          </cell>
        </row>
        <row r="356">
          <cell r="A356" t="str">
            <v>PO</v>
          </cell>
        </row>
        <row r="357">
          <cell r="A357" t="str">
            <v>PO</v>
          </cell>
        </row>
        <row r="358">
          <cell r="A358" t="str">
            <v>PO</v>
          </cell>
        </row>
        <row r="359">
          <cell r="A359" t="str">
            <v>PO</v>
          </cell>
        </row>
        <row r="360">
          <cell r="A360" t="str">
            <v>PO</v>
          </cell>
        </row>
        <row r="361">
          <cell r="A361" t="str">
            <v>PO</v>
          </cell>
        </row>
        <row r="362">
          <cell r="A362" t="str">
            <v>PO</v>
          </cell>
        </row>
        <row r="363">
          <cell r="A363" t="str">
            <v>PR</v>
          </cell>
        </row>
        <row r="364">
          <cell r="A364" t="str">
            <v>PR</v>
          </cell>
        </row>
        <row r="365">
          <cell r="A365" t="str">
            <v>PR</v>
          </cell>
        </row>
        <row r="366">
          <cell r="A366" t="str">
            <v>PR</v>
          </cell>
        </row>
        <row r="367">
          <cell r="A367" t="str">
            <v>PR</v>
          </cell>
        </row>
        <row r="368">
          <cell r="A368" t="str">
            <v>PR</v>
          </cell>
        </row>
        <row r="369">
          <cell r="A369" t="str">
            <v>PR</v>
          </cell>
        </row>
        <row r="370">
          <cell r="A370" t="str">
            <v>PR</v>
          </cell>
        </row>
        <row r="371">
          <cell r="A371" t="str">
            <v>PR</v>
          </cell>
        </row>
        <row r="372">
          <cell r="A372" t="str">
            <v>PR</v>
          </cell>
        </row>
        <row r="373">
          <cell r="A373" t="str">
            <v>PR</v>
          </cell>
        </row>
        <row r="374">
          <cell r="A374" t="str">
            <v>PR</v>
          </cell>
        </row>
        <row r="375">
          <cell r="A375" t="str">
            <v>PR</v>
          </cell>
        </row>
        <row r="376">
          <cell r="A376" t="str">
            <v>PR</v>
          </cell>
        </row>
        <row r="377">
          <cell r="A377" t="str">
            <v>PR</v>
          </cell>
        </row>
        <row r="378">
          <cell r="A378" t="str">
            <v>PR</v>
          </cell>
        </row>
        <row r="379">
          <cell r="A379" t="str">
            <v>PR</v>
          </cell>
        </row>
        <row r="380">
          <cell r="A380" t="str">
            <v>PR</v>
          </cell>
        </row>
        <row r="381">
          <cell r="A381" t="str">
            <v>PR</v>
          </cell>
        </row>
        <row r="382">
          <cell r="A382" t="str">
            <v>PR</v>
          </cell>
        </row>
        <row r="383">
          <cell r="A383" t="str">
            <v>PR</v>
          </cell>
        </row>
        <row r="384">
          <cell r="A384" t="str">
            <v>PR</v>
          </cell>
        </row>
        <row r="385">
          <cell r="A385" t="str">
            <v>PR</v>
          </cell>
        </row>
        <row r="386">
          <cell r="A386" t="str">
            <v>PR</v>
          </cell>
        </row>
        <row r="387">
          <cell r="A387" t="str">
            <v>PR</v>
          </cell>
        </row>
        <row r="388">
          <cell r="A388" t="str">
            <v>PS</v>
          </cell>
        </row>
        <row r="389">
          <cell r="A389" t="str">
            <v>PS</v>
          </cell>
        </row>
        <row r="390">
          <cell r="A390" t="str">
            <v>PS</v>
          </cell>
        </row>
        <row r="391">
          <cell r="A391" t="str">
            <v>PS</v>
          </cell>
        </row>
        <row r="392">
          <cell r="A392" t="str">
            <v>PS</v>
          </cell>
        </row>
        <row r="393">
          <cell r="A393" t="str">
            <v>PS</v>
          </cell>
        </row>
        <row r="394">
          <cell r="A394" t="str">
            <v>PS</v>
          </cell>
        </row>
        <row r="395">
          <cell r="A395" t="str">
            <v>PS</v>
          </cell>
        </row>
        <row r="396">
          <cell r="A396" t="str">
            <v>PS</v>
          </cell>
        </row>
        <row r="397">
          <cell r="A397" t="str">
            <v>PS</v>
          </cell>
        </row>
        <row r="398">
          <cell r="A398" t="str">
            <v>PS</v>
          </cell>
        </row>
        <row r="399">
          <cell r="A399" t="str">
            <v>PS</v>
          </cell>
        </row>
        <row r="400">
          <cell r="A400" t="str">
            <v>PS</v>
          </cell>
        </row>
        <row r="401">
          <cell r="A401" t="str">
            <v>PS</v>
          </cell>
        </row>
        <row r="402">
          <cell r="A402" t="str">
            <v>PS</v>
          </cell>
        </row>
        <row r="403">
          <cell r="A403" t="str">
            <v>PS</v>
          </cell>
        </row>
        <row r="404">
          <cell r="A404" t="str">
            <v>PS</v>
          </cell>
        </row>
        <row r="405">
          <cell r="A405" t="str">
            <v>PS</v>
          </cell>
        </row>
        <row r="406">
          <cell r="A406" t="str">
            <v>PS</v>
          </cell>
        </row>
        <row r="408">
          <cell r="A408" t="str">
            <v>PS</v>
          </cell>
        </row>
        <row r="409">
          <cell r="A409" t="str">
            <v>PS</v>
          </cell>
        </row>
        <row r="410">
          <cell r="A410" t="str">
            <v>PS</v>
          </cell>
        </row>
        <row r="411">
          <cell r="A411" t="str">
            <v>PS</v>
          </cell>
        </row>
        <row r="412">
          <cell r="A412" t="str">
            <v>PS</v>
          </cell>
        </row>
        <row r="413">
          <cell r="A413" t="str">
            <v>PS</v>
          </cell>
        </row>
        <row r="414">
          <cell r="A414" t="str">
            <v>PS</v>
          </cell>
        </row>
        <row r="415">
          <cell r="A415" t="str">
            <v>PS</v>
          </cell>
        </row>
        <row r="416">
          <cell r="A416" t="str">
            <v>PS</v>
          </cell>
        </row>
        <row r="417">
          <cell r="A417" t="str">
            <v>RE</v>
          </cell>
        </row>
        <row r="418">
          <cell r="A418" t="str">
            <v>RE</v>
          </cell>
        </row>
        <row r="420">
          <cell r="A420" t="str">
            <v>RE</v>
          </cell>
        </row>
        <row r="421">
          <cell r="A421" t="str">
            <v>RE</v>
          </cell>
        </row>
        <row r="422">
          <cell r="A422" t="str">
            <v>RE</v>
          </cell>
        </row>
        <row r="423">
          <cell r="A423" t="str">
            <v>RE</v>
          </cell>
        </row>
        <row r="424">
          <cell r="A424" t="str">
            <v>RE</v>
          </cell>
        </row>
        <row r="425">
          <cell r="A425" t="str">
            <v>RE</v>
          </cell>
        </row>
        <row r="426">
          <cell r="A426" t="str">
            <v>RE</v>
          </cell>
        </row>
        <row r="427">
          <cell r="A427" t="str">
            <v>RE</v>
          </cell>
        </row>
        <row r="428">
          <cell r="A428" t="str">
            <v>RE</v>
          </cell>
        </row>
        <row r="429">
          <cell r="A429" t="str">
            <v>RE</v>
          </cell>
        </row>
        <row r="430">
          <cell r="A430" t="str">
            <v>RE</v>
          </cell>
        </row>
        <row r="431">
          <cell r="A431" t="str">
            <v>RE</v>
          </cell>
        </row>
        <row r="432">
          <cell r="A432" t="str">
            <v>RI</v>
          </cell>
        </row>
        <row r="433">
          <cell r="A433" t="str">
            <v>RI</v>
          </cell>
        </row>
        <row r="434">
          <cell r="A434" t="str">
            <v>RI</v>
          </cell>
        </row>
        <row r="435">
          <cell r="A435" t="str">
            <v>RI</v>
          </cell>
        </row>
        <row r="436">
          <cell r="A436" t="str">
            <v>RI</v>
          </cell>
        </row>
        <row r="437">
          <cell r="A437" t="str">
            <v>RI</v>
          </cell>
        </row>
        <row r="438">
          <cell r="A438" t="str">
            <v>RI</v>
          </cell>
        </row>
        <row r="439">
          <cell r="A439" t="str">
            <v>RI</v>
          </cell>
        </row>
        <row r="440">
          <cell r="A440" t="str">
            <v>RI</v>
          </cell>
        </row>
        <row r="441">
          <cell r="A441" t="str">
            <v>RI</v>
          </cell>
        </row>
        <row r="442">
          <cell r="A442" t="str">
            <v>RI</v>
          </cell>
        </row>
        <row r="443">
          <cell r="A443" t="str">
            <v>RI</v>
          </cell>
        </row>
        <row r="444">
          <cell r="A444" t="str">
            <v>RI</v>
          </cell>
        </row>
        <row r="445">
          <cell r="A445" t="str">
            <v>RI</v>
          </cell>
        </row>
        <row r="446">
          <cell r="A446" t="str">
            <v>RI</v>
          </cell>
        </row>
        <row r="447">
          <cell r="A447" t="str">
            <v>RI</v>
          </cell>
        </row>
        <row r="448">
          <cell r="A448" t="str">
            <v>RI</v>
          </cell>
        </row>
        <row r="449">
          <cell r="A449" t="str">
            <v>RI</v>
          </cell>
        </row>
        <row r="450">
          <cell r="A450" t="str">
            <v>RI</v>
          </cell>
        </row>
        <row r="451">
          <cell r="A451" t="str">
            <v>RI</v>
          </cell>
        </row>
        <row r="452">
          <cell r="A452" t="str">
            <v>RI</v>
          </cell>
        </row>
        <row r="453">
          <cell r="A453" t="str">
            <v>RI</v>
          </cell>
        </row>
        <row r="454">
          <cell r="A454" t="str">
            <v>RI</v>
          </cell>
        </row>
        <row r="455">
          <cell r="A455" t="str">
            <v>RI</v>
          </cell>
        </row>
        <row r="456">
          <cell r="A456" t="str">
            <v>RI</v>
          </cell>
        </row>
        <row r="457">
          <cell r="A457" t="str">
            <v>RI</v>
          </cell>
        </row>
        <row r="458">
          <cell r="A458" t="str">
            <v>RI</v>
          </cell>
        </row>
        <row r="459">
          <cell r="A459" t="str">
            <v>RI</v>
          </cell>
        </row>
        <row r="460">
          <cell r="A460" t="str">
            <v>RI</v>
          </cell>
        </row>
        <row r="461">
          <cell r="A461" t="str">
            <v>RI</v>
          </cell>
        </row>
        <row r="462">
          <cell r="A462" t="str">
            <v>RI</v>
          </cell>
        </row>
        <row r="463">
          <cell r="A463" t="str">
            <v>RI</v>
          </cell>
        </row>
        <row r="464">
          <cell r="A464" t="str">
            <v>RI</v>
          </cell>
        </row>
        <row r="465">
          <cell r="A465" t="str">
            <v>RI</v>
          </cell>
        </row>
        <row r="466">
          <cell r="A466" t="str">
            <v>RI</v>
          </cell>
        </row>
        <row r="467">
          <cell r="A467" t="str">
            <v>RI</v>
          </cell>
        </row>
        <row r="468">
          <cell r="A468" t="str">
            <v>RI</v>
          </cell>
        </row>
        <row r="469">
          <cell r="A469" t="str">
            <v>RI</v>
          </cell>
        </row>
        <row r="470">
          <cell r="A470" t="str">
            <v>RI</v>
          </cell>
        </row>
        <row r="471">
          <cell r="A471" t="str">
            <v>RI</v>
          </cell>
        </row>
        <row r="472">
          <cell r="A472" t="str">
            <v>RI</v>
          </cell>
        </row>
        <row r="473">
          <cell r="A473" t="str">
            <v>RI</v>
          </cell>
        </row>
        <row r="474">
          <cell r="A474" t="str">
            <v>RO</v>
          </cell>
        </row>
        <row r="475">
          <cell r="A475" t="str">
            <v>RO</v>
          </cell>
        </row>
        <row r="476">
          <cell r="A476" t="str">
            <v>RO</v>
          </cell>
        </row>
        <row r="477">
          <cell r="A477" t="str">
            <v>RO</v>
          </cell>
        </row>
        <row r="478">
          <cell r="A478" t="str">
            <v>RO</v>
          </cell>
        </row>
        <row r="479">
          <cell r="A479" t="str">
            <v>RO</v>
          </cell>
        </row>
        <row r="480">
          <cell r="A480" t="str">
            <v>RO</v>
          </cell>
        </row>
        <row r="481">
          <cell r="A481" t="str">
            <v>RO</v>
          </cell>
        </row>
        <row r="482">
          <cell r="A482" t="str">
            <v>RO</v>
          </cell>
        </row>
        <row r="483">
          <cell r="A483" t="str">
            <v>RO</v>
          </cell>
        </row>
        <row r="484">
          <cell r="A484" t="str">
            <v>RO</v>
          </cell>
        </row>
        <row r="485">
          <cell r="A485" t="str">
            <v>RO</v>
          </cell>
        </row>
        <row r="486">
          <cell r="A486" t="str">
            <v>RO</v>
          </cell>
        </row>
        <row r="487">
          <cell r="A487" t="str">
            <v>RO</v>
          </cell>
        </row>
        <row r="488">
          <cell r="A488" t="str">
            <v>RO</v>
          </cell>
        </row>
        <row r="489">
          <cell r="A489" t="str">
            <v>RO</v>
          </cell>
        </row>
        <row r="490">
          <cell r="A490" t="str">
            <v>SE</v>
          </cell>
        </row>
        <row r="491">
          <cell r="A491" t="str">
            <v>SE</v>
          </cell>
        </row>
        <row r="492">
          <cell r="A492" t="str">
            <v>SE</v>
          </cell>
        </row>
        <row r="493">
          <cell r="A493" t="str">
            <v>SE</v>
          </cell>
        </row>
        <row r="494">
          <cell r="A494" t="str">
            <v>SE</v>
          </cell>
        </row>
        <row r="495">
          <cell r="A495" t="str">
            <v>SE</v>
          </cell>
        </row>
        <row r="496">
          <cell r="A496" t="str">
            <v>SE</v>
          </cell>
        </row>
        <row r="498">
          <cell r="A498" t="str">
            <v>SE</v>
          </cell>
        </row>
        <row r="499">
          <cell r="A499" t="str">
            <v>SE</v>
          </cell>
        </row>
        <row r="500">
          <cell r="A500" t="str">
            <v>SE</v>
          </cell>
        </row>
        <row r="501">
          <cell r="A501" t="str">
            <v>SE</v>
          </cell>
        </row>
        <row r="502">
          <cell r="A502" t="str">
            <v>SE</v>
          </cell>
        </row>
        <row r="503">
          <cell r="A503" t="str">
            <v>SE</v>
          </cell>
        </row>
        <row r="504">
          <cell r="A504" t="str">
            <v>SE</v>
          </cell>
        </row>
        <row r="505">
          <cell r="A505" t="str">
            <v>SO</v>
          </cell>
        </row>
        <row r="506">
          <cell r="A506" t="str">
            <v>SO</v>
          </cell>
        </row>
        <row r="507">
          <cell r="A507" t="str">
            <v>SO</v>
          </cell>
        </row>
        <row r="508">
          <cell r="A508" t="str">
            <v>SO</v>
          </cell>
        </row>
        <row r="509">
          <cell r="A509" t="str">
            <v>SO</v>
          </cell>
        </row>
        <row r="510">
          <cell r="A510" t="str">
            <v>SO</v>
          </cell>
        </row>
        <row r="511">
          <cell r="A511" t="str">
            <v>SO</v>
          </cell>
        </row>
        <row r="512">
          <cell r="A512" t="str">
            <v>SO</v>
          </cell>
        </row>
        <row r="513">
          <cell r="A513" t="str">
            <v>SO</v>
          </cell>
        </row>
        <row r="514">
          <cell r="A514" t="str">
            <v>SO</v>
          </cell>
        </row>
        <row r="515">
          <cell r="A515" t="str">
            <v>SO</v>
          </cell>
        </row>
        <row r="516">
          <cell r="A516" t="str">
            <v>SO</v>
          </cell>
        </row>
        <row r="517">
          <cell r="A517" t="str">
            <v>SO</v>
          </cell>
        </row>
        <row r="518">
          <cell r="A518" t="str">
            <v>SO</v>
          </cell>
        </row>
        <row r="519">
          <cell r="A519" t="str">
            <v>SO</v>
          </cell>
        </row>
        <row r="520">
          <cell r="A520" t="str">
            <v>SO</v>
          </cell>
        </row>
        <row r="521">
          <cell r="A521" t="str">
            <v>SO</v>
          </cell>
        </row>
        <row r="522">
          <cell r="A522" t="str">
            <v>SO</v>
          </cell>
        </row>
        <row r="523">
          <cell r="A523" t="str">
            <v>SO</v>
          </cell>
        </row>
        <row r="524">
          <cell r="A524" t="str">
            <v>SO</v>
          </cell>
        </row>
        <row r="525">
          <cell r="A525" t="str">
            <v>SR</v>
          </cell>
        </row>
        <row r="526">
          <cell r="A526" t="str">
            <v>SR</v>
          </cell>
        </row>
        <row r="527">
          <cell r="A527" t="str">
            <v>SR</v>
          </cell>
        </row>
        <row r="528">
          <cell r="A528" t="str">
            <v>SR</v>
          </cell>
        </row>
        <row r="529">
          <cell r="A529" t="str">
            <v>SR</v>
          </cell>
        </row>
        <row r="530">
          <cell r="A530" t="str">
            <v>SR</v>
          </cell>
        </row>
        <row r="531">
          <cell r="A531" t="str">
            <v>SR</v>
          </cell>
        </row>
        <row r="532">
          <cell r="A532" t="str">
            <v>SR</v>
          </cell>
        </row>
        <row r="533">
          <cell r="A533" t="str">
            <v>SR</v>
          </cell>
        </row>
        <row r="534">
          <cell r="A534" t="str">
            <v>SR</v>
          </cell>
        </row>
        <row r="535">
          <cell r="A535" t="str">
            <v>SR</v>
          </cell>
        </row>
        <row r="536">
          <cell r="A536" t="str">
            <v>SR</v>
          </cell>
        </row>
        <row r="537">
          <cell r="A537" t="str">
            <v>SR</v>
          </cell>
        </row>
        <row r="538">
          <cell r="A538" t="str">
            <v>ST</v>
          </cell>
        </row>
        <row r="539">
          <cell r="A539" t="str">
            <v>ST</v>
          </cell>
        </row>
        <row r="540">
          <cell r="A540" t="str">
            <v>ST</v>
          </cell>
        </row>
        <row r="541">
          <cell r="A541" t="str">
            <v>ST</v>
          </cell>
        </row>
        <row r="542">
          <cell r="A542" t="str">
            <v>ST</v>
          </cell>
        </row>
        <row r="543">
          <cell r="A543" t="str">
            <v>ST</v>
          </cell>
        </row>
        <row r="544">
          <cell r="A544" t="str">
            <v>ST</v>
          </cell>
        </row>
        <row r="545">
          <cell r="A545" t="str">
            <v>ST</v>
          </cell>
        </row>
        <row r="547">
          <cell r="A547" t="str">
            <v>ST</v>
          </cell>
        </row>
        <row r="548">
          <cell r="A548" t="str">
            <v>ST</v>
          </cell>
        </row>
        <row r="549">
          <cell r="A549" t="str">
            <v>ST</v>
          </cell>
        </row>
        <row r="550">
          <cell r="A550" t="str">
            <v>ST</v>
          </cell>
        </row>
        <row r="551">
          <cell r="A551" t="str">
            <v>ST</v>
          </cell>
        </row>
        <row r="552">
          <cell r="A552" t="str">
            <v>ST</v>
          </cell>
        </row>
        <row r="553">
          <cell r="A553" t="str">
            <v>ST</v>
          </cell>
        </row>
        <row r="554">
          <cell r="A554" t="str">
            <v>ST</v>
          </cell>
        </row>
        <row r="555">
          <cell r="A555" t="str">
            <v>ST</v>
          </cell>
        </row>
        <row r="556">
          <cell r="A556" t="str">
            <v>ST</v>
          </cell>
        </row>
        <row r="557">
          <cell r="A557" t="str">
            <v>ST</v>
          </cell>
        </row>
        <row r="558">
          <cell r="A558" t="str">
            <v>ST</v>
          </cell>
        </row>
        <row r="559">
          <cell r="A559" t="str">
            <v>ST</v>
          </cell>
        </row>
        <row r="560">
          <cell r="A560" t="str">
            <v>ST</v>
          </cell>
        </row>
        <row r="561">
          <cell r="A561" t="str">
            <v>ST</v>
          </cell>
        </row>
        <row r="562">
          <cell r="A562" t="str">
            <v>ST</v>
          </cell>
        </row>
        <row r="563">
          <cell r="A563" t="str">
            <v>ST</v>
          </cell>
        </row>
        <row r="564">
          <cell r="A564" t="str">
            <v>SU</v>
          </cell>
        </row>
        <row r="565">
          <cell r="A565" t="str">
            <v>SU</v>
          </cell>
        </row>
        <row r="566">
          <cell r="A566" t="str">
            <v>SU</v>
          </cell>
        </row>
        <row r="567">
          <cell r="A567" t="str">
            <v>SU</v>
          </cell>
        </row>
        <row r="568">
          <cell r="A568" t="str">
            <v>SU</v>
          </cell>
        </row>
        <row r="569">
          <cell r="A569" t="str">
            <v>SU</v>
          </cell>
        </row>
        <row r="570">
          <cell r="A570" t="str">
            <v>SU</v>
          </cell>
        </row>
        <row r="571">
          <cell r="A571" t="str">
            <v>SU</v>
          </cell>
        </row>
        <row r="572">
          <cell r="A572" t="str">
            <v>SU</v>
          </cell>
        </row>
        <row r="573">
          <cell r="A573" t="str">
            <v>SU</v>
          </cell>
        </row>
        <row r="574">
          <cell r="A574" t="str">
            <v>SU</v>
          </cell>
        </row>
        <row r="575">
          <cell r="A575" t="str">
            <v>SU</v>
          </cell>
        </row>
        <row r="576">
          <cell r="A576" t="str">
            <v>SU</v>
          </cell>
        </row>
        <row r="577">
          <cell r="A577" t="str">
            <v>SU</v>
          </cell>
        </row>
        <row r="578">
          <cell r="A578" t="str">
            <v>SU</v>
          </cell>
        </row>
        <row r="579">
          <cell r="A579" t="str">
            <v>SU</v>
          </cell>
        </row>
        <row r="580">
          <cell r="A580" t="str">
            <v>SU</v>
          </cell>
        </row>
        <row r="581">
          <cell r="A581" t="str">
            <v>SU</v>
          </cell>
        </row>
        <row r="582">
          <cell r="A582" t="str">
            <v>SU</v>
          </cell>
        </row>
        <row r="583">
          <cell r="A583" t="str">
            <v>SU</v>
          </cell>
        </row>
        <row r="584">
          <cell r="A584" t="str">
            <v>SU</v>
          </cell>
        </row>
        <row r="585">
          <cell r="A585" t="str">
            <v>SW</v>
          </cell>
        </row>
        <row r="586">
          <cell r="A586" t="str">
            <v>SW</v>
          </cell>
        </row>
        <row r="587">
          <cell r="A587" t="str">
            <v>SW</v>
          </cell>
        </row>
        <row r="588">
          <cell r="A588" t="str">
            <v>SW</v>
          </cell>
        </row>
        <row r="589">
          <cell r="A589" t="str">
            <v>SW</v>
          </cell>
        </row>
        <row r="590">
          <cell r="A590" t="str">
            <v>SW</v>
          </cell>
        </row>
        <row r="591">
          <cell r="A591" t="str">
            <v>SW</v>
          </cell>
        </row>
        <row r="592">
          <cell r="A592" t="str">
            <v>SW</v>
          </cell>
        </row>
        <row r="593">
          <cell r="A593" t="str">
            <v>SW</v>
          </cell>
        </row>
        <row r="594">
          <cell r="A594" t="str">
            <v>TM</v>
          </cell>
        </row>
        <row r="596">
          <cell r="A596" t="str">
            <v>TM</v>
          </cell>
        </row>
        <row r="597">
          <cell r="A597" t="str">
            <v>TM</v>
          </cell>
        </row>
        <row r="598">
          <cell r="A598" t="str">
            <v>TM</v>
          </cell>
        </row>
        <row r="599">
          <cell r="A599" t="str">
            <v>TM</v>
          </cell>
        </row>
        <row r="600">
          <cell r="A600" t="str">
            <v>TM</v>
          </cell>
        </row>
        <row r="601">
          <cell r="A601" t="str">
            <v>TM</v>
          </cell>
        </row>
        <row r="602">
          <cell r="A602" t="str">
            <v>TR</v>
          </cell>
        </row>
        <row r="603">
          <cell r="A603" t="str">
            <v>TR</v>
          </cell>
        </row>
        <row r="604">
          <cell r="A604" t="str">
            <v>TR</v>
          </cell>
        </row>
        <row r="605">
          <cell r="A605" t="str">
            <v>TR</v>
          </cell>
        </row>
        <row r="606">
          <cell r="A606" t="str">
            <v>TR</v>
          </cell>
        </row>
        <row r="607">
          <cell r="A607" t="str">
            <v>TR</v>
          </cell>
        </row>
        <row r="608">
          <cell r="A608" t="str">
            <v>TR</v>
          </cell>
        </row>
        <row r="609">
          <cell r="A609" t="str">
            <v>WE</v>
          </cell>
        </row>
        <row r="610">
          <cell r="A610" t="str">
            <v>WE</v>
          </cell>
        </row>
        <row r="611">
          <cell r="A611" t="str">
            <v>WE</v>
          </cell>
        </row>
        <row r="612">
          <cell r="A612" t="str">
            <v>WE</v>
          </cell>
        </row>
        <row r="613">
          <cell r="A613" t="str">
            <v>WI</v>
          </cell>
        </row>
        <row r="614">
          <cell r="A614" t="str">
            <v>WI</v>
          </cell>
        </row>
        <row r="615">
          <cell r="A615" t="str">
            <v>WI</v>
          </cell>
        </row>
        <row r="616">
          <cell r="A616" t="str">
            <v>WI</v>
          </cell>
        </row>
        <row r="617">
          <cell r="A617" t="str">
            <v>WI</v>
          </cell>
        </row>
        <row r="618">
          <cell r="A618" t="str">
            <v>WI</v>
          </cell>
        </row>
        <row r="619">
          <cell r="A619" t="str">
            <v>WI</v>
          </cell>
        </row>
        <row r="620">
          <cell r="A620" t="str">
            <v>WI</v>
          </cell>
        </row>
        <row r="621">
          <cell r="A621" t="str">
            <v>WI</v>
          </cell>
        </row>
        <row r="623">
          <cell r="A623" t="str">
            <v>WI</v>
          </cell>
        </row>
        <row r="624">
          <cell r="A624" t="str">
            <v>WI</v>
          </cell>
        </row>
        <row r="625">
          <cell r="A625" t="str">
            <v>WI</v>
          </cell>
        </row>
        <row r="626">
          <cell r="A626" t="str">
            <v>WI</v>
          </cell>
        </row>
        <row r="627">
          <cell r="A627" t="str">
            <v>WI</v>
          </cell>
        </row>
        <row r="628">
          <cell r="A628" t="str">
            <v>WI</v>
          </cell>
        </row>
        <row r="629">
          <cell r="A629" t="str">
            <v>WI</v>
          </cell>
        </row>
        <row r="630">
          <cell r="A630" t="str">
            <v>WI</v>
          </cell>
        </row>
        <row r="631">
          <cell r="A631" t="str">
            <v>WI</v>
          </cell>
        </row>
        <row r="632">
          <cell r="A632" t="str">
            <v>WI</v>
          </cell>
        </row>
        <row r="633">
          <cell r="A633" t="str">
            <v>WI</v>
          </cell>
        </row>
        <row r="634">
          <cell r="A634" t="str">
            <v>WI</v>
          </cell>
        </row>
        <row r="635">
          <cell r="A635" t="str">
            <v>WI</v>
          </cell>
        </row>
        <row r="636">
          <cell r="A636" t="str">
            <v>WI</v>
          </cell>
        </row>
        <row r="637">
          <cell r="A637" t="str">
            <v>WI</v>
          </cell>
        </row>
        <row r="638">
          <cell r="A638" t="str">
            <v>WI</v>
          </cell>
        </row>
        <row r="639">
          <cell r="A639" t="str">
            <v>WI</v>
          </cell>
        </row>
        <row r="640">
          <cell r="A640" t="str">
            <v>WI</v>
          </cell>
        </row>
        <row r="641">
          <cell r="A641" t="str">
            <v>WI</v>
          </cell>
        </row>
        <row r="642">
          <cell r="A642" t="str">
            <v>WI</v>
          </cell>
        </row>
        <row r="643">
          <cell r="A643" t="str">
            <v>WI</v>
          </cell>
        </row>
        <row r="644">
          <cell r="A644" t="str">
            <v>WI</v>
          </cell>
        </row>
        <row r="646">
          <cell r="A646" t="str">
            <v>WI</v>
          </cell>
        </row>
        <row r="647">
          <cell r="A647" t="str">
            <v>WI</v>
          </cell>
        </row>
        <row r="648">
          <cell r="A648" t="str">
            <v>WI</v>
          </cell>
        </row>
        <row r="649">
          <cell r="A649" t="str">
            <v>WI</v>
          </cell>
        </row>
        <row r="650">
          <cell r="A650" t="str">
            <v>WI</v>
          </cell>
        </row>
        <row r="651">
          <cell r="A651" t="str">
            <v>WI</v>
          </cell>
        </row>
        <row r="652">
          <cell r="A652" t="str">
            <v>WI</v>
          </cell>
        </row>
        <row r="653">
          <cell r="A653" t="str">
            <v>WI</v>
          </cell>
        </row>
        <row r="654">
          <cell r="A654" t="str">
            <v>WI</v>
          </cell>
        </row>
        <row r="655">
          <cell r="A655" t="str">
            <v>WI</v>
          </cell>
        </row>
        <row r="656">
          <cell r="A656" t="str">
            <v>WI</v>
          </cell>
        </row>
        <row r="657">
          <cell r="A657" t="str">
            <v>WI</v>
          </cell>
        </row>
        <row r="658">
          <cell r="A658" t="str">
            <v>WI</v>
          </cell>
        </row>
        <row r="659">
          <cell r="A659" t="str">
            <v>WI</v>
          </cell>
        </row>
        <row r="661">
          <cell r="A661" t="str">
            <v>WI</v>
          </cell>
        </row>
        <row r="662">
          <cell r="A662" t="str">
            <v>WI</v>
          </cell>
        </row>
        <row r="663">
          <cell r="A663" t="str">
            <v>WI</v>
          </cell>
        </row>
        <row r="664">
          <cell r="A664" t="str">
            <v>WI</v>
          </cell>
        </row>
        <row r="665">
          <cell r="A665" t="str">
            <v>WI</v>
          </cell>
        </row>
        <row r="666">
          <cell r="A666" t="str">
            <v>WI</v>
          </cell>
        </row>
        <row r="667">
          <cell r="A667" t="str">
            <v>WI</v>
          </cell>
        </row>
        <row r="668">
          <cell r="A668" t="str">
            <v>WI</v>
          </cell>
        </row>
        <row r="669">
          <cell r="A669" t="str">
            <v>WI</v>
          </cell>
        </row>
        <row r="670">
          <cell r="A670" t="str">
            <v>WI</v>
          </cell>
        </row>
        <row r="671">
          <cell r="A671" t="str">
            <v>WI</v>
          </cell>
        </row>
        <row r="672">
          <cell r="A672" t="str">
            <v>WI</v>
          </cell>
        </row>
        <row r="673">
          <cell r="A673" t="str">
            <v>WI</v>
          </cell>
        </row>
        <row r="674">
          <cell r="A674" t="str">
            <v>WI</v>
          </cell>
        </row>
        <row r="675">
          <cell r="A675" t="str">
            <v>WI</v>
          </cell>
        </row>
        <row r="676">
          <cell r="A676" t="str">
            <v>WI</v>
          </cell>
        </row>
        <row r="677">
          <cell r="A677" t="str">
            <v>WI</v>
          </cell>
        </row>
        <row r="678">
          <cell r="A678" t="str">
            <v>WI</v>
          </cell>
        </row>
        <row r="679">
          <cell r="A679" t="str">
            <v>WI</v>
          </cell>
        </row>
        <row r="680">
          <cell r="A680" t="str">
            <v>WI</v>
          </cell>
        </row>
        <row r="681">
          <cell r="A681" t="str">
            <v>WI</v>
          </cell>
        </row>
        <row r="682">
          <cell r="A682" t="str">
            <v>WI</v>
          </cell>
        </row>
        <row r="683">
          <cell r="A683" t="str">
            <v>WI</v>
          </cell>
        </row>
        <row r="684">
          <cell r="A684" t="str">
            <v>WI</v>
          </cell>
        </row>
        <row r="685">
          <cell r="A685" t="str">
            <v>WI</v>
          </cell>
        </row>
        <row r="686">
          <cell r="A686" t="str">
            <v>WI</v>
          </cell>
        </row>
        <row r="687">
          <cell r="A687" t="str">
            <v>WI</v>
          </cell>
        </row>
        <row r="688">
          <cell r="A688" t="str">
            <v>WI</v>
          </cell>
        </row>
        <row r="689">
          <cell r="A689" t="str">
            <v>WI</v>
          </cell>
        </row>
        <row r="690">
          <cell r="A690" t="str">
            <v>WI</v>
          </cell>
        </row>
        <row r="691">
          <cell r="A691" t="str">
            <v>WI</v>
          </cell>
        </row>
        <row r="692">
          <cell r="A692" t="str">
            <v>XW</v>
          </cell>
        </row>
        <row r="693">
          <cell r="A693" t="str">
            <v>XW</v>
          </cell>
        </row>
        <row r="694">
          <cell r="A694" t="str">
            <v>FR</v>
          </cell>
        </row>
      </sheetData>
      <sheetData sheetId="2"/>
      <sheetData sheetId="3"/>
      <sheetData sheetId="4"/>
      <sheetData sheetId="5"/>
      <sheetData sheetId="6"/>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115A 2nd Semester"/>
      <sheetName val="DATA"/>
      <sheetName val="FB115A_Feb"/>
    </sheetNames>
    <sheetDataSet>
      <sheetData sheetId="0" refreshError="1"/>
      <sheetData sheetId="1" refreshError="1"/>
      <sheetData sheetId="2">
        <row r="1">
          <cell r="B1">
            <v>1</v>
          </cell>
          <cell r="D1" t="str">
            <v>Press arrow for your School Division Name -&gt;</v>
          </cell>
        </row>
        <row r="2">
          <cell r="D2" t="str">
            <v>BEAUTIFUL PLAINS</v>
          </cell>
        </row>
        <row r="3">
          <cell r="D3" t="str">
            <v>BORDER LAND</v>
          </cell>
        </row>
        <row r="4">
          <cell r="D4" t="str">
            <v>BRANDON</v>
          </cell>
        </row>
        <row r="5">
          <cell r="D5" t="str">
            <v>EVERGREEN</v>
          </cell>
        </row>
        <row r="6">
          <cell r="D6" t="str">
            <v>FLIN FLON</v>
          </cell>
        </row>
        <row r="7">
          <cell r="D7" t="str">
            <v>FORT LA BOSSE</v>
          </cell>
        </row>
        <row r="8">
          <cell r="D8" t="str">
            <v>FRONTIER</v>
          </cell>
        </row>
        <row r="9">
          <cell r="D9" t="str">
            <v>GARDEN VALLEY</v>
          </cell>
        </row>
        <row r="10">
          <cell r="D10" t="str">
            <v>HANOVER</v>
          </cell>
        </row>
        <row r="11">
          <cell r="D11" t="str">
            <v>INTERLAKE</v>
          </cell>
        </row>
        <row r="12">
          <cell r="D12" t="str">
            <v>KELSEY</v>
          </cell>
        </row>
        <row r="13">
          <cell r="D13" t="str">
            <v>LAKESHORE</v>
          </cell>
        </row>
        <row r="14">
          <cell r="D14" t="str">
            <v>LORD SELKIRK</v>
          </cell>
        </row>
        <row r="15">
          <cell r="D15" t="str">
            <v>LOUIS RIEL</v>
          </cell>
        </row>
        <row r="16">
          <cell r="D16" t="str">
            <v>MOUNTAIN VIEW</v>
          </cell>
        </row>
        <row r="17">
          <cell r="D17" t="str">
            <v>MYSTERY LAKE</v>
          </cell>
        </row>
        <row r="18">
          <cell r="D18" t="str">
            <v>PARK WEST</v>
          </cell>
        </row>
        <row r="19">
          <cell r="D19" t="str">
            <v>PEMBINA TRAILS</v>
          </cell>
        </row>
        <row r="20">
          <cell r="D20" t="str">
            <v>PINE CREEK</v>
          </cell>
        </row>
        <row r="21">
          <cell r="D21" t="str">
            <v>PINE FALLS</v>
          </cell>
        </row>
        <row r="22">
          <cell r="D22" t="str">
            <v>PORTAGE LA PRAIRIE</v>
          </cell>
        </row>
        <row r="23">
          <cell r="D23" t="str">
            <v>PRAIRIE ROSE</v>
          </cell>
        </row>
        <row r="24">
          <cell r="D24" t="str">
            <v>PRAIRIE SPIRIT</v>
          </cell>
        </row>
        <row r="25">
          <cell r="D25" t="str">
            <v>RED RIVER VALLEY</v>
          </cell>
        </row>
        <row r="26">
          <cell r="D26" t="str">
            <v>RIVER EAST TRANSCONA</v>
          </cell>
        </row>
        <row r="27">
          <cell r="D27" t="str">
            <v>ROLLING RIVER</v>
          </cell>
        </row>
        <row r="28">
          <cell r="D28" t="str">
            <v>SEINE RIVER</v>
          </cell>
        </row>
        <row r="29">
          <cell r="D29" t="str">
            <v>SEVEN OAKS</v>
          </cell>
        </row>
        <row r="30">
          <cell r="D30" t="str">
            <v>SOUTHWEST HORIZON</v>
          </cell>
        </row>
        <row r="31">
          <cell r="D31" t="str">
            <v>ST. JAMES-ASSINIBOIA</v>
          </cell>
        </row>
        <row r="32">
          <cell r="D32" t="str">
            <v>SUNRISE</v>
          </cell>
        </row>
        <row r="33">
          <cell r="D33" t="str">
            <v>SWAN VALLEY</v>
          </cell>
        </row>
        <row r="34">
          <cell r="D34" t="str">
            <v>TURTLE MOUNTAIN</v>
          </cell>
        </row>
        <row r="35">
          <cell r="D35" t="str">
            <v>TURTLE RIVER</v>
          </cell>
        </row>
        <row r="36">
          <cell r="D36" t="str">
            <v>WESTERN</v>
          </cell>
        </row>
        <row r="37">
          <cell r="D37" t="str">
            <v>WHITESHELL</v>
          </cell>
        </row>
        <row r="38">
          <cell r="D38" t="str">
            <v>WINNIPEG</v>
          </cell>
        </row>
        <row r="39">
          <cell r="D39" t="str">
            <v>WINNIPEG TECHNICAL COLLEGE</v>
          </cell>
        </row>
      </sheetData>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 1 -"/>
      <sheetName val="- 2 -"/>
      <sheetName val="- 3 -"/>
      <sheetName val="- 4 -"/>
      <sheetName val="- 5 -"/>
      <sheetName val="- 6 -"/>
      <sheetName val="- 7 -"/>
      <sheetName val="- 8 -"/>
      <sheetName val="- 9 -"/>
      <sheetName val="- 10 -"/>
      <sheetName val="- 11 -"/>
      <sheetName val="- 12 -"/>
      <sheetName val="- 13 -"/>
      <sheetName val="- 14 -"/>
      <sheetName val="- 15 -"/>
      <sheetName val="- 16 -"/>
      <sheetName val="- 17 -"/>
      <sheetName val="- 18 -"/>
      <sheetName val="- 19 -"/>
      <sheetName val="- 20 -"/>
      <sheetName val="- 21 -"/>
      <sheetName val="- 22 -"/>
      <sheetName val="- 23 -"/>
      <sheetName val="- 24 -"/>
      <sheetName val="- 25 -"/>
      <sheetName val="- 26 -"/>
      <sheetName val="- 27 -"/>
      <sheetName val="- 28 -"/>
      <sheetName val="- 29 -"/>
      <sheetName val="- 30 -"/>
      <sheetName val="- 31 -"/>
      <sheetName val="- 32 -"/>
      <sheetName val="- 33 -"/>
      <sheetName val="- 34 -"/>
      <sheetName val="- 35 -"/>
      <sheetName val="- 36 -"/>
      <sheetName val="- 37 -"/>
      <sheetName val="- 38 -"/>
      <sheetName val="- 39 -"/>
      <sheetName val="- 40 -"/>
      <sheetName val="- 41 -"/>
      <sheetName val="- 42 -"/>
      <sheetName val="- 43 -"/>
      <sheetName val="- 44 -"/>
      <sheetName val="- 45 -"/>
      <sheetName val="- 46 -"/>
      <sheetName val="- 47 -"/>
      <sheetName val="- 48 -"/>
      <sheetName val="- 49 -"/>
      <sheetName val="- 50 - "/>
      <sheetName val="- 51 -"/>
      <sheetName val="- 52 -"/>
      <sheetName val="- 53 -"/>
      <sheetName val="- 54 -"/>
      <sheetName val="- 55 -"/>
      <sheetName val="- 56 -"/>
      <sheetName val="- 57 -"/>
      <sheetName val="- 58 -"/>
      <sheetName val="- 59 -"/>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ow r="3">
          <cell r="B3" t="str">
            <v>FOR THE 2008 TAXATION YEAR</v>
          </cell>
        </row>
      </sheetData>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 3 -"/>
      <sheetName val="- 4 -"/>
      <sheetName val="- 6 -"/>
      <sheetName val="- 7 -"/>
      <sheetName val="- 8 -"/>
      <sheetName val="- 9 -"/>
      <sheetName val="- 10 -"/>
      <sheetName val="- 12 -"/>
      <sheetName val="- 13 -"/>
      <sheetName val="- 15 -"/>
      <sheetName val="- 16 -"/>
      <sheetName val="- 17 -"/>
      <sheetName val="- 18 -"/>
      <sheetName val="- 19 -"/>
      <sheetName val="- 20 -"/>
      <sheetName val="- 21 -"/>
      <sheetName val="- 22 -"/>
      <sheetName val="- 23 -"/>
      <sheetName val="- 24 -"/>
      <sheetName val="- 25 -"/>
      <sheetName val="- 26 -"/>
      <sheetName val="- 27 -"/>
      <sheetName val="- 28 -"/>
      <sheetName val="- 29 -"/>
      <sheetName val="- 30 -"/>
      <sheetName val="- 31 -"/>
      <sheetName val="- 32 -"/>
      <sheetName val="- 33 -"/>
      <sheetName val="- 34 -"/>
      <sheetName val="- 35 -"/>
      <sheetName val="- 36 -"/>
      <sheetName val="- 37 -"/>
      <sheetName val="- 38 -"/>
      <sheetName val="- 40 -"/>
      <sheetName val="- 41 -"/>
      <sheetName val="- 42 -"/>
      <sheetName val="- 43 -"/>
      <sheetName val="- 44 -"/>
      <sheetName val="- 45 -"/>
      <sheetName val="- 46 -"/>
      <sheetName val="- 47 -"/>
      <sheetName val="- 48 -"/>
      <sheetName val="- 49 -"/>
      <sheetName val="- 50 -"/>
      <sheetName val="- 51 -"/>
      <sheetName val="- 53 -"/>
      <sheetName val="- 54 - "/>
      <sheetName val="- 55 -"/>
      <sheetName val="- 57 -"/>
      <sheetName val="- 58 -"/>
      <sheetName val="- 59 -"/>
      <sheetName val="- 60 -"/>
      <sheetName val="- 61 -"/>
      <sheetName val="- 62 -"/>
      <sheetName val="- 63 -"/>
      <sheetName val="- 64 -"/>
      <sheetName val="- 65 -"/>
      <sheetName val="- 66 -"/>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 3 -"/>
      <sheetName val="- 4 -"/>
      <sheetName val="- 6 -"/>
      <sheetName val="- 7 -"/>
      <sheetName val="- 8 -"/>
      <sheetName val="- 9 -"/>
      <sheetName val="- 10 -"/>
      <sheetName val="- 12 -"/>
      <sheetName val="- 13 -"/>
      <sheetName val="- 15 -"/>
      <sheetName val="- 16 -"/>
      <sheetName val="- 17 -"/>
      <sheetName val="- 18 -"/>
      <sheetName val="- 19 -"/>
      <sheetName val="- 20 -"/>
      <sheetName val="- 21 -"/>
      <sheetName val="- 22 -"/>
      <sheetName val="- 23 -"/>
      <sheetName val="- 24 -"/>
      <sheetName val="- 25 -"/>
      <sheetName val="- 26 -"/>
      <sheetName val="- 27 -"/>
      <sheetName val="- 28 -"/>
      <sheetName val="- 29 -"/>
      <sheetName val="- 30 -"/>
      <sheetName val="- 31 -"/>
      <sheetName val="- 32 -"/>
      <sheetName val="- 33 -"/>
      <sheetName val="- 34 -"/>
      <sheetName val="- 35 -"/>
      <sheetName val="- 36 -"/>
      <sheetName val="- 37 -"/>
      <sheetName val="- 38 -"/>
      <sheetName val="- 39 -"/>
      <sheetName val="- 41 -"/>
      <sheetName val="- 42 -"/>
      <sheetName val="- 43 -"/>
      <sheetName val="- 44 -"/>
      <sheetName val="- 45 -"/>
      <sheetName val="- 46 -"/>
      <sheetName val="- 47 -"/>
      <sheetName val="- 48 -"/>
      <sheetName val="- 49 -"/>
      <sheetName val="- 50 -"/>
      <sheetName val="- 51 -"/>
      <sheetName val="- 52 -"/>
      <sheetName val="- 54 -"/>
      <sheetName val="- 55 - "/>
      <sheetName val="- 56 -"/>
      <sheetName val="- 58 -"/>
      <sheetName val="- 59 -"/>
      <sheetName val="- 60 -"/>
      <sheetName val="- 61 -"/>
      <sheetName val="- 62 -"/>
      <sheetName val="- 63 -"/>
      <sheetName val="- 64 -"/>
      <sheetName val="- 65 -"/>
      <sheetName val="- 66 -"/>
      <sheetName val="- 67 -"/>
      <sheetName val="Data"/>
    </sheetNames>
    <sheetDataSet>
      <sheetData sheetId="0"/>
      <sheetData sheetId="1">
        <row r="3">
          <cell r="A3" t="str">
            <v>OPERATING FUND 2009/2010 ACTUAL</v>
          </cell>
        </row>
      </sheetData>
      <sheetData sheetId="2"/>
      <sheetData sheetId="3">
        <row r="3">
          <cell r="B3" t="str">
            <v>ACTUAL SEPTEMBER 30, 2009</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1">
          <cell r="B1" t="str">
            <v>ANALYSIS OF OPERATING FUND REVENUE: 2009/2010 ACTUAL</v>
          </cell>
        </row>
      </sheetData>
      <sheetData sheetId="37"/>
      <sheetData sheetId="38"/>
      <sheetData sheetId="39"/>
      <sheetData sheetId="40"/>
      <sheetData sheetId="41"/>
      <sheetData sheetId="42"/>
      <sheetData sheetId="43"/>
      <sheetData sheetId="44"/>
      <sheetData sheetId="45"/>
      <sheetData sheetId="46">
        <row r="3">
          <cell r="B3" t="str">
            <v>FOR THE 2009 TAXATION YEAR</v>
          </cell>
        </row>
      </sheetData>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4">
          <cell r="B4" t="str">
            <v>2008/09</v>
          </cell>
        </row>
        <row r="5">
          <cell r="B5" t="str">
            <v>2009/10</v>
          </cell>
        </row>
        <row r="6">
          <cell r="B6">
            <v>2009</v>
          </cell>
        </row>
        <row r="7">
          <cell r="B7" t="str">
            <v>2010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2" Type="http://schemas.openxmlformats.org/officeDocument/2006/relationships/printerSettings" Target="../printerSettings/printerSettings39.bin"/><Relationship Id="rId1" Type="http://schemas.openxmlformats.org/officeDocument/2006/relationships/hyperlink" Target="http://www.edu.gov.mb.ca/k12/finance/frame_manual/index.html" TargetMode="External"/></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9.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VK19"/>
  <sheetViews>
    <sheetView showRowColHeaders="0" tabSelected="1" workbookViewId="0"/>
  </sheetViews>
  <sheetFormatPr defaultColWidth="0" defaultRowHeight="12" customHeight="1" zeroHeight="1" x14ac:dyDescent="0.2"/>
  <cols>
    <col min="1" max="1" width="9.33203125" style="870" customWidth="1"/>
    <col min="2" max="2" width="133.5" style="870" customWidth="1"/>
    <col min="3" max="3" width="9.33203125" style="870" customWidth="1"/>
    <col min="4" max="256" width="0" style="870" hidden="1"/>
    <col min="257" max="257" width="9.33203125" style="870" hidden="1" customWidth="1"/>
    <col min="258" max="258" width="133.5" style="870" hidden="1" customWidth="1"/>
    <col min="259" max="259" width="9.33203125" style="870" hidden="1" customWidth="1"/>
    <col min="260" max="512" width="0" style="870" hidden="1"/>
    <col min="513" max="513" width="9.33203125" style="870" hidden="1" customWidth="1"/>
    <col min="514" max="514" width="133.5" style="870" hidden="1" customWidth="1"/>
    <col min="515" max="515" width="9.33203125" style="870" hidden="1" customWidth="1"/>
    <col min="516" max="768" width="0" style="870" hidden="1"/>
    <col min="769" max="769" width="9.33203125" style="870" hidden="1" customWidth="1"/>
    <col min="770" max="770" width="133.5" style="870" hidden="1" customWidth="1"/>
    <col min="771" max="771" width="9.33203125" style="870" hidden="1" customWidth="1"/>
    <col min="772" max="1024" width="0" style="870" hidden="1"/>
    <col min="1025" max="1025" width="9.33203125" style="870" hidden="1" customWidth="1"/>
    <col min="1026" max="1026" width="133.5" style="870" hidden="1" customWidth="1"/>
    <col min="1027" max="1027" width="9.33203125" style="870" hidden="1" customWidth="1"/>
    <col min="1028" max="1280" width="0" style="870" hidden="1"/>
    <col min="1281" max="1281" width="9.33203125" style="870" hidden="1" customWidth="1"/>
    <col min="1282" max="1282" width="133.5" style="870" hidden="1" customWidth="1"/>
    <col min="1283" max="1283" width="9.33203125" style="870" hidden="1" customWidth="1"/>
    <col min="1284" max="1536" width="0" style="870" hidden="1"/>
    <col min="1537" max="1537" width="9.33203125" style="870" hidden="1" customWidth="1"/>
    <col min="1538" max="1538" width="133.5" style="870" hidden="1" customWidth="1"/>
    <col min="1539" max="1539" width="9.33203125" style="870" hidden="1" customWidth="1"/>
    <col min="1540" max="1792" width="0" style="870" hidden="1"/>
    <col min="1793" max="1793" width="9.33203125" style="870" hidden="1" customWidth="1"/>
    <col min="1794" max="1794" width="133.5" style="870" hidden="1" customWidth="1"/>
    <col min="1795" max="1795" width="9.33203125" style="870" hidden="1" customWidth="1"/>
    <col min="1796" max="2048" width="0" style="870" hidden="1"/>
    <col min="2049" max="2049" width="9.33203125" style="870" hidden="1" customWidth="1"/>
    <col min="2050" max="2050" width="133.5" style="870" hidden="1" customWidth="1"/>
    <col min="2051" max="2051" width="9.33203125" style="870" hidden="1" customWidth="1"/>
    <col min="2052" max="2304" width="0" style="870" hidden="1"/>
    <col min="2305" max="2305" width="9.33203125" style="870" hidden="1" customWidth="1"/>
    <col min="2306" max="2306" width="133.5" style="870" hidden="1" customWidth="1"/>
    <col min="2307" max="2307" width="9.33203125" style="870" hidden="1" customWidth="1"/>
    <col min="2308" max="2560" width="0" style="870" hidden="1"/>
    <col min="2561" max="2561" width="9.33203125" style="870" hidden="1" customWidth="1"/>
    <col min="2562" max="2562" width="133.5" style="870" hidden="1" customWidth="1"/>
    <col min="2563" max="2563" width="9.33203125" style="870" hidden="1" customWidth="1"/>
    <col min="2564" max="2816" width="0" style="870" hidden="1"/>
    <col min="2817" max="2817" width="9.33203125" style="870" hidden="1" customWidth="1"/>
    <col min="2818" max="2818" width="133.5" style="870" hidden="1" customWidth="1"/>
    <col min="2819" max="2819" width="9.33203125" style="870" hidden="1" customWidth="1"/>
    <col min="2820" max="3072" width="0" style="870" hidden="1"/>
    <col min="3073" max="3073" width="9.33203125" style="870" hidden="1" customWidth="1"/>
    <col min="3074" max="3074" width="133.5" style="870" hidden="1" customWidth="1"/>
    <col min="3075" max="3075" width="9.33203125" style="870" hidden="1" customWidth="1"/>
    <col min="3076" max="3328" width="0" style="870" hidden="1"/>
    <col min="3329" max="3329" width="9.33203125" style="870" hidden="1" customWidth="1"/>
    <col min="3330" max="3330" width="133.5" style="870" hidden="1" customWidth="1"/>
    <col min="3331" max="3331" width="9.33203125" style="870" hidden="1" customWidth="1"/>
    <col min="3332" max="3584" width="0" style="870" hidden="1"/>
    <col min="3585" max="3585" width="9.33203125" style="870" hidden="1" customWidth="1"/>
    <col min="3586" max="3586" width="133.5" style="870" hidden="1" customWidth="1"/>
    <col min="3587" max="3587" width="9.33203125" style="870" hidden="1" customWidth="1"/>
    <col min="3588" max="3840" width="0" style="870" hidden="1"/>
    <col min="3841" max="3841" width="9.33203125" style="870" hidden="1" customWidth="1"/>
    <col min="3842" max="3842" width="133.5" style="870" hidden="1" customWidth="1"/>
    <col min="3843" max="3843" width="9.33203125" style="870" hidden="1" customWidth="1"/>
    <col min="3844" max="4096" width="0" style="870" hidden="1"/>
    <col min="4097" max="4097" width="9.33203125" style="870" hidden="1" customWidth="1"/>
    <col min="4098" max="4098" width="133.5" style="870" hidden="1" customWidth="1"/>
    <col min="4099" max="4099" width="9.33203125" style="870" hidden="1" customWidth="1"/>
    <col min="4100" max="4352" width="0" style="870" hidden="1"/>
    <col min="4353" max="4353" width="9.33203125" style="870" hidden="1" customWidth="1"/>
    <col min="4354" max="4354" width="133.5" style="870" hidden="1" customWidth="1"/>
    <col min="4355" max="4355" width="9.33203125" style="870" hidden="1" customWidth="1"/>
    <col min="4356" max="4608" width="0" style="870" hidden="1"/>
    <col min="4609" max="4609" width="9.33203125" style="870" hidden="1" customWidth="1"/>
    <col min="4610" max="4610" width="133.5" style="870" hidden="1" customWidth="1"/>
    <col min="4611" max="4611" width="9.33203125" style="870" hidden="1" customWidth="1"/>
    <col min="4612" max="4864" width="0" style="870" hidden="1"/>
    <col min="4865" max="4865" width="9.33203125" style="870" hidden="1" customWidth="1"/>
    <col min="4866" max="4866" width="133.5" style="870" hidden="1" customWidth="1"/>
    <col min="4867" max="4867" width="9.33203125" style="870" hidden="1" customWidth="1"/>
    <col min="4868" max="5120" width="0" style="870" hidden="1"/>
    <col min="5121" max="5121" width="9.33203125" style="870" hidden="1" customWidth="1"/>
    <col min="5122" max="5122" width="133.5" style="870" hidden="1" customWidth="1"/>
    <col min="5123" max="5123" width="9.33203125" style="870" hidden="1" customWidth="1"/>
    <col min="5124" max="5376" width="0" style="870" hidden="1"/>
    <col min="5377" max="5377" width="9.33203125" style="870" hidden="1" customWidth="1"/>
    <col min="5378" max="5378" width="133.5" style="870" hidden="1" customWidth="1"/>
    <col min="5379" max="5379" width="9.33203125" style="870" hidden="1" customWidth="1"/>
    <col min="5380" max="5632" width="0" style="870" hidden="1"/>
    <col min="5633" max="5633" width="9.33203125" style="870" hidden="1" customWidth="1"/>
    <col min="5634" max="5634" width="133.5" style="870" hidden="1" customWidth="1"/>
    <col min="5635" max="5635" width="9.33203125" style="870" hidden="1" customWidth="1"/>
    <col min="5636" max="5888" width="0" style="870" hidden="1"/>
    <col min="5889" max="5889" width="9.33203125" style="870" hidden="1" customWidth="1"/>
    <col min="5890" max="5890" width="133.5" style="870" hidden="1" customWidth="1"/>
    <col min="5891" max="5891" width="9.33203125" style="870" hidden="1" customWidth="1"/>
    <col min="5892" max="6144" width="0" style="870" hidden="1"/>
    <col min="6145" max="6145" width="9.33203125" style="870" hidden="1" customWidth="1"/>
    <col min="6146" max="6146" width="133.5" style="870" hidden="1" customWidth="1"/>
    <col min="6147" max="6147" width="9.33203125" style="870" hidden="1" customWidth="1"/>
    <col min="6148" max="6400" width="0" style="870" hidden="1"/>
    <col min="6401" max="6401" width="9.33203125" style="870" hidden="1" customWidth="1"/>
    <col min="6402" max="6402" width="133.5" style="870" hidden="1" customWidth="1"/>
    <col min="6403" max="6403" width="9.33203125" style="870" hidden="1" customWidth="1"/>
    <col min="6404" max="6656" width="0" style="870" hidden="1"/>
    <col min="6657" max="6657" width="9.33203125" style="870" hidden="1" customWidth="1"/>
    <col min="6658" max="6658" width="133.5" style="870" hidden="1" customWidth="1"/>
    <col min="6659" max="6659" width="9.33203125" style="870" hidden="1" customWidth="1"/>
    <col min="6660" max="6912" width="0" style="870" hidden="1"/>
    <col min="6913" max="6913" width="9.33203125" style="870" hidden="1" customWidth="1"/>
    <col min="6914" max="6914" width="133.5" style="870" hidden="1" customWidth="1"/>
    <col min="6915" max="6915" width="9.33203125" style="870" hidden="1" customWidth="1"/>
    <col min="6916" max="7168" width="0" style="870" hidden="1"/>
    <col min="7169" max="7169" width="9.33203125" style="870" hidden="1" customWidth="1"/>
    <col min="7170" max="7170" width="133.5" style="870" hidden="1" customWidth="1"/>
    <col min="7171" max="7171" width="9.33203125" style="870" hidden="1" customWidth="1"/>
    <col min="7172" max="7424" width="0" style="870" hidden="1"/>
    <col min="7425" max="7425" width="9.33203125" style="870" hidden="1" customWidth="1"/>
    <col min="7426" max="7426" width="133.5" style="870" hidden="1" customWidth="1"/>
    <col min="7427" max="7427" width="9.33203125" style="870" hidden="1" customWidth="1"/>
    <col min="7428" max="7680" width="0" style="870" hidden="1"/>
    <col min="7681" max="7681" width="9.33203125" style="870" hidden="1" customWidth="1"/>
    <col min="7682" max="7682" width="133.5" style="870" hidden="1" customWidth="1"/>
    <col min="7683" max="7683" width="9.33203125" style="870" hidden="1" customWidth="1"/>
    <col min="7684" max="7936" width="0" style="870" hidden="1"/>
    <col min="7937" max="7937" width="9.33203125" style="870" hidden="1" customWidth="1"/>
    <col min="7938" max="7938" width="133.5" style="870" hidden="1" customWidth="1"/>
    <col min="7939" max="7939" width="9.33203125" style="870" hidden="1" customWidth="1"/>
    <col min="7940" max="8192" width="0" style="870" hidden="1"/>
    <col min="8193" max="8193" width="9.33203125" style="870" hidden="1" customWidth="1"/>
    <col min="8194" max="8194" width="133.5" style="870" hidden="1" customWidth="1"/>
    <col min="8195" max="8195" width="9.33203125" style="870" hidden="1" customWidth="1"/>
    <col min="8196" max="8448" width="0" style="870" hidden="1"/>
    <col min="8449" max="8449" width="9.33203125" style="870" hidden="1" customWidth="1"/>
    <col min="8450" max="8450" width="133.5" style="870" hidden="1" customWidth="1"/>
    <col min="8451" max="8451" width="9.33203125" style="870" hidden="1" customWidth="1"/>
    <col min="8452" max="8704" width="0" style="870" hidden="1"/>
    <col min="8705" max="8705" width="9.33203125" style="870" hidden="1" customWidth="1"/>
    <col min="8706" max="8706" width="133.5" style="870" hidden="1" customWidth="1"/>
    <col min="8707" max="8707" width="9.33203125" style="870" hidden="1" customWidth="1"/>
    <col min="8708" max="8960" width="0" style="870" hidden="1"/>
    <col min="8961" max="8961" width="9.33203125" style="870" hidden="1" customWidth="1"/>
    <col min="8962" max="8962" width="133.5" style="870" hidden="1" customWidth="1"/>
    <col min="8963" max="8963" width="9.33203125" style="870" hidden="1" customWidth="1"/>
    <col min="8964" max="9216" width="0" style="870" hidden="1"/>
    <col min="9217" max="9217" width="9.33203125" style="870" hidden="1" customWidth="1"/>
    <col min="9218" max="9218" width="133.5" style="870" hidden="1" customWidth="1"/>
    <col min="9219" max="9219" width="9.33203125" style="870" hidden="1" customWidth="1"/>
    <col min="9220" max="9472" width="0" style="870" hidden="1"/>
    <col min="9473" max="9473" width="9.33203125" style="870" hidden="1" customWidth="1"/>
    <col min="9474" max="9474" width="133.5" style="870" hidden="1" customWidth="1"/>
    <col min="9475" max="9475" width="9.33203125" style="870" hidden="1" customWidth="1"/>
    <col min="9476" max="9728" width="0" style="870" hidden="1"/>
    <col min="9729" max="9729" width="9.33203125" style="870" hidden="1" customWidth="1"/>
    <col min="9730" max="9730" width="133.5" style="870" hidden="1" customWidth="1"/>
    <col min="9731" max="9731" width="9.33203125" style="870" hidden="1" customWidth="1"/>
    <col min="9732" max="9984" width="0" style="870" hidden="1"/>
    <col min="9985" max="9985" width="9.33203125" style="870" hidden="1" customWidth="1"/>
    <col min="9986" max="9986" width="133.5" style="870" hidden="1" customWidth="1"/>
    <col min="9987" max="9987" width="9.33203125" style="870" hidden="1" customWidth="1"/>
    <col min="9988" max="10240" width="0" style="870" hidden="1"/>
    <col min="10241" max="10241" width="9.33203125" style="870" hidden="1" customWidth="1"/>
    <col min="10242" max="10242" width="133.5" style="870" hidden="1" customWidth="1"/>
    <col min="10243" max="10243" width="9.33203125" style="870" hidden="1" customWidth="1"/>
    <col min="10244" max="10496" width="0" style="870" hidden="1"/>
    <col min="10497" max="10497" width="9.33203125" style="870" hidden="1" customWidth="1"/>
    <col min="10498" max="10498" width="133.5" style="870" hidden="1" customWidth="1"/>
    <col min="10499" max="10499" width="9.33203125" style="870" hidden="1" customWidth="1"/>
    <col min="10500" max="10752" width="0" style="870" hidden="1"/>
    <col min="10753" max="10753" width="9.33203125" style="870" hidden="1" customWidth="1"/>
    <col min="10754" max="10754" width="133.5" style="870" hidden="1" customWidth="1"/>
    <col min="10755" max="10755" width="9.33203125" style="870" hidden="1" customWidth="1"/>
    <col min="10756" max="11008" width="0" style="870" hidden="1"/>
    <col min="11009" max="11009" width="9.33203125" style="870" hidden="1" customWidth="1"/>
    <col min="11010" max="11010" width="133.5" style="870" hidden="1" customWidth="1"/>
    <col min="11011" max="11011" width="9.33203125" style="870" hidden="1" customWidth="1"/>
    <col min="11012" max="11264" width="0" style="870" hidden="1"/>
    <col min="11265" max="11265" width="9.33203125" style="870" hidden="1" customWidth="1"/>
    <col min="11266" max="11266" width="133.5" style="870" hidden="1" customWidth="1"/>
    <col min="11267" max="11267" width="9.33203125" style="870" hidden="1" customWidth="1"/>
    <col min="11268" max="11520" width="0" style="870" hidden="1"/>
    <col min="11521" max="11521" width="9.33203125" style="870" hidden="1" customWidth="1"/>
    <col min="11522" max="11522" width="133.5" style="870" hidden="1" customWidth="1"/>
    <col min="11523" max="11523" width="9.33203125" style="870" hidden="1" customWidth="1"/>
    <col min="11524" max="11776" width="0" style="870" hidden="1"/>
    <col min="11777" max="11777" width="9.33203125" style="870" hidden="1" customWidth="1"/>
    <col min="11778" max="11778" width="133.5" style="870" hidden="1" customWidth="1"/>
    <col min="11779" max="11779" width="9.33203125" style="870" hidden="1" customWidth="1"/>
    <col min="11780" max="12032" width="0" style="870" hidden="1"/>
    <col min="12033" max="12033" width="9.33203125" style="870" hidden="1" customWidth="1"/>
    <col min="12034" max="12034" width="133.5" style="870" hidden="1" customWidth="1"/>
    <col min="12035" max="12035" width="9.33203125" style="870" hidden="1" customWidth="1"/>
    <col min="12036" max="12288" width="0" style="870" hidden="1"/>
    <col min="12289" max="12289" width="9.33203125" style="870" hidden="1" customWidth="1"/>
    <col min="12290" max="12290" width="133.5" style="870" hidden="1" customWidth="1"/>
    <col min="12291" max="12291" width="9.33203125" style="870" hidden="1" customWidth="1"/>
    <col min="12292" max="12544" width="0" style="870" hidden="1"/>
    <col min="12545" max="12545" width="9.33203125" style="870" hidden="1" customWidth="1"/>
    <col min="12546" max="12546" width="133.5" style="870" hidden="1" customWidth="1"/>
    <col min="12547" max="12547" width="9.33203125" style="870" hidden="1" customWidth="1"/>
    <col min="12548" max="12800" width="0" style="870" hidden="1"/>
    <col min="12801" max="12801" width="9.33203125" style="870" hidden="1" customWidth="1"/>
    <col min="12802" max="12802" width="133.5" style="870" hidden="1" customWidth="1"/>
    <col min="12803" max="12803" width="9.33203125" style="870" hidden="1" customWidth="1"/>
    <col min="12804" max="13056" width="0" style="870" hidden="1"/>
    <col min="13057" max="13057" width="9.33203125" style="870" hidden="1" customWidth="1"/>
    <col min="13058" max="13058" width="133.5" style="870" hidden="1" customWidth="1"/>
    <col min="13059" max="13059" width="9.33203125" style="870" hidden="1" customWidth="1"/>
    <col min="13060" max="13312" width="0" style="870" hidden="1"/>
    <col min="13313" max="13313" width="9.33203125" style="870" hidden="1" customWidth="1"/>
    <col min="13314" max="13314" width="133.5" style="870" hidden="1" customWidth="1"/>
    <col min="13315" max="13315" width="9.33203125" style="870" hidden="1" customWidth="1"/>
    <col min="13316" max="13568" width="0" style="870" hidden="1"/>
    <col min="13569" max="13569" width="9.33203125" style="870" hidden="1" customWidth="1"/>
    <col min="13570" max="13570" width="133.5" style="870" hidden="1" customWidth="1"/>
    <col min="13571" max="13571" width="9.33203125" style="870" hidden="1" customWidth="1"/>
    <col min="13572" max="13824" width="0" style="870" hidden="1"/>
    <col min="13825" max="13825" width="9.33203125" style="870" hidden="1" customWidth="1"/>
    <col min="13826" max="13826" width="133.5" style="870" hidden="1" customWidth="1"/>
    <col min="13827" max="13827" width="9.33203125" style="870" hidden="1" customWidth="1"/>
    <col min="13828" max="14080" width="0" style="870" hidden="1"/>
    <col min="14081" max="14081" width="9.33203125" style="870" hidden="1" customWidth="1"/>
    <col min="14082" max="14082" width="133.5" style="870" hidden="1" customWidth="1"/>
    <col min="14083" max="14083" width="9.33203125" style="870" hidden="1" customWidth="1"/>
    <col min="14084" max="14336" width="0" style="870" hidden="1"/>
    <col min="14337" max="14337" width="9.33203125" style="870" hidden="1" customWidth="1"/>
    <col min="14338" max="14338" width="133.5" style="870" hidden="1" customWidth="1"/>
    <col min="14339" max="14339" width="9.33203125" style="870" hidden="1" customWidth="1"/>
    <col min="14340" max="14592" width="0" style="870" hidden="1"/>
    <col min="14593" max="14593" width="9.33203125" style="870" hidden="1" customWidth="1"/>
    <col min="14594" max="14594" width="133.5" style="870" hidden="1" customWidth="1"/>
    <col min="14595" max="14595" width="9.33203125" style="870" hidden="1" customWidth="1"/>
    <col min="14596" max="14848" width="0" style="870" hidden="1"/>
    <col min="14849" max="14849" width="9.33203125" style="870" hidden="1" customWidth="1"/>
    <col min="14850" max="14850" width="133.5" style="870" hidden="1" customWidth="1"/>
    <col min="14851" max="14851" width="9.33203125" style="870" hidden="1" customWidth="1"/>
    <col min="14852" max="15104" width="0" style="870" hidden="1"/>
    <col min="15105" max="15105" width="9.33203125" style="870" hidden="1" customWidth="1"/>
    <col min="15106" max="15106" width="133.5" style="870" hidden="1" customWidth="1"/>
    <col min="15107" max="15107" width="9.33203125" style="870" hidden="1" customWidth="1"/>
    <col min="15108" max="15360" width="0" style="870" hidden="1"/>
    <col min="15361" max="15361" width="9.33203125" style="870" hidden="1" customWidth="1"/>
    <col min="15362" max="15362" width="133.5" style="870" hidden="1" customWidth="1"/>
    <col min="15363" max="15363" width="9.33203125" style="870" hidden="1" customWidth="1"/>
    <col min="15364" max="15616" width="0" style="870" hidden="1"/>
    <col min="15617" max="15617" width="9.33203125" style="870" hidden="1" customWidth="1"/>
    <col min="15618" max="15618" width="133.5" style="870" hidden="1" customWidth="1"/>
    <col min="15619" max="15619" width="9.33203125" style="870" hidden="1" customWidth="1"/>
    <col min="15620" max="15872" width="0" style="870" hidden="1"/>
    <col min="15873" max="15873" width="9.33203125" style="870" hidden="1" customWidth="1"/>
    <col min="15874" max="15874" width="133.5" style="870" hidden="1" customWidth="1"/>
    <col min="15875" max="15875" width="9.33203125" style="870" hidden="1" customWidth="1"/>
    <col min="15876" max="16128" width="0" style="870" hidden="1"/>
    <col min="16129" max="16129" width="9.33203125" style="870" hidden="1" customWidth="1"/>
    <col min="16130" max="16130" width="133.5" style="870" hidden="1" customWidth="1"/>
    <col min="16131" max="16131" width="9.33203125" style="870" hidden="1" customWidth="1"/>
    <col min="16132" max="16384" width="0" style="870" hidden="1"/>
  </cols>
  <sheetData>
    <row r="1" spans="1:3" ht="14.25" x14ac:dyDescent="0.2">
      <c r="A1" s="869"/>
      <c r="B1" s="869"/>
      <c r="C1" s="869"/>
    </row>
    <row r="2" spans="1:3" ht="15" x14ac:dyDescent="0.25">
      <c r="A2" s="869"/>
      <c r="B2" s="871" t="s">
        <v>655</v>
      </c>
      <c r="C2" s="869"/>
    </row>
    <row r="3" spans="1:3" ht="14.25" x14ac:dyDescent="0.2">
      <c r="A3" s="869"/>
      <c r="B3" s="869"/>
      <c r="C3" s="869"/>
    </row>
    <row r="4" spans="1:3" ht="14.25" x14ac:dyDescent="0.2">
      <c r="A4" s="869"/>
      <c r="B4" s="872" t="s">
        <v>650</v>
      </c>
      <c r="C4" s="872"/>
    </row>
    <row r="5" spans="1:3" ht="14.25" x14ac:dyDescent="0.2">
      <c r="A5" s="869"/>
      <c r="B5" s="869"/>
      <c r="C5" s="869"/>
    </row>
    <row r="6" spans="1:3" ht="14.25" x14ac:dyDescent="0.2">
      <c r="A6" s="869"/>
      <c r="B6" s="873" t="s">
        <v>651</v>
      </c>
      <c r="C6" s="869"/>
    </row>
    <row r="7" spans="1:3" ht="14.25" x14ac:dyDescent="0.2">
      <c r="A7" s="869"/>
      <c r="B7" s="873"/>
      <c r="C7" s="869"/>
    </row>
    <row r="8" spans="1:3" ht="14.25" x14ac:dyDescent="0.2">
      <c r="A8" s="869"/>
      <c r="B8" s="874" t="s">
        <v>652</v>
      </c>
      <c r="C8" s="869"/>
    </row>
    <row r="9" spans="1:3" ht="14.25" x14ac:dyDescent="0.2">
      <c r="A9" s="869"/>
      <c r="B9" s="874"/>
      <c r="C9" s="869"/>
    </row>
    <row r="10" spans="1:3" ht="14.25" x14ac:dyDescent="0.2">
      <c r="A10" s="869"/>
      <c r="B10" s="874"/>
      <c r="C10" s="869"/>
    </row>
    <row r="11" spans="1:3" ht="14.25" x14ac:dyDescent="0.2">
      <c r="A11" s="869"/>
      <c r="B11" s="869"/>
      <c r="C11" s="869"/>
    </row>
    <row r="12" spans="1:3" ht="14.25" x14ac:dyDescent="0.2">
      <c r="A12" s="869"/>
      <c r="B12" s="874" t="s">
        <v>653</v>
      </c>
      <c r="C12" s="869"/>
    </row>
    <row r="13" spans="1:3" ht="14.25" x14ac:dyDescent="0.2">
      <c r="A13" s="869"/>
      <c r="B13" s="874"/>
      <c r="C13" s="869"/>
    </row>
    <row r="14" spans="1:3" ht="14.25" x14ac:dyDescent="0.2">
      <c r="A14" s="869"/>
      <c r="B14" s="869"/>
      <c r="C14" s="869"/>
    </row>
    <row r="15" spans="1:3" ht="14.25" x14ac:dyDescent="0.2">
      <c r="A15" s="869"/>
      <c r="B15" s="874" t="s">
        <v>654</v>
      </c>
      <c r="C15" s="869"/>
    </row>
    <row r="16" spans="1:3" ht="14.25" x14ac:dyDescent="0.2">
      <c r="A16" s="869"/>
      <c r="B16" s="874"/>
      <c r="C16" s="869"/>
    </row>
    <row r="17" spans="1:3" ht="14.25" x14ac:dyDescent="0.2">
      <c r="A17" s="869"/>
      <c r="B17" s="874"/>
      <c r="C17" s="869"/>
    </row>
    <row r="18" spans="1:3" ht="40.5" customHeight="1" x14ac:dyDescent="0.2">
      <c r="A18" s="869"/>
      <c r="B18" s="872"/>
      <c r="C18" s="869"/>
    </row>
    <row r="19" spans="1:3" hidden="1" x14ac:dyDescent="0.2"/>
  </sheetData>
  <mergeCells count="4">
    <mergeCell ref="B6:B7"/>
    <mergeCell ref="B8:B10"/>
    <mergeCell ref="B12:B13"/>
    <mergeCell ref="B15:B17"/>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fitToPage="1"/>
  </sheetPr>
  <dimension ref="A2:Q54"/>
  <sheetViews>
    <sheetView showGridLines="0" showZeros="0" workbookViewId="0"/>
  </sheetViews>
  <sheetFormatPr defaultColWidth="14.83203125" defaultRowHeight="12" x14ac:dyDescent="0.2"/>
  <cols>
    <col min="1" max="1" width="48.83203125" style="2" customWidth="1"/>
    <col min="2" max="2" width="22.83203125" style="2" customWidth="1"/>
    <col min="3" max="3" width="7.83203125" style="2" customWidth="1"/>
    <col min="4" max="4" width="15.83203125" style="2" customWidth="1"/>
    <col min="5" max="5" width="7.83203125" style="2" customWidth="1"/>
    <col min="6" max="6" width="15.83203125" style="2" customWidth="1"/>
    <col min="7" max="7" width="7.83203125" style="2" customWidth="1"/>
    <col min="8" max="8" width="12.83203125" style="2" customWidth="1"/>
    <col min="9" max="9" width="7.83203125" style="2" customWidth="1"/>
    <col min="10" max="10" width="15.83203125" style="2" customWidth="1"/>
    <col min="11" max="11" width="8.83203125" style="2" customWidth="1"/>
    <col min="12" max="12" width="5.83203125" style="2" customWidth="1"/>
    <col min="13" max="13" width="45.6640625" style="495" bestFit="1" customWidth="1"/>
    <col min="14" max="17" width="14.83203125" style="495"/>
    <col min="18" max="16384" width="14.83203125" style="2"/>
  </cols>
  <sheetData>
    <row r="2" spans="1:14" x14ac:dyDescent="0.2">
      <c r="A2" s="39"/>
      <c r="B2" s="39"/>
      <c r="C2" s="40" t="str">
        <f>OPYEAR</f>
        <v>OPERATING FUND 2017/2018 ACTUAL</v>
      </c>
      <c r="D2" s="40"/>
      <c r="E2" s="40"/>
      <c r="F2" s="41"/>
      <c r="G2" s="41"/>
      <c r="H2" s="41"/>
      <c r="I2" s="41"/>
      <c r="J2" s="42"/>
      <c r="K2" s="111" t="s">
        <v>77</v>
      </c>
    </row>
    <row r="3" spans="1:14" ht="11.1" customHeight="1" x14ac:dyDescent="0.2">
      <c r="A3" s="538"/>
      <c r="J3" s="80"/>
      <c r="K3" s="80"/>
    </row>
    <row r="4" spans="1:14" ht="15.75" x14ac:dyDescent="0.25">
      <c r="B4" s="280" t="s">
        <v>258</v>
      </c>
      <c r="C4" s="80"/>
      <c r="D4" s="80"/>
      <c r="E4" s="80"/>
      <c r="F4" s="80"/>
      <c r="G4" s="80"/>
      <c r="H4" s="80"/>
      <c r="I4" s="80"/>
      <c r="J4" s="80"/>
      <c r="K4" s="80"/>
    </row>
    <row r="5" spans="1:14" ht="15.75" x14ac:dyDescent="0.25">
      <c r="B5" s="280" t="s">
        <v>259</v>
      </c>
      <c r="C5" s="80"/>
      <c r="D5" s="80"/>
      <c r="E5" s="80"/>
      <c r="F5" s="80"/>
      <c r="G5" s="80"/>
      <c r="H5" s="80"/>
      <c r="I5" s="80"/>
      <c r="J5" s="80"/>
      <c r="K5" s="80"/>
    </row>
    <row r="6" spans="1:14" ht="11.1" customHeight="1" x14ac:dyDescent="0.2"/>
    <row r="7" spans="1:14" x14ac:dyDescent="0.2">
      <c r="B7" s="112" t="s">
        <v>78</v>
      </c>
      <c r="C7" s="41"/>
      <c r="D7" s="41"/>
      <c r="E7" s="41"/>
      <c r="F7" s="41"/>
      <c r="G7" s="41"/>
      <c r="H7" s="41"/>
      <c r="I7" s="113"/>
    </row>
    <row r="8" spans="1:14" x14ac:dyDescent="0.2">
      <c r="A8" s="8"/>
      <c r="B8" s="642" t="s">
        <v>468</v>
      </c>
      <c r="C8" s="639"/>
      <c r="D8" s="642" t="s">
        <v>75</v>
      </c>
      <c r="E8" s="639"/>
      <c r="F8" s="642" t="s">
        <v>76</v>
      </c>
      <c r="G8" s="639"/>
      <c r="H8" s="311"/>
      <c r="I8" s="306"/>
      <c r="J8" s="316"/>
      <c r="K8" s="306"/>
    </row>
    <row r="9" spans="1:14" x14ac:dyDescent="0.2">
      <c r="A9" s="8"/>
      <c r="B9" s="640"/>
      <c r="C9" s="641"/>
      <c r="D9" s="640"/>
      <c r="E9" s="641"/>
      <c r="F9" s="640"/>
      <c r="G9" s="641"/>
      <c r="H9" s="643" t="s">
        <v>30</v>
      </c>
      <c r="I9" s="644"/>
      <c r="J9" s="643" t="s">
        <v>31</v>
      </c>
      <c r="K9" s="644"/>
    </row>
    <row r="10" spans="1:14" x14ac:dyDescent="0.2">
      <c r="A10" s="114" t="s">
        <v>71</v>
      </c>
      <c r="B10" s="115" t="s">
        <v>43</v>
      </c>
      <c r="C10" s="115" t="s">
        <v>44</v>
      </c>
      <c r="D10" s="115" t="s">
        <v>43</v>
      </c>
      <c r="E10" s="115" t="s">
        <v>44</v>
      </c>
      <c r="F10" s="115" t="s">
        <v>43</v>
      </c>
      <c r="G10" s="115" t="s">
        <v>44</v>
      </c>
      <c r="H10" s="115" t="s">
        <v>43</v>
      </c>
      <c r="I10" s="46" t="s">
        <v>44</v>
      </c>
      <c r="J10" s="115" t="s">
        <v>43</v>
      </c>
      <c r="K10" s="46" t="s">
        <v>44</v>
      </c>
    </row>
    <row r="11" spans="1:14" ht="5.0999999999999996" customHeight="1" x14ac:dyDescent="0.2"/>
    <row r="12" spans="1:14" x14ac:dyDescent="0.2">
      <c r="A12" s="313" t="s">
        <v>72</v>
      </c>
      <c r="B12" s="117"/>
      <c r="C12" s="118"/>
      <c r="D12" s="117"/>
      <c r="E12" s="118"/>
      <c r="F12" s="117"/>
      <c r="G12" s="118"/>
      <c r="H12" s="117"/>
      <c r="I12" s="118"/>
      <c r="J12" s="117"/>
      <c r="K12" s="118"/>
      <c r="M12" s="495" t="s">
        <v>72</v>
      </c>
      <c r="N12" s="875">
        <f>K21/100</f>
        <v>0.7705649785521218</v>
      </c>
    </row>
    <row r="13" spans="1:14" x14ac:dyDescent="0.2">
      <c r="A13" s="119" t="s">
        <v>190</v>
      </c>
      <c r="B13" s="120"/>
      <c r="C13" s="339"/>
      <c r="D13" s="120"/>
      <c r="E13" s="339"/>
      <c r="F13" s="120"/>
      <c r="G13" s="339"/>
      <c r="H13" s="120"/>
      <c r="I13" s="339"/>
      <c r="J13" s="120">
        <f>SUM(F13,D13,B13,'- 12 -'!J13,'- 12 -'!H13,'- 12 -'!F13,'- 12 -'!D13,'- 12 -'!B13)</f>
        <v>3977373</v>
      </c>
      <c r="K13" s="339">
        <f t="shared" ref="K13:K22" si="0">J13/$J$53*100</f>
        <v>0.16875447000951393</v>
      </c>
      <c r="M13" s="495" t="s">
        <v>89</v>
      </c>
      <c r="N13" s="875">
        <f>K22/100</f>
        <v>6.218182089478165E-2</v>
      </c>
    </row>
    <row r="14" spans="1:14" x14ac:dyDescent="0.2">
      <c r="A14" s="119" t="s">
        <v>226</v>
      </c>
      <c r="B14" s="120">
        <v>4054681</v>
      </c>
      <c r="C14" s="339">
        <f>B14/$J$53*100</f>
        <v>0.17203454219974992</v>
      </c>
      <c r="D14" s="120">
        <v>3155060</v>
      </c>
      <c r="E14" s="339">
        <f>D14/$J$53*100</f>
        <v>0.13386485958149186</v>
      </c>
      <c r="F14" s="120">
        <v>4978521</v>
      </c>
      <c r="G14" s="339">
        <f>F14/$J$53*100</f>
        <v>0.21123180370215097</v>
      </c>
      <c r="H14" s="120"/>
      <c r="I14" s="339"/>
      <c r="J14" s="120">
        <f>SUM(F14,D14,B14,'- 12 -'!J14,'- 12 -'!H14,'- 12 -'!F14,'- 12 -'!D14,'- 12 -'!B14)</f>
        <v>140202264</v>
      </c>
      <c r="K14" s="339">
        <f t="shared" si="0"/>
        <v>5.9485893717923757</v>
      </c>
      <c r="M14" s="495" t="s">
        <v>67</v>
      </c>
      <c r="N14" s="875">
        <f>K39/100</f>
        <v>8.9027728467111211E-2</v>
      </c>
    </row>
    <row r="15" spans="1:14" x14ac:dyDescent="0.2">
      <c r="A15" s="119" t="s">
        <v>191</v>
      </c>
      <c r="B15" s="120">
        <v>26978915</v>
      </c>
      <c r="C15" s="339">
        <f>B15/$J$53*100</f>
        <v>1.1446782844497425</v>
      </c>
      <c r="D15" s="120"/>
      <c r="E15" s="339">
        <f>D15/$J$53*100</f>
        <v>0</v>
      </c>
      <c r="F15" s="120"/>
      <c r="G15" s="339">
        <f>F15/$J$53*100</f>
        <v>0</v>
      </c>
      <c r="H15" s="120"/>
      <c r="I15" s="339"/>
      <c r="J15" s="120">
        <f>SUM(F15,D15,B15,'- 12 -'!J15,'- 12 -'!H15,'- 12 -'!F15,'- 12 -'!D15,'- 12 -'!B15)</f>
        <v>1161223281</v>
      </c>
      <c r="K15" s="339">
        <f t="shared" si="0"/>
        <v>49.269107862869255</v>
      </c>
      <c r="M15" s="495" t="s">
        <v>90</v>
      </c>
      <c r="N15" s="875">
        <f>K45/100</f>
        <v>6.100950269430809E-2</v>
      </c>
    </row>
    <row r="16" spans="1:14" x14ac:dyDescent="0.2">
      <c r="A16" s="119" t="s">
        <v>192</v>
      </c>
      <c r="B16" s="120">
        <v>15659473</v>
      </c>
      <c r="C16" s="339">
        <f>B16/$J$53*100</f>
        <v>0.66440991748656542</v>
      </c>
      <c r="D16" s="120">
        <v>348825</v>
      </c>
      <c r="E16" s="339">
        <f>D16/$J$53*100</f>
        <v>1.4800165335528928E-2</v>
      </c>
      <c r="F16" s="120"/>
      <c r="G16" s="339">
        <f>F16/$J$53*100</f>
        <v>0</v>
      </c>
      <c r="H16" s="120"/>
      <c r="I16" s="339"/>
      <c r="J16" s="120">
        <f>SUM(F16,D16,B16,'- 12 -'!J16,'- 12 -'!H16,'- 12 -'!F16,'- 12 -'!D16,'- 12 -'!B16)</f>
        <v>212381231</v>
      </c>
      <c r="K16" s="339">
        <f t="shared" si="0"/>
        <v>9.0110437410253326</v>
      </c>
      <c r="M16" s="495" t="s">
        <v>37</v>
      </c>
      <c r="N16" s="875">
        <f>K48/100</f>
        <v>9.8700566231138499E-4</v>
      </c>
    </row>
    <row r="17" spans="1:15" x14ac:dyDescent="0.2">
      <c r="A17" s="119" t="s">
        <v>193</v>
      </c>
      <c r="B17" s="120">
        <v>4328342</v>
      </c>
      <c r="C17" s="339">
        <f>B17/$J$53*100</f>
        <v>0.18364560231839447</v>
      </c>
      <c r="D17" s="120">
        <v>44007419</v>
      </c>
      <c r="E17" s="339">
        <f>D17/$J$53*100</f>
        <v>1.867174305711738</v>
      </c>
      <c r="F17" s="120">
        <v>110802432</v>
      </c>
      <c r="G17" s="339">
        <f>F17/$J$53*100</f>
        <v>4.7011949062673297</v>
      </c>
      <c r="H17" s="120"/>
      <c r="I17" s="339"/>
      <c r="J17" s="120">
        <f>SUM(F17,D17,B17,'- 12 -'!J17,'- 12 -'!H17,'- 12 -'!F17,'- 12 -'!D17,'- 12 -'!B17)</f>
        <v>176158840</v>
      </c>
      <c r="K17" s="339">
        <f t="shared" si="0"/>
        <v>7.4741774738478801</v>
      </c>
      <c r="M17" s="495" t="s">
        <v>47</v>
      </c>
      <c r="N17" s="875">
        <f>K51/100-N16</f>
        <v>1.622896372936581E-2</v>
      </c>
    </row>
    <row r="18" spans="1:15" x14ac:dyDescent="0.2">
      <c r="A18" s="121" t="s">
        <v>194</v>
      </c>
      <c r="B18" s="120">
        <v>2239749</v>
      </c>
      <c r="C18" s="339">
        <f>B18/$J$53*100</f>
        <v>9.5029471827092607E-2</v>
      </c>
      <c r="D18" s="120">
        <v>1836373</v>
      </c>
      <c r="E18" s="339">
        <f>D18/$J$53*100</f>
        <v>7.7914782534798999E-2</v>
      </c>
      <c r="F18" s="120">
        <v>1812324</v>
      </c>
      <c r="G18" s="339">
        <f>F18/$J$53*100</f>
        <v>7.6894416517013189E-2</v>
      </c>
      <c r="H18" s="120"/>
      <c r="I18" s="339"/>
      <c r="J18" s="120">
        <f>SUM(F18,D18,B18,'- 12 -'!J18,'- 12 -'!H18,'- 12 -'!F18,'- 12 -'!D18,'- 12 -'!B18)</f>
        <v>65135526</v>
      </c>
      <c r="K18" s="339">
        <f t="shared" si="0"/>
        <v>2.7636108478940531</v>
      </c>
      <c r="N18" s="875"/>
    </row>
    <row r="19" spans="1:15" x14ac:dyDescent="0.2">
      <c r="A19" s="121" t="s">
        <v>195</v>
      </c>
      <c r="B19" s="122"/>
      <c r="C19" s="340"/>
      <c r="D19" s="122"/>
      <c r="E19" s="340"/>
      <c r="F19" s="122"/>
      <c r="G19" s="340"/>
      <c r="H19" s="122"/>
      <c r="I19" s="340"/>
      <c r="J19" s="122">
        <f>SUM(F19,D19,B19,'- 12 -'!J19,'- 12 -'!H19,'- 12 -'!F19,'- 12 -'!D19,'- 12 -'!B19)</f>
        <v>40333940</v>
      </c>
      <c r="K19" s="340">
        <f t="shared" si="0"/>
        <v>1.7113136404595533</v>
      </c>
      <c r="N19" s="875">
        <f>SUM(N12:N17)</f>
        <v>0.99999999999999978</v>
      </c>
    </row>
    <row r="20" spans="1:15" x14ac:dyDescent="0.2">
      <c r="A20" s="124" t="s">
        <v>196</v>
      </c>
      <c r="B20" s="123">
        <v>258088</v>
      </c>
      <c r="C20" s="340">
        <f>B20/'- 13 -'!$J$53*100</f>
        <v>1.0950319131702115E-2</v>
      </c>
      <c r="D20" s="123">
        <v>0</v>
      </c>
      <c r="E20" s="340">
        <f>D20/'- 13 -'!$J$53*100</f>
        <v>0</v>
      </c>
      <c r="F20" s="123">
        <v>0</v>
      </c>
      <c r="G20" s="340">
        <f>F20/'- 13 -'!$J$53*100</f>
        <v>0</v>
      </c>
      <c r="H20" s="123"/>
      <c r="I20" s="340"/>
      <c r="J20" s="123">
        <f>SUM(F20,D20,B20,'- 12 -'!J20,'- 12 -'!H20,'- 12 -'!F20,'- 12 -'!D20,'- 12 -'!B20)</f>
        <v>16731639</v>
      </c>
      <c r="K20" s="340">
        <f t="shared" si="0"/>
        <v>0.70990044731422319</v>
      </c>
      <c r="N20" s="875"/>
    </row>
    <row r="21" spans="1:15" x14ac:dyDescent="0.2">
      <c r="A21" s="125" t="s">
        <v>197</v>
      </c>
      <c r="B21" s="342">
        <f>SUM(B13:B20)</f>
        <v>53519248</v>
      </c>
      <c r="C21" s="343">
        <f>B21/$J$53*100</f>
        <v>2.2707481374132468</v>
      </c>
      <c r="D21" s="342">
        <f>SUM(D13:D20)</f>
        <v>49347677</v>
      </c>
      <c r="E21" s="343">
        <f>D21/$J$53*100</f>
        <v>2.0937541131635582</v>
      </c>
      <c r="F21" s="342">
        <f>SUM(F13:F20)</f>
        <v>117593277</v>
      </c>
      <c r="G21" s="343">
        <f>F21/$J$53*100</f>
        <v>4.9893211264864936</v>
      </c>
      <c r="H21" s="342"/>
      <c r="I21" s="343"/>
      <c r="J21" s="342">
        <f>SUM(F21,D21,B21,'- 12 -'!J21,'- 12 -'!H21,'- 12 -'!F21,'- 12 -'!D21,'- 12 -'!B21)</f>
        <v>1816144094</v>
      </c>
      <c r="K21" s="343">
        <f t="shared" si="0"/>
        <v>77.056497855212186</v>
      </c>
      <c r="N21" s="875"/>
    </row>
    <row r="22" spans="1:15" x14ac:dyDescent="0.2">
      <c r="A22" s="313" t="s">
        <v>80</v>
      </c>
      <c r="B22" s="342">
        <v>4959873</v>
      </c>
      <c r="C22" s="343">
        <f>B22/$J$53*100</f>
        <v>0.21044059469139503</v>
      </c>
      <c r="D22" s="342">
        <v>7277585</v>
      </c>
      <c r="E22" s="343">
        <f>D22/$J$53*100</f>
        <v>0.30877792945851157</v>
      </c>
      <c r="F22" s="342">
        <v>19191124</v>
      </c>
      <c r="G22" s="343">
        <f>F22/$J$53*100</f>
        <v>0.81425301562284025</v>
      </c>
      <c r="H22" s="342"/>
      <c r="I22" s="343"/>
      <c r="J22" s="342">
        <f>SUM(F22,D22,B22,'- 12 -'!J22,'- 12 -'!H22,'- 12 -'!F22,'- 12 -'!D22,'- 12 -'!B22)</f>
        <v>146556293</v>
      </c>
      <c r="K22" s="343">
        <f t="shared" si="0"/>
        <v>6.218182089478165</v>
      </c>
    </row>
    <row r="23" spans="1:15" x14ac:dyDescent="0.2">
      <c r="A23" s="313" t="s">
        <v>67</v>
      </c>
      <c r="B23" s="128"/>
      <c r="C23" s="341"/>
      <c r="D23" s="128"/>
      <c r="E23" s="341"/>
      <c r="F23" s="128"/>
      <c r="G23" s="341"/>
      <c r="H23" s="128"/>
      <c r="I23" s="341"/>
      <c r="J23" s="128"/>
      <c r="K23" s="341"/>
      <c r="M23" s="495" t="s">
        <v>26</v>
      </c>
      <c r="N23" s="875">
        <f>'- 12 -'!C50/100</f>
        <v>0.55666709833267525</v>
      </c>
      <c r="O23" s="495" t="s">
        <v>26</v>
      </c>
    </row>
    <row r="24" spans="1:15" x14ac:dyDescent="0.2">
      <c r="A24" s="121" t="s">
        <v>198</v>
      </c>
      <c r="B24" s="120">
        <v>2012764</v>
      </c>
      <c r="C24" s="339">
        <f t="shared" ref="C24:C34" si="1">B24/$J$53*100</f>
        <v>8.5398810238373243E-2</v>
      </c>
      <c r="D24" s="120">
        <v>390366</v>
      </c>
      <c r="E24" s="339">
        <f t="shared" ref="E24:E34" si="2">D24/$J$53*100</f>
        <v>1.6562692872841928E-2</v>
      </c>
      <c r="F24" s="120">
        <v>5717163</v>
      </c>
      <c r="G24" s="339">
        <f t="shared" ref="G24:G34" si="3">F24/$J$53*100</f>
        <v>0.24257136859505071</v>
      </c>
      <c r="H24" s="120"/>
      <c r="I24" s="339"/>
      <c r="J24" s="120">
        <f>SUM(F24,D24,B24,'- 12 -'!J24,'- 12 -'!H24,'- 12 -'!F24,'- 12 -'!D24,'- 12 -'!B24)</f>
        <v>27993673</v>
      </c>
      <c r="K24" s="339">
        <f t="shared" ref="K24:K39" si="4">J24/$J$53*100</f>
        <v>1.1877330717372094</v>
      </c>
      <c r="M24" s="495" t="s">
        <v>27</v>
      </c>
      <c r="N24" s="875">
        <f>'- 12 -'!E50/100</f>
        <v>0.18602186756260403</v>
      </c>
      <c r="O24" s="495" t="s">
        <v>260</v>
      </c>
    </row>
    <row r="25" spans="1:15" x14ac:dyDescent="0.2">
      <c r="A25" s="121" t="s">
        <v>199</v>
      </c>
      <c r="B25" s="122">
        <v>137656</v>
      </c>
      <c r="C25" s="340">
        <f t="shared" si="1"/>
        <v>5.8405548897801762E-3</v>
      </c>
      <c r="D25" s="122">
        <v>314288</v>
      </c>
      <c r="E25" s="340">
        <f t="shared" si="2"/>
        <v>1.3334807892131342E-2</v>
      </c>
      <c r="F25" s="122">
        <v>674406</v>
      </c>
      <c r="G25" s="340">
        <f t="shared" si="3"/>
        <v>2.8614119696904531E-2</v>
      </c>
      <c r="H25" s="122"/>
      <c r="I25" s="340"/>
      <c r="J25" s="122">
        <f>SUM(F25,D25,B25,'- 12 -'!J25,'- 12 -'!H25,'- 12 -'!F25,'- 12 -'!D25,'- 12 -'!B25)</f>
        <v>6895872</v>
      </c>
      <c r="K25" s="340">
        <f t="shared" si="4"/>
        <v>0.29258237148324956</v>
      </c>
      <c r="M25" s="495" t="s">
        <v>106</v>
      </c>
      <c r="N25" s="875">
        <f>'- 12 -'!G50/100</f>
        <v>4.7554682464577341E-3</v>
      </c>
      <c r="O25" s="495" t="s">
        <v>106</v>
      </c>
    </row>
    <row r="26" spans="1:15" x14ac:dyDescent="0.2">
      <c r="A26" s="121" t="s">
        <v>200</v>
      </c>
      <c r="B26" s="122"/>
      <c r="C26" s="340">
        <f t="shared" si="1"/>
        <v>0</v>
      </c>
      <c r="D26" s="122"/>
      <c r="E26" s="340">
        <f t="shared" si="2"/>
        <v>0</v>
      </c>
      <c r="F26" s="122">
        <v>45071789</v>
      </c>
      <c r="G26" s="340">
        <f t="shared" si="3"/>
        <v>1.9123340619739815</v>
      </c>
      <c r="H26" s="122"/>
      <c r="I26" s="340"/>
      <c r="J26" s="122">
        <f>SUM(F26,D26,B26,'- 12 -'!J26,'- 12 -'!H26,'- 12 -'!F26,'- 12 -'!D26,'- 12 -'!B26)</f>
        <v>45109713</v>
      </c>
      <c r="K26" s="340">
        <f t="shared" si="4"/>
        <v>1.9139431251723891</v>
      </c>
      <c r="L26" s="636" t="s">
        <v>107</v>
      </c>
      <c r="M26" s="495" t="s">
        <v>28</v>
      </c>
      <c r="N26" s="875">
        <f>'- 12 -'!I50/100</f>
        <v>1.079832070181244E-2</v>
      </c>
      <c r="O26" s="495" t="s">
        <v>28</v>
      </c>
    </row>
    <row r="27" spans="1:15" ht="12.75" customHeight="1" x14ac:dyDescent="0.2">
      <c r="A27" s="121" t="s">
        <v>222</v>
      </c>
      <c r="B27" s="122">
        <v>939341</v>
      </c>
      <c r="C27" s="340">
        <f t="shared" si="1"/>
        <v>3.9854947628298082E-2</v>
      </c>
      <c r="D27" s="122">
        <v>1265540</v>
      </c>
      <c r="E27" s="340">
        <f t="shared" si="2"/>
        <v>5.3695122880313285E-2</v>
      </c>
      <c r="F27" s="122">
        <v>778388</v>
      </c>
      <c r="G27" s="340">
        <f t="shared" si="3"/>
        <v>3.302593304720617E-2</v>
      </c>
      <c r="H27" s="122"/>
      <c r="I27" s="340"/>
      <c r="J27" s="122">
        <f>SUM(F27,D27,B27,'- 12 -'!J27,'- 12 -'!H27,'- 12 -'!F27,'- 12 -'!D27,'- 12 -'!B27)</f>
        <v>11188034</v>
      </c>
      <c r="K27" s="340">
        <f t="shared" si="4"/>
        <v>0.47469290612633569</v>
      </c>
      <c r="L27" s="637"/>
      <c r="M27" s="495" t="s">
        <v>93</v>
      </c>
      <c r="N27" s="875">
        <f>'- 12 -'!K50/100</f>
        <v>3.3841059922802487E-2</v>
      </c>
      <c r="O27" s="495" t="s">
        <v>93</v>
      </c>
    </row>
    <row r="28" spans="1:15" ht="12.75" customHeight="1" x14ac:dyDescent="0.2">
      <c r="A28" s="121" t="s">
        <v>201</v>
      </c>
      <c r="B28" s="122"/>
      <c r="C28" s="340">
        <f t="shared" si="1"/>
        <v>0</v>
      </c>
      <c r="D28" s="122">
        <v>20079311</v>
      </c>
      <c r="E28" s="340">
        <f t="shared" si="2"/>
        <v>0.85193756933564013</v>
      </c>
      <c r="F28" s="122"/>
      <c r="G28" s="340">
        <f t="shared" si="3"/>
        <v>0</v>
      </c>
      <c r="H28" s="122"/>
      <c r="I28" s="340"/>
      <c r="J28" s="122">
        <f>SUM(F28,D28,B28,'- 12 -'!J28,'- 12 -'!H28,'- 12 -'!F28,'- 12 -'!D28,'- 12 -'!B28)</f>
        <v>20079311</v>
      </c>
      <c r="K28" s="340">
        <f t="shared" si="4"/>
        <v>0.85193756933564013</v>
      </c>
      <c r="L28" s="637"/>
      <c r="M28" s="495" t="s">
        <v>92</v>
      </c>
      <c r="N28" s="875">
        <f>C53/100</f>
        <v>3.3826998651982312E-2</v>
      </c>
      <c r="O28" s="495" t="s">
        <v>92</v>
      </c>
    </row>
    <row r="29" spans="1:15" ht="12.75" customHeight="1" x14ac:dyDescent="0.2">
      <c r="A29" s="121" t="s">
        <v>202</v>
      </c>
      <c r="B29" s="122">
        <v>10740</v>
      </c>
      <c r="C29" s="340">
        <f t="shared" si="1"/>
        <v>4.5568343927063909E-4</v>
      </c>
      <c r="D29" s="122"/>
      <c r="E29" s="340">
        <f t="shared" si="2"/>
        <v>0</v>
      </c>
      <c r="F29" s="122"/>
      <c r="G29" s="340">
        <f t="shared" si="3"/>
        <v>0</v>
      </c>
      <c r="H29" s="122"/>
      <c r="I29" s="340"/>
      <c r="J29" s="122">
        <f>SUM(F29,D29,B29,'- 12 -'!J29,'- 12 -'!H29,'- 12 -'!F29,'- 12 -'!D29,'- 12 -'!B29)</f>
        <v>1852251</v>
      </c>
      <c r="K29" s="340">
        <f t="shared" si="4"/>
        <v>7.8588464252558721E-2</v>
      </c>
      <c r="M29" s="495" t="s">
        <v>75</v>
      </c>
      <c r="N29" s="875">
        <f>E53/100</f>
        <v>4.4288258290347882E-2</v>
      </c>
      <c r="O29" s="495" t="s">
        <v>75</v>
      </c>
    </row>
    <row r="30" spans="1:15" ht="12.75" customHeight="1" x14ac:dyDescent="0.2">
      <c r="A30" s="121" t="s">
        <v>203</v>
      </c>
      <c r="B30" s="122">
        <v>182797</v>
      </c>
      <c r="C30" s="340">
        <f t="shared" si="1"/>
        <v>7.7558254793626642E-3</v>
      </c>
      <c r="D30" s="122">
        <v>9133</v>
      </c>
      <c r="E30" s="340">
        <f t="shared" si="2"/>
        <v>3.875006378825649E-4</v>
      </c>
      <c r="F30" s="122">
        <v>8671</v>
      </c>
      <c r="G30" s="340">
        <f t="shared" si="3"/>
        <v>3.6789861284131396E-4</v>
      </c>
      <c r="H30" s="122"/>
      <c r="I30" s="340"/>
      <c r="J30" s="122">
        <f>SUM(F30,D30,B30,'- 12 -'!J30,'- 12 -'!H30,'- 12 -'!F30,'- 12 -'!D30,'- 12 -'!B30)</f>
        <v>801235</v>
      </c>
      <c r="K30" s="340">
        <f t="shared" si="4"/>
        <v>3.3995299856984219E-2</v>
      </c>
      <c r="M30" s="495" t="s">
        <v>91</v>
      </c>
      <c r="N30" s="875">
        <f>G53/100</f>
        <v>0.11258495889964068</v>
      </c>
      <c r="O30" s="495" t="s">
        <v>91</v>
      </c>
    </row>
    <row r="31" spans="1:15" ht="12.75" customHeight="1" x14ac:dyDescent="0.2">
      <c r="A31" s="121" t="s">
        <v>204</v>
      </c>
      <c r="B31" s="122">
        <v>108559</v>
      </c>
      <c r="C31" s="340">
        <f t="shared" si="1"/>
        <v>4.6060091698120397E-3</v>
      </c>
      <c r="D31" s="122">
        <v>1181167</v>
      </c>
      <c r="E31" s="340">
        <f t="shared" si="2"/>
        <v>5.0115292449998412E-2</v>
      </c>
      <c r="F31" s="122">
        <v>9359249</v>
      </c>
      <c r="G31" s="340">
        <f t="shared" si="3"/>
        <v>0.39710007200282027</v>
      </c>
      <c r="H31" s="122"/>
      <c r="I31" s="340"/>
      <c r="J31" s="122">
        <f>SUM(F31,D31,B31,'- 12 -'!J31,'- 12 -'!H31,'- 12 -'!F31,'- 12 -'!D31,'- 12 -'!B31)</f>
        <v>12338510</v>
      </c>
      <c r="K31" s="340">
        <f t="shared" si="4"/>
        <v>0.52350602162711113</v>
      </c>
      <c r="M31" s="495" t="s">
        <v>30</v>
      </c>
      <c r="N31" s="875">
        <f>I53/100</f>
        <v>1.7215969391677195E-2</v>
      </c>
      <c r="O31" s="495" t="s">
        <v>30</v>
      </c>
    </row>
    <row r="32" spans="1:15" x14ac:dyDescent="0.2">
      <c r="A32" s="121" t="s">
        <v>205</v>
      </c>
      <c r="B32" s="122">
        <v>94781</v>
      </c>
      <c r="C32" s="340">
        <f t="shared" si="1"/>
        <v>4.0214275658762054E-3</v>
      </c>
      <c r="D32" s="122">
        <v>3189582</v>
      </c>
      <c r="E32" s="340">
        <f t="shared" si="2"/>
        <v>0.13532958059550498</v>
      </c>
      <c r="F32" s="122">
        <v>32475073</v>
      </c>
      <c r="G32" s="340">
        <f t="shared" si="3"/>
        <v>1.3778727146373437</v>
      </c>
      <c r="H32" s="122"/>
      <c r="I32" s="340"/>
      <c r="J32" s="122">
        <f>SUM(F32,D32,B32,'- 12 -'!J32,'- 12 -'!H32,'- 12 -'!F32,'- 12 -'!D32,'- 12 -'!B32)</f>
        <v>39147079</v>
      </c>
      <c r="K32" s="340">
        <f t="shared" si="4"/>
        <v>1.6609567594152153</v>
      </c>
      <c r="N32" s="875"/>
    </row>
    <row r="33" spans="1:14" x14ac:dyDescent="0.2">
      <c r="A33" s="121" t="s">
        <v>206</v>
      </c>
      <c r="B33" s="122">
        <v>381685</v>
      </c>
      <c r="C33" s="340">
        <f t="shared" si="1"/>
        <v>1.6194369973744311E-2</v>
      </c>
      <c r="D33" s="122">
        <v>973832</v>
      </c>
      <c r="E33" s="340">
        <f t="shared" si="2"/>
        <v>4.1318353354916668E-2</v>
      </c>
      <c r="F33" s="122">
        <v>2270872</v>
      </c>
      <c r="G33" s="340">
        <f t="shared" si="3"/>
        <v>9.6349977942587969E-2</v>
      </c>
      <c r="H33" s="122"/>
      <c r="I33" s="340"/>
      <c r="J33" s="122">
        <f>SUM(F33,D33,B33,'- 12 -'!J33,'- 12 -'!H33,'- 12 -'!F33,'- 12 -'!D33,'- 12 -'!B33)</f>
        <v>8138291</v>
      </c>
      <c r="K33" s="340">
        <f t="shared" si="4"/>
        <v>0.34529650211036206</v>
      </c>
      <c r="N33" s="875">
        <f>SUM(N23:N31)</f>
        <v>1.0000000000000002</v>
      </c>
    </row>
    <row r="34" spans="1:14" x14ac:dyDescent="0.2">
      <c r="A34" s="392" t="s">
        <v>247</v>
      </c>
      <c r="B34" s="122"/>
      <c r="C34" s="340">
        <f t="shared" si="1"/>
        <v>0</v>
      </c>
      <c r="D34" s="122"/>
      <c r="E34" s="340">
        <f t="shared" si="2"/>
        <v>0</v>
      </c>
      <c r="F34" s="122">
        <v>5007550</v>
      </c>
      <c r="G34" s="340">
        <f t="shared" si="3"/>
        <v>0.21246346427557625</v>
      </c>
      <c r="H34" s="122"/>
      <c r="I34" s="340"/>
      <c r="J34" s="122">
        <f>SUM(F34,D34,B34,'- 12 -'!J34,'- 12 -'!H34,'- 12 -'!F34,'- 12 -'!D34,'- 12 -'!B34)</f>
        <v>5011157</v>
      </c>
      <c r="K34" s="340">
        <f t="shared" si="4"/>
        <v>0.21261650432822513</v>
      </c>
    </row>
    <row r="35" spans="1:14" x14ac:dyDescent="0.2">
      <c r="A35" s="121" t="s">
        <v>207</v>
      </c>
      <c r="B35" s="122">
        <v>23673</v>
      </c>
      <c r="C35" s="340">
        <f>B35/J53</f>
        <v>1.0044128545487747E-5</v>
      </c>
      <c r="D35" s="122">
        <v>45771</v>
      </c>
      <c r="E35" s="340">
        <f>D35/J53</f>
        <v>1.9420006237296484E-5</v>
      </c>
      <c r="F35" s="122">
        <v>41531</v>
      </c>
      <c r="G35" s="340">
        <f>F35/J53</f>
        <v>1.7621032510566958E-5</v>
      </c>
      <c r="H35" s="122"/>
      <c r="I35" s="340"/>
      <c r="J35" s="122">
        <f>SUM(F35,D35,B35,'- 12 -'!J35,'- 12 -'!H35,'- 12 -'!F35,'- 12 -'!D35,'- 12 -'!B35)</f>
        <v>1334283</v>
      </c>
      <c r="K35" s="340">
        <f t="shared" si="4"/>
        <v>5.6611793892024788E-2</v>
      </c>
    </row>
    <row r="36" spans="1:14" x14ac:dyDescent="0.2">
      <c r="A36" s="121" t="s">
        <v>208</v>
      </c>
      <c r="B36" s="122">
        <v>207138</v>
      </c>
      <c r="C36" s="340">
        <f>B36/$J$53*100</f>
        <v>8.7885806558325556E-3</v>
      </c>
      <c r="D36" s="122">
        <v>56658</v>
      </c>
      <c r="E36" s="340">
        <f>D36/$J$53*100</f>
        <v>2.4039210709679579E-3</v>
      </c>
      <c r="F36" s="122">
        <v>87768</v>
      </c>
      <c r="G36" s="340">
        <f>F36/$J$53*100</f>
        <v>3.7238756143301169E-3</v>
      </c>
      <c r="H36" s="122"/>
      <c r="I36" s="340"/>
      <c r="J36" s="122">
        <f>SUM(F36,D36,B36,'- 12 -'!J36,'- 12 -'!H36,'- 12 -'!F36,'- 12 -'!D36,'- 12 -'!B36)</f>
        <v>4388088</v>
      </c>
      <c r="K36" s="340">
        <f t="shared" si="4"/>
        <v>0.18618054298530914</v>
      </c>
    </row>
    <row r="37" spans="1:14" x14ac:dyDescent="0.2">
      <c r="A37" s="126" t="s">
        <v>209</v>
      </c>
      <c r="B37" s="122">
        <v>8801895</v>
      </c>
      <c r="C37" s="340">
        <f>B37/'- 13 -'!$J$53*100</f>
        <v>0.37345230779320687</v>
      </c>
      <c r="D37" s="122">
        <v>192050</v>
      </c>
      <c r="E37" s="340">
        <f>D37/'- 13 -'!$J$53*100</f>
        <v>8.1484175523208781E-3</v>
      </c>
      <c r="F37" s="122">
        <v>239571</v>
      </c>
      <c r="G37" s="340">
        <f>F37/'- 13 -'!$J$53*100</f>
        <v>1.0164668270903751E-2</v>
      </c>
      <c r="H37" s="122"/>
      <c r="I37" s="340"/>
      <c r="J37" s="122">
        <f>SUM(F37,D37,B37,'- 12 -'!J37,'- 12 -'!H37,'- 12 -'!F37,'- 12 -'!D37,'- 12 -'!B37)</f>
        <v>11046716</v>
      </c>
      <c r="K37" s="340">
        <f t="shared" si="4"/>
        <v>0.46869697760949697</v>
      </c>
    </row>
    <row r="38" spans="1:14" x14ac:dyDescent="0.2">
      <c r="A38" s="127" t="s">
        <v>210</v>
      </c>
      <c r="B38" s="122">
        <v>599292</v>
      </c>
      <c r="C38" s="340">
        <f>B38/$J$53*100</f>
        <v>2.5427135911301659E-2</v>
      </c>
      <c r="D38" s="122">
        <v>519685</v>
      </c>
      <c r="E38" s="340">
        <f>D38/$J$53*100</f>
        <v>2.2049520310741349E-2</v>
      </c>
      <c r="F38" s="122">
        <v>264056</v>
      </c>
      <c r="G38" s="340">
        <f>F38/$J$53*100</f>
        <v>1.1203533169464422E-2</v>
      </c>
      <c r="H38" s="122"/>
      <c r="I38" s="340"/>
      <c r="J38" s="122">
        <f>SUM(F38,D38,B38,'- 12 -'!J38,'- 12 -'!H38,'- 12 -'!F38,'- 12 -'!D38,'- 12 -'!B38)</f>
        <v>14505182</v>
      </c>
      <c r="K38" s="340">
        <f t="shared" si="4"/>
        <v>0.61543493677900996</v>
      </c>
    </row>
    <row r="39" spans="1:14" x14ac:dyDescent="0.2">
      <c r="A39" s="125" t="s">
        <v>211</v>
      </c>
      <c r="B39" s="342">
        <f>SUM(B24:B38)</f>
        <v>13500321</v>
      </c>
      <c r="C39" s="343">
        <f>B39/$J$53*100</f>
        <v>0.57280006559940722</v>
      </c>
      <c r="D39" s="342">
        <f>SUM(D24:D38)</f>
        <v>28217383</v>
      </c>
      <c r="E39" s="343">
        <f>D39/$J$53*100</f>
        <v>1.1972247795769893</v>
      </c>
      <c r="F39" s="342">
        <f>SUM(F24:F38)</f>
        <v>101996087</v>
      </c>
      <c r="G39" s="343">
        <f>F39/$J$53*100</f>
        <v>4.3275537910900672</v>
      </c>
      <c r="H39" s="342"/>
      <c r="I39" s="343"/>
      <c r="J39" s="342">
        <f>SUM(F39,D39,B39,'- 12 -'!J39,'- 12 -'!H39,'- 12 -'!F39,'- 12 -'!D39,'- 12 -'!B39)</f>
        <v>209829395</v>
      </c>
      <c r="K39" s="343">
        <f t="shared" si="4"/>
        <v>8.9027728467111213</v>
      </c>
    </row>
    <row r="40" spans="1:14" x14ac:dyDescent="0.2">
      <c r="A40" s="314" t="s">
        <v>212</v>
      </c>
      <c r="B40" s="128"/>
      <c r="C40" s="341"/>
      <c r="D40" s="128"/>
      <c r="E40" s="341"/>
      <c r="F40" s="128"/>
      <c r="G40" s="341"/>
      <c r="H40" s="128"/>
      <c r="I40" s="341"/>
      <c r="J40" s="128"/>
      <c r="K40" s="341"/>
    </row>
    <row r="41" spans="1:14" x14ac:dyDescent="0.2">
      <c r="A41" s="121" t="s">
        <v>213</v>
      </c>
      <c r="B41" s="122">
        <v>4170662</v>
      </c>
      <c r="C41" s="340">
        <f>B41/$J$53*100</f>
        <v>0.1769554566289909</v>
      </c>
      <c r="D41" s="122">
        <v>18856863</v>
      </c>
      <c r="E41" s="340">
        <f>D41/$J$53*100</f>
        <v>0.8000707807909927</v>
      </c>
      <c r="F41" s="122">
        <v>22485068</v>
      </c>
      <c r="G41" s="340">
        <f>F41/$J$53*100</f>
        <v>0.95401053244638634</v>
      </c>
      <c r="H41" s="122"/>
      <c r="I41" s="340"/>
      <c r="J41" s="122">
        <f>SUM(F41,D41,B41,'- 12 -'!J41,'- 12 -'!H41,'- 12 -'!F41,'- 12 -'!D41,'- 12 -'!B41)</f>
        <v>84209690</v>
      </c>
      <c r="K41" s="340">
        <f>J41/$J$53*100</f>
        <v>3.5729014114631608</v>
      </c>
    </row>
    <row r="42" spans="1:14" x14ac:dyDescent="0.2">
      <c r="A42" s="121" t="s">
        <v>214</v>
      </c>
      <c r="B42" s="122">
        <v>2779014</v>
      </c>
      <c r="C42" s="340">
        <f>B42/$J$53*100</f>
        <v>0.11790974462767745</v>
      </c>
      <c r="D42" s="122">
        <v>65543</v>
      </c>
      <c r="E42" s="340">
        <f>D42/$J$53*100</f>
        <v>2.7808994096941804E-3</v>
      </c>
      <c r="F42" s="122">
        <v>11855</v>
      </c>
      <c r="G42" s="340">
        <f>F42/$J$53*100</f>
        <v>5.0299135684855E-4</v>
      </c>
      <c r="H42" s="122"/>
      <c r="I42" s="340"/>
      <c r="J42" s="122">
        <f>SUM(F42,D42,B42,'- 12 -'!J42,'- 12 -'!H42,'- 12 -'!F42,'- 12 -'!D42,'- 12 -'!B42)</f>
        <v>14630552</v>
      </c>
      <c r="K42" s="340">
        <f>J42/$J$53*100</f>
        <v>0.62075421357429494</v>
      </c>
    </row>
    <row r="43" spans="1:14" x14ac:dyDescent="0.2">
      <c r="A43" s="121" t="s">
        <v>215</v>
      </c>
      <c r="B43" s="122">
        <v>396461</v>
      </c>
      <c r="C43" s="340">
        <f>B43/$J$53*100</f>
        <v>1.6821295346059296E-2</v>
      </c>
      <c r="D43" s="122">
        <v>444189</v>
      </c>
      <c r="E43" s="340">
        <f>D43/$J$53*100</f>
        <v>1.8846328790147662E-2</v>
      </c>
      <c r="F43" s="122">
        <v>3890972</v>
      </c>
      <c r="G43" s="340">
        <f>F43/$J$53*100</f>
        <v>0.16508859432642059</v>
      </c>
      <c r="H43" s="122"/>
      <c r="I43" s="340"/>
      <c r="J43" s="122">
        <f>SUM(F43,D43,B43,'- 12 -'!J43,'- 12 -'!H43,'- 12 -'!F43,'- 12 -'!D43,'- 12 -'!B43)</f>
        <v>19293338</v>
      </c>
      <c r="K43" s="340">
        <f>J43/$J$53*100</f>
        <v>0.81858981516302731</v>
      </c>
    </row>
    <row r="44" spans="1:14" x14ac:dyDescent="0.2">
      <c r="A44" s="127" t="s">
        <v>216</v>
      </c>
      <c r="B44" s="122">
        <v>401252</v>
      </c>
      <c r="C44" s="340">
        <f>B44/$J$53*100</f>
        <v>1.7024570891454607E-2</v>
      </c>
      <c r="D44" s="122">
        <v>173727</v>
      </c>
      <c r="E44" s="340">
        <f>D44/$J$53*100</f>
        <v>7.3709978448948162E-3</v>
      </c>
      <c r="F44" s="122">
        <v>183033</v>
      </c>
      <c r="G44" s="340">
        <f>F44/$J$53*100</f>
        <v>7.7658386350114425E-3</v>
      </c>
      <c r="H44" s="122"/>
      <c r="I44" s="340"/>
      <c r="J44" s="122">
        <f>SUM(F44,D44,B44,'- 12 -'!J44,'- 12 -'!H44,'- 12 -'!F44,'- 12 -'!D44,'- 12 -'!B44)</f>
        <v>25659677</v>
      </c>
      <c r="K44" s="340">
        <f>J44/$J$53*100</f>
        <v>1.0887048292303272</v>
      </c>
    </row>
    <row r="45" spans="1:14" x14ac:dyDescent="0.2">
      <c r="A45" s="125" t="s">
        <v>217</v>
      </c>
      <c r="B45" s="342">
        <f>SUM(B41:B44)</f>
        <v>7747389</v>
      </c>
      <c r="C45" s="343">
        <f>B45/$J$53*100</f>
        <v>0.32871106749418227</v>
      </c>
      <c r="D45" s="342">
        <f>SUM(D41:D44)</f>
        <v>19540322</v>
      </c>
      <c r="E45" s="343">
        <f>D45/$J$53*100</f>
        <v>0.82906900683572937</v>
      </c>
      <c r="F45" s="342">
        <f>SUM(F41:F44)</f>
        <v>26570928</v>
      </c>
      <c r="G45" s="343">
        <f>F45/$J$53*100</f>
        <v>1.1273679567646671</v>
      </c>
      <c r="H45" s="342"/>
      <c r="I45" s="343"/>
      <c r="J45" s="342">
        <f>SUM(F45,D45,B45,'- 12 -'!J45,'- 12 -'!H45,'- 12 -'!F45,'- 12 -'!D45,'- 12 -'!B45)</f>
        <v>143793257</v>
      </c>
      <c r="K45" s="343">
        <f>J45/$J$53*100</f>
        <v>6.1009502694308093</v>
      </c>
    </row>
    <row r="46" spans="1:14" x14ac:dyDescent="0.2">
      <c r="A46" s="313" t="s">
        <v>47</v>
      </c>
      <c r="B46" s="128"/>
      <c r="C46" s="341"/>
      <c r="D46" s="128"/>
      <c r="E46" s="341"/>
      <c r="F46" s="128"/>
      <c r="G46" s="341"/>
      <c r="H46" s="128"/>
      <c r="I46" s="341"/>
      <c r="J46" s="128"/>
      <c r="K46" s="341"/>
    </row>
    <row r="47" spans="1:14" ht="13.5" x14ac:dyDescent="0.2">
      <c r="A47" s="256" t="s">
        <v>269</v>
      </c>
      <c r="B47" s="122"/>
      <c r="C47" s="426"/>
      <c r="D47" s="122">
        <v>0</v>
      </c>
      <c r="E47" s="426"/>
      <c r="F47" s="122">
        <v>0</v>
      </c>
      <c r="G47" s="426"/>
      <c r="H47" s="122">
        <f>'- 10 -'!G21</f>
        <v>0</v>
      </c>
      <c r="I47" s="426"/>
      <c r="J47" s="122"/>
      <c r="K47" s="426"/>
    </row>
    <row r="48" spans="1:14" x14ac:dyDescent="0.2">
      <c r="A48" s="121" t="s">
        <v>218</v>
      </c>
      <c r="B48" s="122"/>
      <c r="C48" s="340"/>
      <c r="D48" s="122"/>
      <c r="E48" s="340"/>
      <c r="F48" s="122"/>
      <c r="G48" s="340"/>
      <c r="H48" s="122">
        <f>'- 10 -'!G22</f>
        <v>2326273</v>
      </c>
      <c r="I48" s="340">
        <f>H48/$J$53*100</f>
        <v>9.8700566231138501E-2</v>
      </c>
      <c r="J48" s="122">
        <f>H48</f>
        <v>2326273</v>
      </c>
      <c r="K48" s="340">
        <f>J48/$J$53*100</f>
        <v>9.8700566231138501E-2</v>
      </c>
    </row>
    <row r="49" spans="1:11" x14ac:dyDescent="0.2">
      <c r="A49" s="126" t="s">
        <v>270</v>
      </c>
      <c r="B49" s="122"/>
      <c r="C49" s="340"/>
      <c r="D49" s="122"/>
      <c r="E49" s="340"/>
      <c r="F49" s="122"/>
      <c r="G49" s="340"/>
      <c r="H49" s="122">
        <f>'- 10 -'!H22</f>
        <v>20086</v>
      </c>
      <c r="I49" s="340">
        <f>H49/$J$53*100</f>
        <v>8.5222137441248204E-4</v>
      </c>
      <c r="J49" s="122">
        <f>H49</f>
        <v>20086</v>
      </c>
      <c r="K49" s="340">
        <f>J49/$J$53*100</f>
        <v>8.5222137441248204E-4</v>
      </c>
    </row>
    <row r="50" spans="1:11" x14ac:dyDescent="0.2">
      <c r="A50" s="121" t="s">
        <v>219</v>
      </c>
      <c r="B50" s="122"/>
      <c r="C50" s="340"/>
      <c r="D50" s="122"/>
      <c r="E50" s="340"/>
      <c r="F50" s="122"/>
      <c r="G50" s="340"/>
      <c r="H50" s="122">
        <f>'- 10 -'!I22</f>
        <v>38229948</v>
      </c>
      <c r="I50" s="340">
        <f>H50/$J$53*100</f>
        <v>1.6220441515621686</v>
      </c>
      <c r="J50" s="122">
        <f>H50</f>
        <v>38229948</v>
      </c>
      <c r="K50" s="340">
        <f>J50/$J$53*100</f>
        <v>1.6220441515621686</v>
      </c>
    </row>
    <row r="51" spans="1:11" x14ac:dyDescent="0.2">
      <c r="A51" s="125" t="s">
        <v>220</v>
      </c>
      <c r="B51" s="342"/>
      <c r="C51" s="343"/>
      <c r="D51" s="342"/>
      <c r="E51" s="343"/>
      <c r="F51" s="342">
        <f>SUM(F47:F50)</f>
        <v>0</v>
      </c>
      <c r="G51" s="343"/>
      <c r="H51" s="342">
        <f>SUM(H48:H50)</f>
        <v>40576307</v>
      </c>
      <c r="I51" s="343">
        <f>H51/$J$53*100</f>
        <v>1.7215969391677195</v>
      </c>
      <c r="J51" s="342">
        <f>SUM(J47:J50)</f>
        <v>40576307</v>
      </c>
      <c r="K51" s="343">
        <f>J51/$J$53*100</f>
        <v>1.7215969391677195</v>
      </c>
    </row>
    <row r="52" spans="1:11" ht="5.0999999999999996" customHeight="1" x14ac:dyDescent="0.2">
      <c r="A52" s="23"/>
      <c r="B52" s="32"/>
      <c r="C52" s="129"/>
      <c r="D52" s="57"/>
      <c r="E52" s="129"/>
      <c r="F52" s="57"/>
      <c r="G52" s="129"/>
      <c r="H52" s="57"/>
      <c r="I52" s="129"/>
      <c r="J52" s="57"/>
      <c r="K52" s="129"/>
    </row>
    <row r="53" spans="1:11" x14ac:dyDescent="0.2">
      <c r="A53" s="315" t="s">
        <v>221</v>
      </c>
      <c r="B53" s="344">
        <f>SUM(B51,B45,B39,B22,B21)</f>
        <v>79726831</v>
      </c>
      <c r="C53" s="345">
        <f>B53/$J$53*100</f>
        <v>3.3826998651982314</v>
      </c>
      <c r="D53" s="344">
        <f>SUM(D51,D45,D39,D22,D21)</f>
        <v>104382967</v>
      </c>
      <c r="E53" s="345">
        <f>D53/$J$53*100</f>
        <v>4.4288258290347882</v>
      </c>
      <c r="F53" s="344">
        <f>SUM(F51,F45,F39,F22,F21)</f>
        <v>265351416</v>
      </c>
      <c r="G53" s="345">
        <f>F53/$J$53*100</f>
        <v>11.258495889964069</v>
      </c>
      <c r="H53" s="344">
        <f>SUM(H51,H45,H39,H22,H21)</f>
        <v>40576307</v>
      </c>
      <c r="I53" s="345">
        <f>H53/$J$53*100</f>
        <v>1.7215969391677195</v>
      </c>
      <c r="J53" s="344">
        <f>SUM(J51,J45,J39,J22,J21)</f>
        <v>2356899346</v>
      </c>
      <c r="K53" s="345">
        <f>J53/$J$53*100</f>
        <v>100</v>
      </c>
    </row>
    <row r="54" spans="1:11" ht="20.100000000000001" customHeight="1" x14ac:dyDescent="0.2">
      <c r="A54" s="132"/>
      <c r="B54" s="2">
        <f>+B53-'- 16 -'!G48</f>
        <v>0</v>
      </c>
      <c r="D54" s="2">
        <f>+D53-'- 17 -'!B48</f>
        <v>0</v>
      </c>
      <c r="F54" s="2">
        <f>+F53-'- 17 -'!E48</f>
        <v>0</v>
      </c>
      <c r="H54" s="2">
        <f>+H53-'- 17 -'!H48</f>
        <v>0</v>
      </c>
      <c r="J54" s="2">
        <f>+J53-'- 3 -'!D48</f>
        <v>0</v>
      </c>
    </row>
  </sheetData>
  <mergeCells count="6">
    <mergeCell ref="L26:L28"/>
    <mergeCell ref="B8:C9"/>
    <mergeCell ref="D8:E9"/>
    <mergeCell ref="F8:G9"/>
    <mergeCell ref="H9:I9"/>
    <mergeCell ref="J9:K9"/>
  </mergeCells>
  <phoneticPr fontId="6" type="noConversion"/>
  <printOptions verticalCentered="1"/>
  <pageMargins left="0.51181102362204722" right="0" top="0.59055118110236227" bottom="0.19685039370078741" header="0.31496062992125984" footer="0.51181102362204722"/>
  <pageSetup scale="9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I52"/>
  <sheetViews>
    <sheetView showGridLines="0" showZeros="0" workbookViewId="0"/>
  </sheetViews>
  <sheetFormatPr defaultColWidth="15.83203125" defaultRowHeight="12" x14ac:dyDescent="0.2"/>
  <cols>
    <col min="1" max="1" width="32.83203125" style="2" customWidth="1"/>
    <col min="2" max="2" width="17.83203125" style="2" customWidth="1"/>
    <col min="3" max="3" width="8.83203125" style="2" customWidth="1"/>
    <col min="4" max="4" width="9.83203125" style="2" customWidth="1"/>
    <col min="5" max="5" width="17.83203125" style="2" customWidth="1"/>
    <col min="6" max="6" width="8.83203125" style="2" customWidth="1"/>
    <col min="7" max="7" width="9.83203125" style="2" customWidth="1"/>
    <col min="8" max="8" width="17.83203125" style="2" customWidth="1"/>
    <col min="9" max="9" width="8.83203125" style="2" customWidth="1"/>
    <col min="10" max="16384" width="15.83203125" style="2"/>
  </cols>
  <sheetData>
    <row r="1" spans="1:9" ht="6.95" customHeight="1" x14ac:dyDescent="0.2">
      <c r="A1" s="7"/>
      <c r="B1" s="8"/>
      <c r="C1" s="8"/>
      <c r="D1" s="8"/>
      <c r="E1" s="8"/>
      <c r="F1" s="8"/>
      <c r="G1" s="8"/>
      <c r="H1" s="8"/>
      <c r="I1" s="8"/>
    </row>
    <row r="2" spans="1:9" ht="15.95" customHeight="1" x14ac:dyDescent="0.2">
      <c r="A2" s="134"/>
      <c r="B2" s="9" t="s">
        <v>261</v>
      </c>
      <c r="C2" s="10"/>
      <c r="D2" s="10"/>
      <c r="E2" s="10"/>
      <c r="F2" s="10"/>
      <c r="G2" s="10"/>
      <c r="H2" s="73"/>
      <c r="I2" s="135" t="s">
        <v>6</v>
      </c>
    </row>
    <row r="3" spans="1:9" ht="15.95" customHeight="1" x14ac:dyDescent="0.2">
      <c r="A3" s="541"/>
      <c r="B3" s="11" t="str">
        <f>OPYEAR</f>
        <v>OPERATING FUND 2017/2018 ACTUAL</v>
      </c>
      <c r="C3" s="12"/>
      <c r="D3" s="12"/>
      <c r="E3" s="12"/>
      <c r="F3" s="12"/>
      <c r="G3" s="12"/>
      <c r="H3" s="75"/>
      <c r="I3" s="66"/>
    </row>
    <row r="4" spans="1:9" ht="15.95" customHeight="1" x14ac:dyDescent="0.2">
      <c r="B4" s="8"/>
      <c r="C4" s="8"/>
      <c r="D4" s="8"/>
      <c r="E4" s="8"/>
      <c r="F4" s="8"/>
      <c r="G4" s="8"/>
      <c r="H4" s="8"/>
      <c r="I4" s="8"/>
    </row>
    <row r="5" spans="1:9" ht="15.95" customHeight="1" x14ac:dyDescent="0.2">
      <c r="B5" s="8"/>
      <c r="C5" s="8"/>
      <c r="D5" s="8"/>
      <c r="E5" s="8"/>
      <c r="F5" s="8"/>
      <c r="G5" s="8"/>
      <c r="H5" s="8"/>
      <c r="I5" s="8"/>
    </row>
    <row r="6" spans="1:9" ht="15.95" customHeight="1" x14ac:dyDescent="0.2">
      <c r="B6" s="318"/>
      <c r="C6" s="312"/>
      <c r="D6" s="310"/>
      <c r="E6" s="638" t="s">
        <v>469</v>
      </c>
      <c r="F6" s="646"/>
      <c r="G6" s="639"/>
      <c r="H6" s="638" t="s">
        <v>470</v>
      </c>
      <c r="I6" s="639"/>
    </row>
    <row r="7" spans="1:9" ht="15.95" customHeight="1" x14ac:dyDescent="0.2">
      <c r="B7" s="643" t="s">
        <v>26</v>
      </c>
      <c r="C7" s="645"/>
      <c r="D7" s="644"/>
      <c r="E7" s="640"/>
      <c r="F7" s="647"/>
      <c r="G7" s="641"/>
      <c r="H7" s="640"/>
      <c r="I7" s="641"/>
    </row>
    <row r="8" spans="1:9" ht="15.95" customHeight="1" x14ac:dyDescent="0.2">
      <c r="A8" s="67"/>
      <c r="B8" s="137" t="s">
        <v>7</v>
      </c>
      <c r="C8" s="138"/>
      <c r="D8" s="612" t="s">
        <v>327</v>
      </c>
      <c r="E8" s="137"/>
      <c r="F8" s="139"/>
      <c r="G8" s="612" t="s">
        <v>327</v>
      </c>
      <c r="H8" s="137"/>
      <c r="I8" s="139"/>
    </row>
    <row r="9" spans="1:9" ht="15.95" customHeight="1" x14ac:dyDescent="0.2">
      <c r="A9" s="35" t="s">
        <v>42</v>
      </c>
      <c r="B9" s="77" t="s">
        <v>43</v>
      </c>
      <c r="C9" s="77" t="s">
        <v>44</v>
      </c>
      <c r="D9" s="593"/>
      <c r="E9" s="77" t="s">
        <v>43</v>
      </c>
      <c r="F9" s="77" t="s">
        <v>44</v>
      </c>
      <c r="G9" s="593"/>
      <c r="H9" s="77" t="s">
        <v>43</v>
      </c>
      <c r="I9" s="77" t="s">
        <v>44</v>
      </c>
    </row>
    <row r="10" spans="1:9" ht="5.0999999999999996" customHeight="1" x14ac:dyDescent="0.2">
      <c r="A10" s="6"/>
    </row>
    <row r="11" spans="1:9" ht="14.1" customHeight="1" x14ac:dyDescent="0.2">
      <c r="A11" s="284" t="s">
        <v>110</v>
      </c>
      <c r="B11" s="285">
        <f>SUM('- 18 -'!B11,'- 18 -'!E11,'- 19 -'!B11,'- 19 -'!E11,'- 19 -'!H11,'- 20 -'!B11)</f>
        <v>12731597</v>
      </c>
      <c r="C11" s="291">
        <f>B11/'- 3 -'!D11*100</f>
        <v>64.334825970101051</v>
      </c>
      <c r="D11" s="285">
        <f>B11/'- 7 -'!C11</f>
        <v>7080.1896340785224</v>
      </c>
      <c r="E11" s="285">
        <f>SUM('- 21 -'!B11,'- 21 -'!E11,'- 21 -'!H11,'- 22 -'!B11,'- 22 -'!E11,'- 22 -'!H11)</f>
        <v>2421012</v>
      </c>
      <c r="F11" s="291">
        <f>E11/'- 3 -'!D11*100</f>
        <v>12.233766564518675</v>
      </c>
      <c r="G11" s="285">
        <f>E11/'- 7 -'!E11</f>
        <v>1346.353019686353</v>
      </c>
      <c r="H11" s="285">
        <f>SUM('- 23 -'!D11,'- 23 -'!B11)</f>
        <v>0</v>
      </c>
      <c r="I11" s="291">
        <f>H11/'- 3 -'!D11*100</f>
        <v>0</v>
      </c>
    </row>
    <row r="12" spans="1:9" ht="14.1" customHeight="1" x14ac:dyDescent="0.2">
      <c r="A12" s="19" t="s">
        <v>111</v>
      </c>
      <c r="B12" s="20">
        <f>SUM('- 18 -'!B12,'- 18 -'!E12,'- 19 -'!B12,'- 19 -'!E12,'- 19 -'!H12,'- 20 -'!B12)</f>
        <v>19417739</v>
      </c>
      <c r="C12" s="70">
        <f>B12/'- 3 -'!D12*100</f>
        <v>57.035416744076336</v>
      </c>
      <c r="D12" s="20">
        <f>B12/'- 7 -'!C12</f>
        <v>9378.2849553248016</v>
      </c>
      <c r="E12" s="20">
        <f>SUM('- 21 -'!B12,'- 21 -'!E12,'- 21 -'!H12,'- 22 -'!B12,'- 22 -'!E12,'- 22 -'!H12)</f>
        <v>5247866</v>
      </c>
      <c r="F12" s="70">
        <f>E12/'- 3 -'!D12*100</f>
        <v>15.414473555704344</v>
      </c>
      <c r="G12" s="20">
        <f>E12/'- 7 -'!E12</f>
        <v>2534.5887466795461</v>
      </c>
      <c r="H12" s="20">
        <f>SUM('- 23 -'!D12,'- 23 -'!B12)</f>
        <v>555158</v>
      </c>
      <c r="I12" s="70">
        <f>H12/'- 3 -'!D12*100</f>
        <v>1.6306567870135618</v>
      </c>
    </row>
    <row r="13" spans="1:9" ht="14.1" customHeight="1" x14ac:dyDescent="0.2">
      <c r="A13" s="284" t="s">
        <v>112</v>
      </c>
      <c r="B13" s="285">
        <f>SUM('- 18 -'!B13,'- 18 -'!E13,'- 19 -'!B13,'- 19 -'!E13,'- 19 -'!H13,'- 20 -'!B13)</f>
        <v>59916103</v>
      </c>
      <c r="C13" s="291">
        <f>B13/'- 3 -'!D13*100</f>
        <v>60.544594640913253</v>
      </c>
      <c r="D13" s="285">
        <f>B13/'- 7 -'!C13</f>
        <v>7105.3542828197615</v>
      </c>
      <c r="E13" s="285">
        <f>SUM('- 21 -'!B13,'- 21 -'!E13,'- 21 -'!H13,'- 22 -'!B13,'- 22 -'!E13,'- 22 -'!H13)</f>
        <v>20271570</v>
      </c>
      <c r="F13" s="291">
        <f>E13/'- 3 -'!D13*100</f>
        <v>20.484209201404468</v>
      </c>
      <c r="G13" s="285">
        <f>E13/'- 7 -'!E13</f>
        <v>2403.9728805289719</v>
      </c>
      <c r="H13" s="285">
        <f>SUM('- 23 -'!D13,'- 23 -'!B13)</f>
        <v>0</v>
      </c>
      <c r="I13" s="291">
        <f>H13/'- 3 -'!D13*100</f>
        <v>0</v>
      </c>
    </row>
    <row r="14" spans="1:9" ht="14.1" customHeight="1" x14ac:dyDescent="0.2">
      <c r="A14" s="19" t="s">
        <v>359</v>
      </c>
      <c r="B14" s="20">
        <f>SUM('- 18 -'!B14,'- 18 -'!E14,'- 19 -'!B14,'- 19 -'!E14,'- 19 -'!H14,'- 20 -'!B14)</f>
        <v>48971240</v>
      </c>
      <c r="C14" s="70">
        <f>B14/'- 3 -'!D14*100</f>
        <v>55.609004987730046</v>
      </c>
      <c r="D14" s="20">
        <f>B14/'- 7 -'!C14</f>
        <v>8732.9811934474874</v>
      </c>
      <c r="E14" s="20">
        <f>SUM('- 21 -'!B14,'- 21 -'!E14,'- 21 -'!H14,'- 22 -'!B14,'- 22 -'!E14,'- 22 -'!H14)</f>
        <v>10381241</v>
      </c>
      <c r="F14" s="70">
        <f>E14/'- 3 -'!D14*100</f>
        <v>11.788357463438288</v>
      </c>
      <c r="G14" s="20">
        <f>E14/'- 7 -'!E14</f>
        <v>1851.2739807618918</v>
      </c>
      <c r="H14" s="20">
        <f>SUM('- 23 -'!D14,'- 23 -'!B14)</f>
        <v>251299</v>
      </c>
      <c r="I14" s="70">
        <f>H14/'- 3 -'!D14*100</f>
        <v>0.28536110877346732</v>
      </c>
    </row>
    <row r="15" spans="1:9" ht="14.1" customHeight="1" x14ac:dyDescent="0.2">
      <c r="A15" s="284" t="s">
        <v>113</v>
      </c>
      <c r="B15" s="285">
        <f>SUM('- 18 -'!B15,'- 18 -'!E15,'- 19 -'!B15,'- 19 -'!E15,'- 19 -'!H15,'- 20 -'!B15)</f>
        <v>10624945</v>
      </c>
      <c r="C15" s="291">
        <f>B15/'- 3 -'!D15*100</f>
        <v>53.17406521511311</v>
      </c>
      <c r="D15" s="285">
        <f>B15/'- 7 -'!C15</f>
        <v>7700.3515002174227</v>
      </c>
      <c r="E15" s="285">
        <f>SUM('- 21 -'!B15,'- 21 -'!E15,'- 21 -'!H15,'- 22 -'!B15,'- 22 -'!E15,'- 22 -'!H15)</f>
        <v>3268798</v>
      </c>
      <c r="F15" s="291">
        <f>E15/'- 3 -'!D15*100</f>
        <v>16.359169673540077</v>
      </c>
      <c r="G15" s="285">
        <f>E15/'- 7 -'!E15</f>
        <v>2369.0375416727061</v>
      </c>
      <c r="H15" s="285">
        <f>SUM('- 23 -'!D15,'- 23 -'!B15)</f>
        <v>0</v>
      </c>
      <c r="I15" s="291">
        <f>H15/'- 3 -'!D15*100</f>
        <v>0</v>
      </c>
    </row>
    <row r="16" spans="1:9" ht="14.1" customHeight="1" x14ac:dyDescent="0.2">
      <c r="A16" s="19" t="s">
        <v>114</v>
      </c>
      <c r="B16" s="20">
        <f>SUM('- 18 -'!B16,'- 18 -'!E16,'- 19 -'!B16,'- 19 -'!E16,'- 19 -'!H16,'- 20 -'!B16)</f>
        <v>7795567</v>
      </c>
      <c r="C16" s="70">
        <f>B16/'- 3 -'!D16*100</f>
        <v>53.889472332205436</v>
      </c>
      <c r="D16" s="20">
        <f>B16/'- 7 -'!C16</f>
        <v>8539.3438492715522</v>
      </c>
      <c r="E16" s="20">
        <f>SUM('- 21 -'!B16,'- 21 -'!E16,'- 21 -'!H16,'- 22 -'!B16,'- 22 -'!E16,'- 22 -'!H16)</f>
        <v>2566252</v>
      </c>
      <c r="F16" s="70">
        <f>E16/'- 3 -'!D16*100</f>
        <v>17.740077938072606</v>
      </c>
      <c r="G16" s="20">
        <f>E16/'- 7 -'!E16</f>
        <v>2811.0986964618251</v>
      </c>
      <c r="H16" s="20">
        <f>SUM('- 23 -'!D16,'- 23 -'!B16)</f>
        <v>96719</v>
      </c>
      <c r="I16" s="70">
        <f>H16/'- 3 -'!D16*100</f>
        <v>0.6686025371212353</v>
      </c>
    </row>
    <row r="17" spans="1:9" ht="14.1" customHeight="1" x14ac:dyDescent="0.2">
      <c r="A17" s="284" t="s">
        <v>115</v>
      </c>
      <c r="B17" s="285">
        <f>SUM('- 18 -'!B17,'- 18 -'!E17,'- 19 -'!B17,'- 19 -'!E17,'- 19 -'!H17,'- 20 -'!B17)</f>
        <v>10659225</v>
      </c>
      <c r="C17" s="291">
        <f>B17/'- 3 -'!D17*100</f>
        <v>58.125255509336135</v>
      </c>
      <c r="D17" s="285">
        <f>B17/'- 7 -'!C17</f>
        <v>7631.2528765021734</v>
      </c>
      <c r="E17" s="285">
        <f>SUM('- 21 -'!B17,'- 21 -'!E17,'- 21 -'!H17,'- 22 -'!B17,'- 22 -'!E17,'- 22 -'!H17)</f>
        <v>2489308</v>
      </c>
      <c r="F17" s="291">
        <f>E17/'- 3 -'!D17*100</f>
        <v>13.574313661775083</v>
      </c>
      <c r="G17" s="285">
        <f>E17/'- 7 -'!E17</f>
        <v>1782.1688570698032</v>
      </c>
      <c r="H17" s="285">
        <f>SUM('- 23 -'!D17,'- 23 -'!B17)</f>
        <v>0</v>
      </c>
      <c r="I17" s="291">
        <f>H17/'- 3 -'!D17*100</f>
        <v>0</v>
      </c>
    </row>
    <row r="18" spans="1:9" ht="14.1" customHeight="1" x14ac:dyDescent="0.2">
      <c r="A18" s="19" t="s">
        <v>116</v>
      </c>
      <c r="B18" s="20">
        <f>SUM('- 18 -'!B18,'- 18 -'!E18,'- 19 -'!B18,'- 19 -'!E18,'- 19 -'!H18,'- 20 -'!B18)</f>
        <v>56545373</v>
      </c>
      <c r="C18" s="70">
        <f>B18/'- 3 -'!D18*100</f>
        <v>42.491801867907604</v>
      </c>
      <c r="D18" s="20">
        <f>B18/'- 7 -'!C18</f>
        <v>9281.7539108025139</v>
      </c>
      <c r="E18" s="20">
        <f>SUM('- 21 -'!B18,'- 21 -'!E18,'- 21 -'!H18,'- 22 -'!B18,'- 22 -'!E18,'- 22 -'!H18)</f>
        <v>20314037</v>
      </c>
      <c r="F18" s="70">
        <f>E18/'- 3 -'!D18*100</f>
        <v>15.265263796939568</v>
      </c>
      <c r="G18" s="20">
        <f>E18/'- 7 -'!E18</f>
        <v>3334.4884358431409</v>
      </c>
      <c r="H18" s="20">
        <f>SUM('- 23 -'!D18,'- 23 -'!B18)</f>
        <v>2164679</v>
      </c>
      <c r="I18" s="70">
        <f>H18/'- 3 -'!D18*100</f>
        <v>1.6266779454372042</v>
      </c>
    </row>
    <row r="19" spans="1:9" ht="14.1" customHeight="1" x14ac:dyDescent="0.2">
      <c r="A19" s="284" t="s">
        <v>117</v>
      </c>
      <c r="B19" s="285">
        <f>SUM('- 18 -'!B19,'- 18 -'!E19,'- 19 -'!B19,'- 19 -'!E19,'- 19 -'!H19,'- 20 -'!B19)</f>
        <v>28911558</v>
      </c>
      <c r="C19" s="291">
        <f>B19/'- 3 -'!D19*100</f>
        <v>58.733115139346005</v>
      </c>
      <c r="D19" s="285">
        <f>B19/'- 7 -'!C19</f>
        <v>6521.0118188379638</v>
      </c>
      <c r="E19" s="285">
        <f>SUM('- 21 -'!B19,'- 21 -'!E19,'- 21 -'!H19,'- 22 -'!B19,'- 22 -'!E19,'- 22 -'!H19)</f>
        <v>8986217</v>
      </c>
      <c r="F19" s="291">
        <f>E19/'- 3 -'!D19*100</f>
        <v>18.255277620394875</v>
      </c>
      <c r="G19" s="285">
        <f>E19/'- 7 -'!E19</f>
        <v>2026.844325153374</v>
      </c>
      <c r="H19" s="285">
        <f>SUM('- 23 -'!D19,'- 23 -'!B19)</f>
        <v>0</v>
      </c>
      <c r="I19" s="291">
        <f>H19/'- 3 -'!D19*100</f>
        <v>0</v>
      </c>
    </row>
    <row r="20" spans="1:9" ht="14.1" customHeight="1" x14ac:dyDescent="0.2">
      <c r="A20" s="19" t="s">
        <v>118</v>
      </c>
      <c r="B20" s="20">
        <f>SUM('- 18 -'!B20,'- 18 -'!E20,'- 19 -'!B20,'- 19 -'!E20,'- 19 -'!H20,'- 20 -'!B20)</f>
        <v>53261029</v>
      </c>
      <c r="C20" s="70">
        <f>B20/'- 3 -'!D20*100</f>
        <v>62.802827798928284</v>
      </c>
      <c r="D20" s="20">
        <f>B20/'- 7 -'!C20</f>
        <v>6834.470550494033</v>
      </c>
      <c r="E20" s="20">
        <f>SUM('- 21 -'!B20,'- 21 -'!E20,'- 21 -'!H20,'- 22 -'!B20,'- 22 -'!E20,'- 22 -'!H20)</f>
        <v>12116226</v>
      </c>
      <c r="F20" s="70">
        <f>E20/'- 3 -'!D20*100</f>
        <v>14.286867327533189</v>
      </c>
      <c r="G20" s="20">
        <f>E20/'- 7 -'!E20</f>
        <v>1554.7576029770307</v>
      </c>
      <c r="H20" s="20">
        <f>SUM('- 23 -'!D20,'- 23 -'!B20)</f>
        <v>0</v>
      </c>
      <c r="I20" s="70">
        <f>H20/'- 3 -'!D20*100</f>
        <v>0</v>
      </c>
    </row>
    <row r="21" spans="1:9" ht="14.1" customHeight="1" x14ac:dyDescent="0.2">
      <c r="A21" s="284" t="s">
        <v>119</v>
      </c>
      <c r="B21" s="285">
        <f>SUM('- 18 -'!B21,'- 18 -'!E21,'- 19 -'!B21,'- 19 -'!E21,'- 19 -'!H21,'- 20 -'!B21)</f>
        <v>21750556</v>
      </c>
      <c r="C21" s="291">
        <f>B21/'- 3 -'!D21*100</f>
        <v>59.079993461437944</v>
      </c>
      <c r="D21" s="285">
        <f>B21/'- 7 -'!C21</f>
        <v>7817.7542951621026</v>
      </c>
      <c r="E21" s="285">
        <f>SUM('- 21 -'!B21,'- 21 -'!E21,'- 21 -'!H21,'- 22 -'!B21,'- 22 -'!E21,'- 22 -'!H21)</f>
        <v>5999537</v>
      </c>
      <c r="F21" s="291">
        <f>E21/'- 3 -'!D21*100</f>
        <v>16.296254989143954</v>
      </c>
      <c r="G21" s="285">
        <f>E21/'- 7 -'!E21</f>
        <v>2156.4003306735676</v>
      </c>
      <c r="H21" s="285">
        <f>SUM('- 23 -'!D21,'- 23 -'!B21)</f>
        <v>0</v>
      </c>
      <c r="I21" s="291">
        <f>H21/'- 3 -'!D21*100</f>
        <v>0</v>
      </c>
    </row>
    <row r="22" spans="1:9" ht="14.1" customHeight="1" x14ac:dyDescent="0.2">
      <c r="A22" s="19" t="s">
        <v>120</v>
      </c>
      <c r="B22" s="20">
        <f>SUM('- 18 -'!B22,'- 18 -'!E22,'- 19 -'!B22,'- 19 -'!E22,'- 19 -'!H22,'- 20 -'!B22)</f>
        <v>10588643</v>
      </c>
      <c r="C22" s="70">
        <f>B22/'- 3 -'!D22*100</f>
        <v>51.343881335532885</v>
      </c>
      <c r="D22" s="20">
        <f>B22/'- 7 -'!C22</f>
        <v>7090.2926208651397</v>
      </c>
      <c r="E22" s="20">
        <f>SUM('- 21 -'!B22,'- 21 -'!E22,'- 21 -'!H22,'- 22 -'!B22,'- 22 -'!E22,'- 22 -'!H22)</f>
        <v>4756912</v>
      </c>
      <c r="F22" s="70">
        <f>E22/'- 3 -'!D22*100</f>
        <v>23.066064768787882</v>
      </c>
      <c r="G22" s="20">
        <f>E22/'- 7 -'!E22</f>
        <v>3185.2899424132847</v>
      </c>
      <c r="H22" s="20">
        <f>SUM('- 23 -'!D22,'- 23 -'!B22)</f>
        <v>604181</v>
      </c>
      <c r="I22" s="70">
        <f>H22/'- 3 -'!D22*100</f>
        <v>2.9296480738073418</v>
      </c>
    </row>
    <row r="23" spans="1:9" ht="14.1" customHeight="1" x14ac:dyDescent="0.2">
      <c r="A23" s="284" t="s">
        <v>121</v>
      </c>
      <c r="B23" s="285">
        <f>SUM('- 18 -'!B23,'- 18 -'!E23,'- 19 -'!B23,'- 19 -'!E23,'- 19 -'!H23,'- 20 -'!B23)</f>
        <v>8445810</v>
      </c>
      <c r="C23" s="291">
        <f>B23/'- 3 -'!D23*100</f>
        <v>50.98985082325769</v>
      </c>
      <c r="D23" s="285">
        <f>B23/'- 7 -'!C23</f>
        <v>8101.4964028776976</v>
      </c>
      <c r="E23" s="285">
        <f>SUM('- 21 -'!B23,'- 21 -'!E23,'- 21 -'!H23,'- 22 -'!B23,'- 22 -'!E23,'- 22 -'!H23)</f>
        <v>2863469</v>
      </c>
      <c r="F23" s="291">
        <f>E23/'- 3 -'!D23*100</f>
        <v>17.28760854755469</v>
      </c>
      <c r="G23" s="285">
        <f>E23/'- 7 -'!E23</f>
        <v>2746.7328537170265</v>
      </c>
      <c r="H23" s="285">
        <f>SUM('- 23 -'!D23,'- 23 -'!B23)</f>
        <v>272826</v>
      </c>
      <c r="I23" s="291">
        <f>H23/'- 3 -'!D23*100</f>
        <v>1.6471311858431699</v>
      </c>
    </row>
    <row r="24" spans="1:9" ht="14.1" customHeight="1" x14ac:dyDescent="0.2">
      <c r="A24" s="19" t="s">
        <v>122</v>
      </c>
      <c r="B24" s="20">
        <f>SUM('- 18 -'!B24,'- 18 -'!E24,'- 19 -'!B24,'- 19 -'!E24,'- 19 -'!H24,'- 20 -'!B24)</f>
        <v>33957543</v>
      </c>
      <c r="C24" s="70">
        <f>B24/'- 3 -'!D24*100</f>
        <v>58.677362178787959</v>
      </c>
      <c r="D24" s="20">
        <f>B24/'- 7 -'!C24</f>
        <v>8726.5291804795306</v>
      </c>
      <c r="E24" s="20">
        <f>SUM('- 21 -'!B24,'- 21 -'!E24,'- 21 -'!H24,'- 22 -'!B24,'- 22 -'!E24,'- 22 -'!H24)</f>
        <v>9415613</v>
      </c>
      <c r="F24" s="70">
        <f>E24/'- 3 -'!D24*100</f>
        <v>16.269826534160739</v>
      </c>
      <c r="G24" s="20">
        <f>E24/'- 7 -'!E24</f>
        <v>2419.6574409580344</v>
      </c>
      <c r="H24" s="20">
        <f>SUM('- 23 -'!D24,'- 23 -'!B24)</f>
        <v>357455</v>
      </c>
      <c r="I24" s="70">
        <f>H24/'- 3 -'!D24*100</f>
        <v>0.61766884893935492</v>
      </c>
    </row>
    <row r="25" spans="1:9" ht="14.1" customHeight="1" x14ac:dyDescent="0.2">
      <c r="A25" s="284" t="s">
        <v>123</v>
      </c>
      <c r="B25" s="285">
        <f>SUM('- 18 -'!B25,'- 18 -'!E25,'- 19 -'!B25,'- 19 -'!E25,'- 19 -'!H25,'- 20 -'!B25)</f>
        <v>102324383</v>
      </c>
      <c r="C25" s="291">
        <f>B25/'- 3 -'!D25*100</f>
        <v>54.704716009065855</v>
      </c>
      <c r="D25" s="285">
        <f>B25/'- 7 -'!C25</f>
        <v>6995.7258301599131</v>
      </c>
      <c r="E25" s="285">
        <f>SUM('- 21 -'!B25,'- 21 -'!E25,'- 21 -'!H25,'- 22 -'!B25,'- 22 -'!E25,'- 22 -'!H25)</f>
        <v>38293861</v>
      </c>
      <c r="F25" s="291">
        <f>E25/'- 3 -'!D25*100</f>
        <v>20.472684315092746</v>
      </c>
      <c r="G25" s="285">
        <f>E25/'- 7 -'!E25</f>
        <v>2618.0793343679711</v>
      </c>
      <c r="H25" s="285">
        <f>SUM('- 23 -'!D25,'- 23 -'!B25)</f>
        <v>1245297</v>
      </c>
      <c r="I25" s="291">
        <f>H25/'- 3 -'!D25*100</f>
        <v>0.66576134382302299</v>
      </c>
    </row>
    <row r="26" spans="1:9" ht="14.1" customHeight="1" x14ac:dyDescent="0.2">
      <c r="A26" s="19" t="s">
        <v>124</v>
      </c>
      <c r="B26" s="20">
        <f>SUM('- 18 -'!B26,'- 18 -'!E26,'- 19 -'!B26,'- 19 -'!E26,'- 19 -'!H26,'- 20 -'!B26)</f>
        <v>23033128</v>
      </c>
      <c r="C26" s="70">
        <f>B26/'- 3 -'!D26*100</f>
        <v>56.475381536490119</v>
      </c>
      <c r="D26" s="20">
        <f>B26/'- 7 -'!C26</f>
        <v>7794.6287648054149</v>
      </c>
      <c r="E26" s="20">
        <f>SUM('- 21 -'!B26,'- 21 -'!E26,'- 21 -'!H26,'- 22 -'!B26,'- 22 -'!E26,'- 22 -'!H26)</f>
        <v>5920438</v>
      </c>
      <c r="F26" s="70">
        <f>E26/'- 3 -'!D26*100</f>
        <v>14.516438883730187</v>
      </c>
      <c r="G26" s="20">
        <f>E26/'- 7 -'!E26</f>
        <v>2003.5323181049068</v>
      </c>
      <c r="H26" s="20">
        <f>SUM('- 23 -'!D26,'- 23 -'!B26)</f>
        <v>0</v>
      </c>
      <c r="I26" s="70">
        <f>H26/'- 3 -'!D26*100</f>
        <v>0</v>
      </c>
    </row>
    <row r="27" spans="1:9" ht="14.1" customHeight="1" x14ac:dyDescent="0.2">
      <c r="A27" s="284" t="s">
        <v>125</v>
      </c>
      <c r="B27" s="285">
        <f>SUM('- 18 -'!B27,'- 18 -'!E27,'- 19 -'!B27,'- 19 -'!E27,'- 19 -'!H27,'- 20 -'!B27)</f>
        <v>23477392</v>
      </c>
      <c r="C27" s="291">
        <f>B27/'- 3 -'!D27*100</f>
        <v>57.337933837862252</v>
      </c>
      <c r="D27" s="285">
        <f>B27/'- 7 -'!C27</f>
        <v>7746.0133953611139</v>
      </c>
      <c r="E27" s="285">
        <f>SUM('- 21 -'!B27,'- 21 -'!E27,'- 21 -'!H27,'- 22 -'!B27,'- 22 -'!E27,'- 22 -'!H27)</f>
        <v>8454652</v>
      </c>
      <c r="F27" s="291">
        <f>E27/'- 3 -'!D27*100</f>
        <v>20.648472240790195</v>
      </c>
      <c r="G27" s="285">
        <f>E27/'- 7 -'!E27</f>
        <v>2789.4856313306277</v>
      </c>
      <c r="H27" s="285">
        <f>SUM('- 23 -'!D27,'- 23 -'!B27)</f>
        <v>0</v>
      </c>
      <c r="I27" s="291">
        <f>H27/'- 3 -'!D27*100</f>
        <v>0</v>
      </c>
    </row>
    <row r="28" spans="1:9" ht="14.1" customHeight="1" x14ac:dyDescent="0.2">
      <c r="A28" s="19" t="s">
        <v>126</v>
      </c>
      <c r="B28" s="20">
        <f>SUM('- 18 -'!B28,'- 18 -'!E28,'- 19 -'!B28,'- 19 -'!E28,'- 19 -'!H28,'- 20 -'!B28)</f>
        <v>17496888</v>
      </c>
      <c r="C28" s="70">
        <f>B28/'- 3 -'!D28*100</f>
        <v>60.549647031399331</v>
      </c>
      <c r="D28" s="20">
        <f>B28/'- 7 -'!C28</f>
        <v>8975.0643754808934</v>
      </c>
      <c r="E28" s="20">
        <f>SUM('- 21 -'!B28,'- 21 -'!E28,'- 21 -'!H28,'- 22 -'!B28,'- 22 -'!E28,'- 22 -'!H28)</f>
        <v>3483401</v>
      </c>
      <c r="F28" s="70">
        <f>E28/'- 3 -'!D28*100</f>
        <v>12.054640860638958</v>
      </c>
      <c r="G28" s="20">
        <f>E28/'- 7 -'!E28</f>
        <v>1786.8176455501412</v>
      </c>
      <c r="H28" s="20">
        <f>SUM('- 23 -'!D28,'- 23 -'!B28)</f>
        <v>107496</v>
      </c>
      <c r="I28" s="70">
        <f>H28/'- 3 -'!D28*100</f>
        <v>0.37200014409918508</v>
      </c>
    </row>
    <row r="29" spans="1:9" ht="14.1" customHeight="1" x14ac:dyDescent="0.2">
      <c r="A29" s="284" t="s">
        <v>127</v>
      </c>
      <c r="B29" s="285">
        <f>SUM('- 18 -'!B29,'- 18 -'!E29,'- 19 -'!B29,'- 19 -'!E29,'- 19 -'!H29,'- 20 -'!B29)</f>
        <v>93194297</v>
      </c>
      <c r="C29" s="291">
        <f>B29/'- 3 -'!D29*100</f>
        <v>57.23039298168009</v>
      </c>
      <c r="D29" s="285">
        <f>B29/'- 7 -'!C29</f>
        <v>6958.485242180559</v>
      </c>
      <c r="E29" s="285">
        <f>SUM('- 21 -'!B29,'- 21 -'!E29,'- 21 -'!H29,'- 22 -'!B29,'- 22 -'!E29,'- 22 -'!H29)</f>
        <v>30466992</v>
      </c>
      <c r="F29" s="291">
        <f>E29/'- 3 -'!D29*100</f>
        <v>18.709706293827224</v>
      </c>
      <c r="G29" s="285">
        <f>E29/'- 7 -'!E29</f>
        <v>2274.8614564433396</v>
      </c>
      <c r="H29" s="285">
        <f>SUM('- 23 -'!D29,'- 23 -'!B29)</f>
        <v>0</v>
      </c>
      <c r="I29" s="291">
        <f>H29/'- 3 -'!D29*100</f>
        <v>0</v>
      </c>
    </row>
    <row r="30" spans="1:9" ht="14.1" customHeight="1" x14ac:dyDescent="0.2">
      <c r="A30" s="19" t="s">
        <v>128</v>
      </c>
      <c r="B30" s="20">
        <f>SUM('- 18 -'!B30,'- 18 -'!E30,'- 19 -'!B30,'- 19 -'!E30,'- 19 -'!H30,'- 20 -'!B30)</f>
        <v>8980094</v>
      </c>
      <c r="C30" s="70">
        <f>B30/'- 3 -'!D30*100</f>
        <v>61.094510994583743</v>
      </c>
      <c r="D30" s="20">
        <f>B30/'- 7 -'!C30</f>
        <v>8915.8995234312952</v>
      </c>
      <c r="E30" s="20">
        <f>SUM('- 21 -'!B30,'- 21 -'!E30,'- 21 -'!H30,'- 22 -'!B30,'- 22 -'!E30,'- 22 -'!H30)</f>
        <v>1609493</v>
      </c>
      <c r="F30" s="70">
        <f>E30/'- 3 -'!D30*100</f>
        <v>10.949906290981538</v>
      </c>
      <c r="G30" s="20">
        <f>E30/'- 7 -'!E30</f>
        <v>1597.9874900714851</v>
      </c>
      <c r="H30" s="20">
        <f>SUM('- 23 -'!D30,'- 23 -'!B30)</f>
        <v>0</v>
      </c>
      <c r="I30" s="70">
        <f>H30/'- 3 -'!D30*100</f>
        <v>0</v>
      </c>
    </row>
    <row r="31" spans="1:9" ht="14.1" customHeight="1" x14ac:dyDescent="0.2">
      <c r="A31" s="284" t="s">
        <v>129</v>
      </c>
      <c r="B31" s="285">
        <f>SUM('- 18 -'!B31,'- 18 -'!E31,'- 19 -'!B31,'- 19 -'!E31,'- 19 -'!H31,'- 20 -'!B31)</f>
        <v>22428272</v>
      </c>
      <c r="C31" s="291">
        <f>B31/'- 3 -'!D31*100</f>
        <v>58.971458007969467</v>
      </c>
      <c r="D31" s="285">
        <f>B31/'- 7 -'!C31</f>
        <v>6775.0942484291927</v>
      </c>
      <c r="E31" s="285">
        <f>SUM('- 21 -'!B31,'- 21 -'!E31,'- 21 -'!H31,'- 22 -'!B31,'- 22 -'!E31,'- 22 -'!H31)</f>
        <v>7358247</v>
      </c>
      <c r="F31" s="291">
        <f>E31/'- 3 -'!D31*100</f>
        <v>19.347302100347601</v>
      </c>
      <c r="G31" s="285">
        <f>E31/'- 7 -'!E31</f>
        <v>2222.7667351377477</v>
      </c>
      <c r="H31" s="285">
        <f>SUM('- 23 -'!D31,'- 23 -'!B31)</f>
        <v>0</v>
      </c>
      <c r="I31" s="291">
        <f>H31/'- 3 -'!D31*100</f>
        <v>0</v>
      </c>
    </row>
    <row r="32" spans="1:9" ht="14.1" customHeight="1" x14ac:dyDescent="0.2">
      <c r="A32" s="19" t="s">
        <v>130</v>
      </c>
      <c r="B32" s="20">
        <f>SUM('- 18 -'!B32,'- 18 -'!E32,'- 19 -'!B32,'- 19 -'!E32,'- 19 -'!H32,'- 20 -'!B32)</f>
        <v>17910580</v>
      </c>
      <c r="C32" s="70">
        <f>B32/'- 3 -'!D32*100</f>
        <v>57.04795229964602</v>
      </c>
      <c r="D32" s="20">
        <f>B32/'- 7 -'!C32</f>
        <v>8191.438371827121</v>
      </c>
      <c r="E32" s="20">
        <f>SUM('- 21 -'!B32,'- 21 -'!E32,'- 21 -'!H32,'- 22 -'!B32,'- 22 -'!E32,'- 22 -'!H32)</f>
        <v>4750630</v>
      </c>
      <c r="F32" s="70">
        <f>E32/'- 3 -'!D32*100</f>
        <v>15.131487290376269</v>
      </c>
      <c r="G32" s="20">
        <f>E32/'- 7 -'!E32</f>
        <v>2172.7098101989482</v>
      </c>
      <c r="H32" s="20">
        <f>SUM('- 23 -'!D32,'- 23 -'!B32)</f>
        <v>279425</v>
      </c>
      <c r="I32" s="70">
        <f>H32/'- 3 -'!D32*100</f>
        <v>0.89001160606348817</v>
      </c>
    </row>
    <row r="33" spans="1:9" ht="14.1" customHeight="1" x14ac:dyDescent="0.2">
      <c r="A33" s="284" t="s">
        <v>131</v>
      </c>
      <c r="B33" s="285">
        <f>SUM('- 18 -'!B33,'- 18 -'!E33,'- 19 -'!B33,'- 19 -'!E33,'- 19 -'!H33,'- 20 -'!B33)</f>
        <v>16617181</v>
      </c>
      <c r="C33" s="291">
        <f>B33/'- 3 -'!D33*100</f>
        <v>58.615968492134826</v>
      </c>
      <c r="D33" s="285">
        <f>B33/'- 7 -'!C33</f>
        <v>7933.3433591139119</v>
      </c>
      <c r="E33" s="285">
        <f>SUM('- 21 -'!B33,'- 21 -'!E33,'- 21 -'!H33,'- 22 -'!B33,'- 22 -'!E33,'- 22 -'!H33)</f>
        <v>3691006</v>
      </c>
      <c r="F33" s="291">
        <f>E33/'- 3 -'!D33*100</f>
        <v>13.019771006904277</v>
      </c>
      <c r="G33" s="285">
        <f>E33/'- 7 -'!E33</f>
        <v>1762.1531557337917</v>
      </c>
      <c r="H33" s="285">
        <f>SUM('- 23 -'!D33,'- 23 -'!B33)</f>
        <v>0</v>
      </c>
      <c r="I33" s="291">
        <f>H33/'- 3 -'!D33*100</f>
        <v>0</v>
      </c>
    </row>
    <row r="34" spans="1:9" ht="14.1" customHeight="1" x14ac:dyDescent="0.2">
      <c r="A34" s="19" t="s">
        <v>132</v>
      </c>
      <c r="B34" s="20">
        <f>SUM('- 18 -'!B34,'- 18 -'!E34,'- 19 -'!B34,'- 19 -'!E34,'- 19 -'!H34,'- 20 -'!B34)</f>
        <v>16944362</v>
      </c>
      <c r="C34" s="70">
        <f>B34/'- 3 -'!D34*100</f>
        <v>55.116982352435841</v>
      </c>
      <c r="D34" s="20">
        <f>B34/'- 7 -'!C34</f>
        <v>8080.2100123031732</v>
      </c>
      <c r="E34" s="20">
        <f>SUM('- 21 -'!B34,'- 21 -'!E34,'- 21 -'!H34,'- 22 -'!B34,'- 22 -'!E34,'- 22 -'!H34)</f>
        <v>5118022</v>
      </c>
      <c r="F34" s="70">
        <f>E34/'- 3 -'!D34*100</f>
        <v>16.648011194129257</v>
      </c>
      <c r="G34" s="20">
        <f>E34/'- 7 -'!E34</f>
        <v>2440.6166846286637</v>
      </c>
      <c r="H34" s="20">
        <f>SUM('- 23 -'!D34,'- 23 -'!B34)</f>
        <v>0</v>
      </c>
      <c r="I34" s="70">
        <f>H34/'- 3 -'!D34*100</f>
        <v>0</v>
      </c>
    </row>
    <row r="35" spans="1:9" ht="14.1" customHeight="1" x14ac:dyDescent="0.2">
      <c r="A35" s="284" t="s">
        <v>133</v>
      </c>
      <c r="B35" s="285">
        <f>SUM('- 18 -'!B35,'- 18 -'!E35,'- 19 -'!B35,'- 19 -'!E35,'- 19 -'!H35,'- 20 -'!B35)</f>
        <v>106478843</v>
      </c>
      <c r="C35" s="291">
        <f>B35/'- 3 -'!D35*100</f>
        <v>56.538153343279681</v>
      </c>
      <c r="D35" s="285">
        <f>B35/'- 7 -'!C35</f>
        <v>6714.0956554637742</v>
      </c>
      <c r="E35" s="285">
        <f>SUM('- 21 -'!B35,'- 21 -'!E35,'- 21 -'!H35,'- 22 -'!B35,'- 22 -'!E35,'- 22 -'!H35)</f>
        <v>36032347</v>
      </c>
      <c r="F35" s="291">
        <f>E35/'- 3 -'!D35*100</f>
        <v>19.132461460012895</v>
      </c>
      <c r="G35" s="285">
        <f>E35/'- 7 -'!E35</f>
        <v>2272.0440759190365</v>
      </c>
      <c r="H35" s="285">
        <f>SUM('- 23 -'!D35,'- 23 -'!B35)</f>
        <v>1493615</v>
      </c>
      <c r="I35" s="291">
        <f>H35/'- 3 -'!D35*100</f>
        <v>0.79307993519259679</v>
      </c>
    </row>
    <row r="36" spans="1:9" ht="14.1" customHeight="1" x14ac:dyDescent="0.2">
      <c r="A36" s="19" t="s">
        <v>134</v>
      </c>
      <c r="B36" s="20">
        <f>SUM('- 18 -'!B36,'- 18 -'!E36,'- 19 -'!B36,'- 19 -'!E36,'- 19 -'!H36,'- 20 -'!B36)</f>
        <v>13879938</v>
      </c>
      <c r="C36" s="70">
        <f>B36/'- 3 -'!D36*100</f>
        <v>58.654402827053417</v>
      </c>
      <c r="D36" s="20">
        <f>B36/'- 7 -'!C36</f>
        <v>8209.0951029098651</v>
      </c>
      <c r="E36" s="20">
        <f>SUM('- 21 -'!B36,'- 21 -'!E36,'- 21 -'!H36,'- 22 -'!B36,'- 22 -'!E36,'- 22 -'!H36)</f>
        <v>3033938</v>
      </c>
      <c r="F36" s="70">
        <f>E36/'- 3 -'!D36*100</f>
        <v>12.820937788360784</v>
      </c>
      <c r="G36" s="20">
        <f>E36/'- 7 -'!E36</f>
        <v>1794.380175065058</v>
      </c>
      <c r="H36" s="20">
        <f>SUM('- 23 -'!D36,'- 23 -'!B36)</f>
        <v>122211</v>
      </c>
      <c r="I36" s="70">
        <f>H36/'- 3 -'!D36*100</f>
        <v>0.51644418180376794</v>
      </c>
    </row>
    <row r="37" spans="1:9" ht="14.1" customHeight="1" x14ac:dyDescent="0.2">
      <c r="A37" s="284" t="s">
        <v>135</v>
      </c>
      <c r="B37" s="285">
        <f>SUM('- 18 -'!B37,'- 18 -'!E37,'- 19 -'!B37,'- 19 -'!E37,'- 19 -'!H37,'- 20 -'!B37)</f>
        <v>30090344</v>
      </c>
      <c r="C37" s="291">
        <f>B37/'- 3 -'!D37*100</f>
        <v>57.410582608867699</v>
      </c>
      <c r="D37" s="285">
        <f>B37/'- 7 -'!C37</f>
        <v>7172.9067938021453</v>
      </c>
      <c r="E37" s="285">
        <f>SUM('- 21 -'!B37,'- 21 -'!E37,'- 21 -'!H37,'- 22 -'!B37,'- 22 -'!E37,'- 22 -'!H37)</f>
        <v>8800573</v>
      </c>
      <c r="F37" s="291">
        <f>E37/'- 3 -'!D37*100</f>
        <v>16.790968664960115</v>
      </c>
      <c r="G37" s="285">
        <f>E37/'- 7 -'!E37</f>
        <v>2097.8719904648392</v>
      </c>
      <c r="H37" s="285">
        <f>SUM('- 23 -'!D37,'- 23 -'!B37)</f>
        <v>313715</v>
      </c>
      <c r="I37" s="291">
        <f>H37/'- 3 -'!D37*100</f>
        <v>0.59854951884700724</v>
      </c>
    </row>
    <row r="38" spans="1:9" ht="14.1" customHeight="1" x14ac:dyDescent="0.2">
      <c r="A38" s="19" t="s">
        <v>136</v>
      </c>
      <c r="B38" s="20">
        <f>SUM('- 18 -'!B38,'- 18 -'!E38,'- 19 -'!B38,'- 19 -'!E38,'- 19 -'!H38,'- 20 -'!B38)</f>
        <v>82297309</v>
      </c>
      <c r="C38" s="70">
        <f>B38/'- 3 -'!D38*100</f>
        <v>58.427328265125787</v>
      </c>
      <c r="D38" s="20">
        <f>B38/'- 7 -'!C38</f>
        <v>7434.8018827015494</v>
      </c>
      <c r="E38" s="20">
        <f>SUM('- 21 -'!B38,'- 21 -'!E38,'- 21 -'!H38,'- 22 -'!B38,'- 22 -'!E38,'- 22 -'!H38)</f>
        <v>26376733</v>
      </c>
      <c r="F38" s="70">
        <f>E38/'- 3 -'!D38*100</f>
        <v>18.726274969119295</v>
      </c>
      <c r="G38" s="20">
        <f>E38/'- 7 -'!E38</f>
        <v>2382.8942471000614</v>
      </c>
      <c r="H38" s="20">
        <f>SUM('- 23 -'!D38,'- 23 -'!B38)</f>
        <v>923875</v>
      </c>
      <c r="I38" s="70">
        <f>H38/'- 3 -'!D38*100</f>
        <v>0.65590902736495416</v>
      </c>
    </row>
    <row r="39" spans="1:9" ht="14.1" customHeight="1" x14ac:dyDescent="0.2">
      <c r="A39" s="284" t="s">
        <v>137</v>
      </c>
      <c r="B39" s="285">
        <f>SUM('- 18 -'!B39,'- 18 -'!E39,'- 19 -'!B39,'- 19 -'!E39,'- 19 -'!H39,'- 20 -'!B39)</f>
        <v>12932924</v>
      </c>
      <c r="C39" s="291">
        <f>B39/'- 3 -'!D39*100</f>
        <v>58.018184431529704</v>
      </c>
      <c r="D39" s="285">
        <f>B39/'- 7 -'!C39</f>
        <v>8547.8678122934562</v>
      </c>
      <c r="E39" s="285">
        <f>SUM('- 21 -'!B39,'- 21 -'!E39,'- 21 -'!H39,'- 22 -'!B39,'- 22 -'!E39,'- 22 -'!H39)</f>
        <v>3051762</v>
      </c>
      <c r="F39" s="291">
        <f>E39/'- 3 -'!D39*100</f>
        <v>13.690460916428021</v>
      </c>
      <c r="G39" s="285">
        <f>E39/'- 7 -'!E39</f>
        <v>2017.0270984798415</v>
      </c>
      <c r="H39" s="285">
        <f>SUM('- 23 -'!D39,'- 23 -'!B39)</f>
        <v>0</v>
      </c>
      <c r="I39" s="291">
        <f>H39/'- 3 -'!D39*100</f>
        <v>0</v>
      </c>
    </row>
    <row r="40" spans="1:9" ht="14.1" customHeight="1" x14ac:dyDescent="0.2">
      <c r="A40" s="19" t="s">
        <v>138</v>
      </c>
      <c r="B40" s="20">
        <f>SUM('- 18 -'!B40,'- 18 -'!E40,'- 19 -'!B40,'- 19 -'!E40,'- 19 -'!H40,'- 20 -'!B40)</f>
        <v>58751619</v>
      </c>
      <c r="C40" s="70">
        <f>B40/'- 3 -'!D40*100</f>
        <v>55.462047913338772</v>
      </c>
      <c r="D40" s="20">
        <f>B40/'- 7 -'!C40</f>
        <v>7229.1000479875975</v>
      </c>
      <c r="E40" s="20">
        <f>SUM('- 21 -'!B40,'- 21 -'!E40,'- 21 -'!H40,'- 22 -'!B40,'- 22 -'!E40,'- 22 -'!H40)</f>
        <v>23622856</v>
      </c>
      <c r="F40" s="70">
        <f>E40/'- 3 -'!D40*100</f>
        <v>22.300184975700883</v>
      </c>
      <c r="G40" s="20">
        <f>E40/'- 7 -'!E40</f>
        <v>2906.6771665169622</v>
      </c>
      <c r="H40" s="20">
        <f>SUM('- 23 -'!D40,'- 23 -'!B40)</f>
        <v>0</v>
      </c>
      <c r="I40" s="70">
        <f>H40/'- 3 -'!D40*100</f>
        <v>0</v>
      </c>
    </row>
    <row r="41" spans="1:9" ht="14.1" customHeight="1" x14ac:dyDescent="0.2">
      <c r="A41" s="284" t="s">
        <v>139</v>
      </c>
      <c r="B41" s="285">
        <f>SUM('- 18 -'!B41,'- 18 -'!E41,'- 19 -'!B41,'- 19 -'!E41,'- 19 -'!H41,'- 20 -'!B41)</f>
        <v>34056944</v>
      </c>
      <c r="C41" s="291">
        <f>B41/'- 3 -'!D41*100</f>
        <v>52.447049982950865</v>
      </c>
      <c r="D41" s="285">
        <f>B41/'- 7 -'!C41</f>
        <v>7660.9929141828816</v>
      </c>
      <c r="E41" s="285">
        <f>SUM('- 21 -'!B41,'- 21 -'!E41,'- 21 -'!H41,'- 22 -'!B41,'- 22 -'!E41,'- 22 -'!H41)</f>
        <v>12843831</v>
      </c>
      <c r="F41" s="291">
        <f>E41/'- 3 -'!D41*100</f>
        <v>19.779256953576745</v>
      </c>
      <c r="G41" s="285">
        <f>E41/'- 7 -'!E41</f>
        <v>2889.1757957485097</v>
      </c>
      <c r="H41" s="285">
        <f>SUM('- 23 -'!D41,'- 23 -'!B41)</f>
        <v>1010985</v>
      </c>
      <c r="I41" s="291">
        <f>H41/'- 3 -'!D41*100</f>
        <v>1.5568977893910148</v>
      </c>
    </row>
    <row r="42" spans="1:9" ht="14.1" customHeight="1" x14ac:dyDescent="0.2">
      <c r="A42" s="19" t="s">
        <v>140</v>
      </c>
      <c r="B42" s="20">
        <f>SUM('- 18 -'!B42,'- 18 -'!E42,'- 19 -'!B42,'- 19 -'!E42,'- 19 -'!H42,'- 20 -'!B42)</f>
        <v>12094647</v>
      </c>
      <c r="C42" s="70">
        <f>B42/'- 3 -'!D42*100</f>
        <v>57.954239491923666</v>
      </c>
      <c r="D42" s="20">
        <f>B42/'- 7 -'!C42</f>
        <v>8565.6140226628904</v>
      </c>
      <c r="E42" s="20">
        <f>SUM('- 21 -'!B42,'- 21 -'!E42,'- 21 -'!H42,'- 22 -'!B42,'- 22 -'!E42,'- 22 -'!H42)</f>
        <v>2841316</v>
      </c>
      <c r="F42" s="70">
        <f>E42/'- 3 -'!D42*100</f>
        <v>13.614808926315467</v>
      </c>
      <c r="G42" s="20">
        <f>E42/'- 7 -'!E42</f>
        <v>2012.2634560906515</v>
      </c>
      <c r="H42" s="20">
        <f>SUM('- 23 -'!D42,'- 23 -'!B42)</f>
        <v>0</v>
      </c>
      <c r="I42" s="70">
        <f>H42/'- 3 -'!D42*100</f>
        <v>0</v>
      </c>
    </row>
    <row r="43" spans="1:9" ht="14.1" customHeight="1" x14ac:dyDescent="0.2">
      <c r="A43" s="284" t="s">
        <v>141</v>
      </c>
      <c r="B43" s="285">
        <f>SUM('- 18 -'!B43,'- 18 -'!E43,'- 19 -'!B43,'- 19 -'!E43,'- 19 -'!H43,'- 20 -'!B43)</f>
        <v>7300609</v>
      </c>
      <c r="C43" s="291">
        <f>B43/'- 3 -'!D43*100</f>
        <v>54.273293641306353</v>
      </c>
      <c r="D43" s="285">
        <f>B43/'- 7 -'!C43</f>
        <v>7534.1682146542826</v>
      </c>
      <c r="E43" s="285">
        <f>SUM('- 21 -'!B43,'- 21 -'!E43,'- 21 -'!H43,'- 22 -'!B43,'- 22 -'!E43,'- 22 -'!H43)</f>
        <v>2416097</v>
      </c>
      <c r="F43" s="291">
        <f>E43/'- 3 -'!D43*100</f>
        <v>17.961452523601711</v>
      </c>
      <c r="G43" s="285">
        <f>E43/'- 7 -'!E43</f>
        <v>2493.3921568627452</v>
      </c>
      <c r="H43" s="285">
        <f>SUM('- 23 -'!D43,'- 23 -'!B43)</f>
        <v>218884</v>
      </c>
      <c r="I43" s="291">
        <f>H43/'- 3 -'!D43*100</f>
        <v>1.627200635643369</v>
      </c>
    </row>
    <row r="44" spans="1:9" ht="14.1" customHeight="1" x14ac:dyDescent="0.2">
      <c r="A44" s="19" t="s">
        <v>142</v>
      </c>
      <c r="B44" s="20">
        <f>SUM('- 18 -'!B44,'- 18 -'!E44,'- 19 -'!B44,'- 19 -'!E44,'- 19 -'!H44,'- 20 -'!B44)</f>
        <v>6185701</v>
      </c>
      <c r="C44" s="70">
        <f>B44/'- 3 -'!D44*100</f>
        <v>56.42814300381724</v>
      </c>
      <c r="D44" s="20">
        <f>B44/'- 7 -'!C44</f>
        <v>8913.1138328530251</v>
      </c>
      <c r="E44" s="20">
        <f>SUM('- 21 -'!B44,'- 21 -'!E44,'- 21 -'!H44,'- 22 -'!B44,'- 22 -'!E44,'- 22 -'!H44)</f>
        <v>1595923</v>
      </c>
      <c r="F44" s="70">
        <f>E44/'- 3 -'!D44*100</f>
        <v>14.558571658585024</v>
      </c>
      <c r="G44" s="20">
        <f>E44/'- 7 -'!E44</f>
        <v>2299.6008645533143</v>
      </c>
      <c r="H44" s="20">
        <f>SUM('- 23 -'!D44,'- 23 -'!B44)</f>
        <v>0</v>
      </c>
      <c r="I44" s="70">
        <f>H44/'- 3 -'!D44*100</f>
        <v>0</v>
      </c>
    </row>
    <row r="45" spans="1:9" ht="14.1" customHeight="1" x14ac:dyDescent="0.2">
      <c r="A45" s="284" t="s">
        <v>143</v>
      </c>
      <c r="B45" s="285">
        <f>SUM('- 18 -'!B45,'- 18 -'!E45,'- 19 -'!B45,'- 19 -'!E45,'- 19 -'!H45,'- 20 -'!B45)</f>
        <v>12337583</v>
      </c>
      <c r="C45" s="291">
        <f>B45/'- 3 -'!D45*100</f>
        <v>61.830207949063578</v>
      </c>
      <c r="D45" s="285">
        <f>B45/'- 7 -'!C45</f>
        <v>7139.8049768518522</v>
      </c>
      <c r="E45" s="285">
        <f>SUM('- 21 -'!B45,'- 21 -'!E45,'- 21 -'!H45,'- 22 -'!B45,'- 22 -'!E45,'- 22 -'!H45)</f>
        <v>2698705</v>
      </c>
      <c r="F45" s="291">
        <f>E45/'- 3 -'!D45*100</f>
        <v>13.524649953169726</v>
      </c>
      <c r="G45" s="285">
        <f>E45/'- 7 -'!E45</f>
        <v>1561.7505787037037</v>
      </c>
      <c r="H45" s="285">
        <f>SUM('- 23 -'!D45,'- 23 -'!B45)</f>
        <v>392331</v>
      </c>
      <c r="I45" s="291">
        <f>H45/'- 3 -'!D45*100</f>
        <v>1.9661798680393121</v>
      </c>
    </row>
    <row r="46" spans="1:9" ht="14.1" customHeight="1" x14ac:dyDescent="0.2">
      <c r="A46" s="19" t="s">
        <v>144</v>
      </c>
      <c r="B46" s="20">
        <f>SUM('- 18 -'!B46,'- 18 -'!E46,'- 19 -'!B46,'- 19 -'!E46,'- 19 -'!H46,'- 20 -'!B46)</f>
        <v>209618354</v>
      </c>
      <c r="C46" s="70">
        <f>B46/'- 3 -'!D46*100</f>
        <v>52.816157216747975</v>
      </c>
      <c r="D46" s="20">
        <f>B46/'- 7 -'!C46</f>
        <v>7010.8583201501051</v>
      </c>
      <c r="E46" s="20">
        <f>SUM('- 21 -'!B46,'- 21 -'!E46,'- 21 -'!H46,'- 22 -'!B46,'- 22 -'!E46,'- 22 -'!H46)</f>
        <v>94875937</v>
      </c>
      <c r="F46" s="70">
        <f>E46/'- 3 -'!D46*100</f>
        <v>23.905265493489544</v>
      </c>
      <c r="G46" s="20">
        <f>E46/'- 7 -'!E46</f>
        <v>3173.2037753644759</v>
      </c>
      <c r="H46" s="20">
        <f>SUM('- 23 -'!D46,'- 23 -'!B46)</f>
        <v>798009</v>
      </c>
      <c r="I46" s="70">
        <f>H46/'- 3 -'!D46*100</f>
        <v>0.2010690762526445</v>
      </c>
    </row>
    <row r="47" spans="1:9" ht="5.0999999999999996" customHeight="1" x14ac:dyDescent="0.2">
      <c r="A47" s="21"/>
      <c r="B47" s="22"/>
      <c r="C47" s="71"/>
      <c r="D47" s="22"/>
      <c r="E47" s="22"/>
      <c r="F47" s="71"/>
      <c r="G47" s="22"/>
      <c r="H47" s="22"/>
      <c r="I47" s="71"/>
    </row>
    <row r="48" spans="1:9" ht="14.1" customHeight="1" x14ac:dyDescent="0.2">
      <c r="A48" s="286" t="s">
        <v>145</v>
      </c>
      <c r="B48" s="287">
        <f>SUM(B11:B46)</f>
        <v>1312008320</v>
      </c>
      <c r="C48" s="294">
        <f>B48/'- 3 -'!D48*100</f>
        <v>55.666709833267525</v>
      </c>
      <c r="D48" s="287">
        <f>B48/'- 7 -'!C48</f>
        <v>7396.644460712736</v>
      </c>
      <c r="E48" s="287">
        <f>SUM(E11:E46)</f>
        <v>438434818</v>
      </c>
      <c r="F48" s="294">
        <f>E48/'- 3 -'!D48*100</f>
        <v>18.602186756260402</v>
      </c>
      <c r="G48" s="287">
        <f>E48/'- 7 -'!E48</f>
        <v>2471.7423041519251</v>
      </c>
      <c r="H48" s="287">
        <f>SUM(H11:H46)</f>
        <v>11208160</v>
      </c>
      <c r="I48" s="294">
        <f>H48/'- 3 -'!D48*100</f>
        <v>0.47554682464577341</v>
      </c>
    </row>
    <row r="49" spans="1:9" ht="5.0999999999999996" customHeight="1" x14ac:dyDescent="0.2">
      <c r="A49" s="21" t="s">
        <v>7</v>
      </c>
      <c r="B49" s="22"/>
      <c r="C49" s="71"/>
      <c r="D49" s="22"/>
      <c r="E49" s="22"/>
      <c r="F49" s="71"/>
      <c r="H49" s="22"/>
      <c r="I49" s="71"/>
    </row>
    <row r="50" spans="1:9" ht="14.1" customHeight="1" x14ac:dyDescent="0.2">
      <c r="A50" s="284" t="s">
        <v>146</v>
      </c>
      <c r="B50" s="285">
        <f>SUM('- 18 -'!B50,'- 18 -'!E50,'- 19 -'!B50,'- 19 -'!E50,'- 19 -'!H50,'- 20 -'!B50)</f>
        <v>1946508</v>
      </c>
      <c r="C50" s="291">
        <f>B50/'- 3 -'!D50*100</f>
        <v>60.13065272922227</v>
      </c>
      <c r="D50" s="285">
        <f>B50/'- 7 -'!C50</f>
        <v>11868.951219512195</v>
      </c>
      <c r="E50" s="285">
        <f>SUM('- 21 -'!B50,'- 21 -'!E50,'- 21 -'!H50,'- 22 -'!B50,'- 22 -'!E50,'- 22 -'!H50)</f>
        <v>366022</v>
      </c>
      <c r="F50" s="291">
        <f>E50/'- 3 -'!D50*100</f>
        <v>11.306987576344609</v>
      </c>
      <c r="G50" s="285">
        <f>E50/'- 7 -'!E50</f>
        <v>2231.8414634146343</v>
      </c>
      <c r="H50" s="285">
        <f>SUM('- 23 -'!D50,'- 23 -'!B50)</f>
        <v>0</v>
      </c>
      <c r="I50" s="291">
        <f>H50/'- 3 -'!D50*100</f>
        <v>0</v>
      </c>
    </row>
    <row r="51" spans="1:9" ht="14.1" customHeight="1" x14ac:dyDescent="0.2">
      <c r="A51" s="19" t="s">
        <v>607</v>
      </c>
      <c r="B51" s="20">
        <f>SUM('- 18 -'!B51,'- 18 -'!E51,'- 19 -'!B51,'- 19 -'!E51,'- 19 -'!H51,'- 20 -'!B51)</f>
        <v>7104078</v>
      </c>
      <c r="C51" s="70">
        <f>B51/'- 3 -'!D51*100</f>
        <v>23.406049547334806</v>
      </c>
      <c r="D51" s="20">
        <f>B51/'- 7 -'!C51</f>
        <v>6529.4834558823532</v>
      </c>
      <c r="E51" s="20">
        <f>SUM('- 21 -'!B51,'- 21 -'!E51,'- 21 -'!H51,'- 22 -'!B51,'- 22 -'!E51,'- 22 -'!H51)</f>
        <v>721568</v>
      </c>
      <c r="F51" s="70">
        <f>E51/'- 3 -'!D51*100</f>
        <v>2.3773748486110766</v>
      </c>
      <c r="G51" s="20">
        <f>E51/'- 7 -'!E51</f>
        <v>663.20588235294122</v>
      </c>
      <c r="H51" s="20">
        <f>SUM('- 23 -'!D51,'- 23 -'!B51)</f>
        <v>2546539</v>
      </c>
      <c r="I51" s="70">
        <f>H51/'- 3 -'!D51*100</f>
        <v>8.3901694221573049</v>
      </c>
    </row>
    <row r="52" spans="1:9" ht="50.1" customHeight="1" x14ac:dyDescent="0.2"/>
  </sheetData>
  <mergeCells count="5">
    <mergeCell ref="D8:D9"/>
    <mergeCell ref="G8:G9"/>
    <mergeCell ref="B7:D7"/>
    <mergeCell ref="E6:G7"/>
    <mergeCell ref="H6:I7"/>
  </mergeCells>
  <phoneticPr fontId="6" type="noConversion"/>
  <pageMargins left="0.5" right="0.5" top="0.6" bottom="0.2" header="0.3" footer="0.5"/>
  <pageSetup scale="89" firstPageNumber="14" orientation="portrait" r:id="rId1"/>
  <headerFooter alignWithMargins="0">
    <oddHeader>&amp;C&amp;"Arial,Regular"&amp;11&amp;A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I52"/>
  <sheetViews>
    <sheetView showGridLines="0" showZeros="0" workbookViewId="0"/>
  </sheetViews>
  <sheetFormatPr defaultColWidth="15.83203125" defaultRowHeight="12" x14ac:dyDescent="0.2"/>
  <cols>
    <col min="1" max="1" width="32.83203125" style="2" customWidth="1"/>
    <col min="2" max="2" width="18.83203125" style="2" customWidth="1"/>
    <col min="3" max="3" width="9.83203125" style="2" customWidth="1"/>
    <col min="4" max="4" width="16.83203125" style="2" customWidth="1"/>
    <col min="5" max="5" width="8.83203125" style="2" customWidth="1"/>
    <col min="6" max="6" width="9.83203125" style="2" customWidth="1"/>
    <col min="7" max="7" width="16.83203125" style="2" customWidth="1"/>
    <col min="8" max="8" width="8.83203125" style="2" customWidth="1"/>
    <col min="9" max="9" width="9.83203125" style="2" customWidth="1"/>
    <col min="10" max="16384" width="15.83203125" style="2"/>
  </cols>
  <sheetData>
    <row r="1" spans="1:9" ht="6.95" customHeight="1" x14ac:dyDescent="0.2">
      <c r="A1" s="7"/>
      <c r="B1" s="8"/>
      <c r="C1" s="8"/>
      <c r="D1" s="8"/>
      <c r="E1" s="8"/>
      <c r="F1" s="8"/>
      <c r="G1" s="8"/>
      <c r="H1" s="8"/>
      <c r="I1" s="8"/>
    </row>
    <row r="2" spans="1:9" ht="15.95" customHeight="1" x14ac:dyDescent="0.2">
      <c r="A2" s="134"/>
      <c r="B2" s="9" t="s">
        <v>261</v>
      </c>
      <c r="C2" s="10"/>
      <c r="D2" s="10"/>
      <c r="E2" s="10"/>
      <c r="F2" s="10"/>
      <c r="G2" s="73"/>
      <c r="H2" s="81"/>
      <c r="I2" s="135" t="s">
        <v>8</v>
      </c>
    </row>
    <row r="3" spans="1:9" ht="15.95" customHeight="1" x14ac:dyDescent="0.2">
      <c r="A3" s="541"/>
      <c r="B3" s="11" t="str">
        <f>OPYEAR</f>
        <v>OPERATING FUND 2017/2018 ACTUAL</v>
      </c>
      <c r="C3" s="12"/>
      <c r="D3" s="12"/>
      <c r="E3" s="12"/>
      <c r="F3" s="12"/>
      <c r="G3" s="75"/>
      <c r="H3" s="66"/>
      <c r="I3" s="66"/>
    </row>
    <row r="4" spans="1:9" ht="15.95" customHeight="1" x14ac:dyDescent="0.2">
      <c r="B4" s="8"/>
      <c r="C4" s="8"/>
      <c r="D4" s="8"/>
      <c r="E4" s="8"/>
      <c r="F4" s="8"/>
      <c r="G4" s="8"/>
      <c r="H4" s="8"/>
      <c r="I4" s="8"/>
    </row>
    <row r="5" spans="1:9" ht="15.95" customHeight="1" x14ac:dyDescent="0.2">
      <c r="B5" s="8"/>
      <c r="C5" s="8"/>
      <c r="D5" s="8"/>
      <c r="E5" s="8"/>
      <c r="F5" s="8"/>
      <c r="G5" s="8"/>
      <c r="H5" s="8"/>
      <c r="I5" s="8"/>
    </row>
    <row r="6" spans="1:9" ht="15.95" customHeight="1" x14ac:dyDescent="0.2">
      <c r="B6" s="638" t="s">
        <v>471</v>
      </c>
      <c r="C6" s="639"/>
      <c r="D6" s="638" t="s">
        <v>472</v>
      </c>
      <c r="E6" s="646"/>
      <c r="F6" s="639"/>
      <c r="G6" s="638" t="s">
        <v>473</v>
      </c>
      <c r="H6" s="646"/>
      <c r="I6" s="639"/>
    </row>
    <row r="7" spans="1:9" ht="15.95" customHeight="1" x14ac:dyDescent="0.2">
      <c r="B7" s="640"/>
      <c r="C7" s="641"/>
      <c r="D7" s="640"/>
      <c r="E7" s="647"/>
      <c r="F7" s="641"/>
      <c r="G7" s="640"/>
      <c r="H7" s="647"/>
      <c r="I7" s="641"/>
    </row>
    <row r="8" spans="1:9" ht="15.95" customHeight="1" x14ac:dyDescent="0.2">
      <c r="A8" s="67"/>
      <c r="B8" s="14" t="s">
        <v>7</v>
      </c>
      <c r="C8" s="138"/>
      <c r="D8" s="137"/>
      <c r="E8" s="139"/>
      <c r="F8" s="612" t="s">
        <v>327</v>
      </c>
      <c r="G8" s="137"/>
      <c r="H8" s="139"/>
      <c r="I8" s="612" t="s">
        <v>327</v>
      </c>
    </row>
    <row r="9" spans="1:9" ht="15.95" customHeight="1" x14ac:dyDescent="0.2">
      <c r="A9" s="35" t="s">
        <v>42</v>
      </c>
      <c r="B9" s="77" t="s">
        <v>43</v>
      </c>
      <c r="C9" s="77" t="s">
        <v>44</v>
      </c>
      <c r="D9" s="77" t="s">
        <v>43</v>
      </c>
      <c r="E9" s="77" t="s">
        <v>44</v>
      </c>
      <c r="F9" s="593"/>
      <c r="G9" s="77" t="s">
        <v>43</v>
      </c>
      <c r="H9" s="77" t="s">
        <v>44</v>
      </c>
      <c r="I9" s="593"/>
    </row>
    <row r="10" spans="1:9" ht="5.0999999999999996" customHeight="1" x14ac:dyDescent="0.2">
      <c r="A10" s="6"/>
    </row>
    <row r="11" spans="1:9" ht="14.1" customHeight="1" x14ac:dyDescent="0.2">
      <c r="A11" s="284" t="s">
        <v>110</v>
      </c>
      <c r="B11" s="285">
        <f>SUM('- 24 -'!H11,'- 24 -'!F11,'- 24 -'!D11,'- 24 -'!B11)</f>
        <v>26306</v>
      </c>
      <c r="C11" s="291">
        <f>B11/'- 3 -'!D11*100</f>
        <v>0.13292848744501401</v>
      </c>
      <c r="D11" s="285">
        <f>SUM('- 25 -'!B11,'- 25 -'!E11,'- 25 -'!H11,'- 26 -'!B11)</f>
        <v>619533</v>
      </c>
      <c r="E11" s="291">
        <f>D11/'- 3 -'!D11*100</f>
        <v>3.1306007987634707</v>
      </c>
      <c r="F11" s="285">
        <f>D11/'- 7 -'!E11</f>
        <v>344.5295295295295</v>
      </c>
      <c r="G11" s="285">
        <f>SUM('- 27 -'!B11,'- 27 -'!E11,'- 27 -'!H11,'- 28 -'!B11,'- 28 -'!E11)</f>
        <v>561815</v>
      </c>
      <c r="H11" s="291">
        <f>G11/'- 3 -'!D11*100</f>
        <v>2.8389423771732893</v>
      </c>
      <c r="I11" s="285">
        <f>G11/'- 7 -'!E11</f>
        <v>312.43187632076518</v>
      </c>
    </row>
    <row r="12" spans="1:9" ht="14.1" customHeight="1" x14ac:dyDescent="0.2">
      <c r="A12" s="19" t="s">
        <v>111</v>
      </c>
      <c r="B12" s="20">
        <f>SUM('- 24 -'!H12,'- 24 -'!F12,'- 24 -'!D12,'- 24 -'!B12)</f>
        <v>54612</v>
      </c>
      <c r="C12" s="70">
        <f>B12/'- 3 -'!D12*100</f>
        <v>0.16041096129819735</v>
      </c>
      <c r="D12" s="20">
        <f>SUM('- 25 -'!B12,'- 25 -'!E12,'- 25 -'!H12,'- 26 -'!B12)</f>
        <v>1205585</v>
      </c>
      <c r="E12" s="70">
        <f>D12/'- 3 -'!D12*100</f>
        <v>3.5411456964895489</v>
      </c>
      <c r="F12" s="20">
        <f>D12/'- 7 -'!E12</f>
        <v>582.26756822023663</v>
      </c>
      <c r="G12" s="20">
        <f>SUM('- 27 -'!B12,'- 27 -'!E12,'- 27 -'!H12,'- 28 -'!B12,'- 28 -'!E12)</f>
        <v>820857</v>
      </c>
      <c r="H12" s="70">
        <f>G12/'- 3 -'!D12*100</f>
        <v>2.4110902449709659</v>
      </c>
      <c r="I12" s="20">
        <f>G12/'- 7 -'!E12</f>
        <v>396.45351364404735</v>
      </c>
    </row>
    <row r="13" spans="1:9" ht="14.1" customHeight="1" x14ac:dyDescent="0.2">
      <c r="A13" s="284" t="s">
        <v>112</v>
      </c>
      <c r="B13" s="285">
        <f>SUM('- 24 -'!H13,'- 24 -'!F13,'- 24 -'!D13,'- 24 -'!B13)</f>
        <v>322020</v>
      </c>
      <c r="C13" s="291">
        <f>B13/'- 3 -'!D13*100</f>
        <v>0.32539783781109538</v>
      </c>
      <c r="D13" s="285">
        <f>SUM('- 25 -'!B13,'- 25 -'!E13,'- 25 -'!H13,'- 26 -'!B13)</f>
        <v>3105980</v>
      </c>
      <c r="E13" s="291">
        <f>D13/'- 3 -'!D13*100</f>
        <v>3.1385602642211854</v>
      </c>
      <c r="F13" s="285">
        <f>D13/'- 7 -'!E13</f>
        <v>368.3331723919448</v>
      </c>
      <c r="G13" s="285">
        <f>SUM('- 27 -'!B13,'- 27 -'!E13,'- 27 -'!H13,'- 28 -'!B13,'- 28 -'!E13)</f>
        <v>3028856</v>
      </c>
      <c r="H13" s="291">
        <f>G13/'- 3 -'!D13*100</f>
        <v>3.0606272698626267</v>
      </c>
      <c r="I13" s="285">
        <f>G13/'- 7 -'!E13</f>
        <v>359.18716128190664</v>
      </c>
    </row>
    <row r="14" spans="1:9" ht="14.1" customHeight="1" x14ac:dyDescent="0.2">
      <c r="A14" s="19" t="s">
        <v>359</v>
      </c>
      <c r="B14" s="20">
        <f>SUM('- 24 -'!H14,'- 24 -'!F14,'- 24 -'!D14,'- 24 -'!B14)</f>
        <v>1225901</v>
      </c>
      <c r="C14" s="70">
        <f>B14/'- 3 -'!D14*100</f>
        <v>1.3920647062125291</v>
      </c>
      <c r="D14" s="20">
        <f>SUM('- 25 -'!B14,'- 25 -'!E14,'- 25 -'!H14,'- 26 -'!B14)</f>
        <v>3334580</v>
      </c>
      <c r="E14" s="70">
        <f>D14/'- 3 -'!D14*100</f>
        <v>3.7865628040454942</v>
      </c>
      <c r="F14" s="20">
        <f>D14/'- 7 -'!E14</f>
        <v>594.65156340836222</v>
      </c>
      <c r="G14" s="20">
        <f>SUM('- 27 -'!B14,'- 27 -'!E14,'- 27 -'!H14,'- 28 -'!B14,'- 28 -'!E14)</f>
        <v>3115418</v>
      </c>
      <c r="H14" s="70">
        <f>G14/'- 3 -'!D14*100</f>
        <v>3.5376946775467393</v>
      </c>
      <c r="I14" s="20">
        <f>G14/'- 7 -'!E14</f>
        <v>555.56867262760318</v>
      </c>
    </row>
    <row r="15" spans="1:9" ht="14.1" customHeight="1" x14ac:dyDescent="0.2">
      <c r="A15" s="284" t="s">
        <v>113</v>
      </c>
      <c r="B15" s="285">
        <f>SUM('- 24 -'!H15,'- 24 -'!F15,'- 24 -'!D15,'- 24 -'!B15)</f>
        <v>51723</v>
      </c>
      <c r="C15" s="291">
        <f>B15/'- 3 -'!D15*100</f>
        <v>0.25885519173240851</v>
      </c>
      <c r="D15" s="285">
        <f>SUM('- 25 -'!B15,'- 25 -'!E15,'- 25 -'!H15,'- 26 -'!B15)</f>
        <v>903312</v>
      </c>
      <c r="E15" s="291">
        <f>D15/'- 3 -'!D15*100</f>
        <v>4.5207548083867017</v>
      </c>
      <c r="F15" s="285">
        <f>D15/'- 7 -'!E15</f>
        <v>654.66879257863457</v>
      </c>
      <c r="G15" s="285">
        <f>SUM('- 27 -'!B15,'- 27 -'!E15,'- 27 -'!H15,'- 28 -'!B15,'- 28 -'!E15)</f>
        <v>523954</v>
      </c>
      <c r="H15" s="291">
        <f>G15/'- 3 -'!D15*100</f>
        <v>2.6222031422957364</v>
      </c>
      <c r="I15" s="285">
        <f>G15/'- 7 -'!E15</f>
        <v>379.73184519495578</v>
      </c>
    </row>
    <row r="16" spans="1:9" ht="14.1" customHeight="1" x14ac:dyDescent="0.2">
      <c r="A16" s="19" t="s">
        <v>114</v>
      </c>
      <c r="B16" s="20">
        <f>SUM('- 24 -'!H16,'- 24 -'!F16,'- 24 -'!D16,'- 24 -'!B16)</f>
        <v>11410</v>
      </c>
      <c r="C16" s="70">
        <f>B16/'- 3 -'!D16*100</f>
        <v>7.887545310180312E-2</v>
      </c>
      <c r="D16" s="20">
        <f>SUM('- 25 -'!B16,'- 25 -'!E16,'- 25 -'!H16,'- 26 -'!B16)</f>
        <v>678136</v>
      </c>
      <c r="E16" s="70">
        <f>D16/'- 3 -'!D16*100</f>
        <v>4.6878426174096726</v>
      </c>
      <c r="F16" s="20">
        <f>D16/'- 7 -'!E16</f>
        <v>742.83711249863074</v>
      </c>
      <c r="G16" s="20">
        <f>SUM('- 27 -'!B16,'- 27 -'!E16,'- 27 -'!H16,'- 28 -'!B16,'- 28 -'!E16)</f>
        <v>318552</v>
      </c>
      <c r="H16" s="70">
        <f>G16/'- 3 -'!D16*100</f>
        <v>2.2020975755026808</v>
      </c>
      <c r="I16" s="20">
        <f>G16/'- 7 -'!E16</f>
        <v>348.94511994742032</v>
      </c>
    </row>
    <row r="17" spans="1:9" ht="14.1" customHeight="1" x14ac:dyDescent="0.2">
      <c r="A17" s="284" t="s">
        <v>115</v>
      </c>
      <c r="B17" s="285">
        <f>SUM('- 24 -'!H17,'- 24 -'!F17,'- 24 -'!D17,'- 24 -'!B17)</f>
        <v>267666</v>
      </c>
      <c r="C17" s="291">
        <f>B17/'- 3 -'!D17*100</f>
        <v>1.4595952933878369</v>
      </c>
      <c r="D17" s="285">
        <f>SUM('- 25 -'!B17,'- 25 -'!E17,'- 25 -'!H17,'- 26 -'!B17)</f>
        <v>751860</v>
      </c>
      <c r="E17" s="291">
        <f>D17/'- 3 -'!D17*100</f>
        <v>4.0999279597953384</v>
      </c>
      <c r="F17" s="285">
        <f>D17/'- 7 -'!E17</f>
        <v>538.27870109946309</v>
      </c>
      <c r="G17" s="285">
        <f>SUM('- 27 -'!B17,'- 27 -'!E17,'- 27 -'!H17,'- 28 -'!B17,'- 28 -'!E17)</f>
        <v>421079</v>
      </c>
      <c r="H17" s="291">
        <f>G17/'- 3 -'!D17*100</f>
        <v>2.2961636014452975</v>
      </c>
      <c r="I17" s="285">
        <f>G17/'- 7 -'!E17</f>
        <v>301.46284837637432</v>
      </c>
    </row>
    <row r="18" spans="1:9" ht="14.1" customHeight="1" x14ac:dyDescent="0.2">
      <c r="A18" s="19" t="s">
        <v>116</v>
      </c>
      <c r="B18" s="20">
        <f>SUM('- 24 -'!H18,'- 24 -'!F18,'- 24 -'!D18,'- 24 -'!B18)</f>
        <v>2633985</v>
      </c>
      <c r="C18" s="70">
        <f>B18/'- 3 -'!D18*100</f>
        <v>1.9793444238671944</v>
      </c>
      <c r="D18" s="20">
        <f>SUM('- 25 -'!B18,'- 25 -'!E18,'- 25 -'!H18,'- 26 -'!B18)</f>
        <v>6948040</v>
      </c>
      <c r="E18" s="70">
        <f>D18/'- 3 -'!D18*100</f>
        <v>5.2212006639393236</v>
      </c>
      <c r="F18" s="20">
        <f>D18/'- 7 -'!E18</f>
        <v>1140.4999917926493</v>
      </c>
      <c r="G18" s="20">
        <f>SUM('- 27 -'!B18,'- 27 -'!E18,'- 27 -'!H18,'- 28 -'!B18,'- 28 -'!E18)</f>
        <v>7472604</v>
      </c>
      <c r="H18" s="70">
        <f>G18/'- 3 -'!D18*100</f>
        <v>5.6153915300078365</v>
      </c>
      <c r="I18" s="20">
        <f>G18/'- 7 -'!E18</f>
        <v>1226.6056039789235</v>
      </c>
    </row>
    <row r="19" spans="1:9" ht="14.1" customHeight="1" x14ac:dyDescent="0.2">
      <c r="A19" s="284" t="s">
        <v>117</v>
      </c>
      <c r="B19" s="285">
        <f>SUM('- 24 -'!H19,'- 24 -'!F19,'- 24 -'!D19,'- 24 -'!B19)</f>
        <v>56552</v>
      </c>
      <c r="C19" s="291">
        <f>B19/'- 3 -'!D19*100</f>
        <v>0.1148839895574045</v>
      </c>
      <c r="D19" s="285">
        <f>SUM('- 25 -'!B19,'- 25 -'!E19,'- 25 -'!H19,'- 26 -'!B19)</f>
        <v>1383969</v>
      </c>
      <c r="E19" s="291">
        <f>D19/'- 3 -'!D19*100</f>
        <v>2.8114988001091308</v>
      </c>
      <c r="F19" s="285">
        <f>D19/'- 7 -'!E19</f>
        <v>312.15468242511724</v>
      </c>
      <c r="G19" s="285">
        <f>SUM('- 27 -'!B19,'- 27 -'!E19,'- 27 -'!H19,'- 28 -'!B19,'- 28 -'!E19)</f>
        <v>1653224</v>
      </c>
      <c r="H19" s="291">
        <f>G19/'- 3 -'!D19*100</f>
        <v>3.3584836743537014</v>
      </c>
      <c r="I19" s="285">
        <f>G19/'- 7 -'!E19</f>
        <v>372.88523998556474</v>
      </c>
    </row>
    <row r="20" spans="1:9" ht="14.1" customHeight="1" x14ac:dyDescent="0.2">
      <c r="A20" s="19" t="s">
        <v>118</v>
      </c>
      <c r="B20" s="20">
        <f>SUM('- 24 -'!H20,'- 24 -'!F20,'- 24 -'!D20,'- 24 -'!B20)</f>
        <v>184935</v>
      </c>
      <c r="C20" s="70">
        <f>B20/'- 3 -'!D20*100</f>
        <v>0.21806640196521182</v>
      </c>
      <c r="D20" s="20">
        <f>SUM('- 25 -'!B20,'- 25 -'!E20,'- 25 -'!H20,'- 26 -'!B20)</f>
        <v>2194498</v>
      </c>
      <c r="E20" s="70">
        <f>D20/'- 3 -'!D20*100</f>
        <v>2.58764583761783</v>
      </c>
      <c r="F20" s="20">
        <f>D20/'- 7 -'!E20</f>
        <v>281.59861414089568</v>
      </c>
      <c r="G20" s="20">
        <f>SUM('- 27 -'!B20,'- 27 -'!E20,'- 27 -'!H20,'- 28 -'!B20,'- 28 -'!E20)</f>
        <v>2663514</v>
      </c>
      <c r="H20" s="70">
        <f>G20/'- 3 -'!D20*100</f>
        <v>3.1406868065210434</v>
      </c>
      <c r="I20" s="20">
        <f>G20/'- 7 -'!E20</f>
        <v>341.78288207365586</v>
      </c>
    </row>
    <row r="21" spans="1:9" ht="14.1" customHeight="1" x14ac:dyDescent="0.2">
      <c r="A21" s="284" t="s">
        <v>119</v>
      </c>
      <c r="B21" s="285">
        <f>SUM('- 24 -'!H21,'- 24 -'!F21,'- 24 -'!D21,'- 24 -'!B21)</f>
        <v>237321</v>
      </c>
      <c r="C21" s="291">
        <f>B21/'- 3 -'!D21*100</f>
        <v>0.64462366517260128</v>
      </c>
      <c r="D21" s="285">
        <f>SUM('- 25 -'!B21,'- 25 -'!E21,'- 25 -'!H21,'- 26 -'!B21)</f>
        <v>1385395</v>
      </c>
      <c r="E21" s="291">
        <f>D21/'- 3 -'!D21*100</f>
        <v>3.7630820812814538</v>
      </c>
      <c r="F21" s="285">
        <f>D21/'- 7 -'!E21</f>
        <v>497.94946445259149</v>
      </c>
      <c r="G21" s="285">
        <f>SUM('- 27 -'!B21,'- 27 -'!E21,'- 27 -'!H21,'- 28 -'!B21,'- 28 -'!E21)</f>
        <v>944353</v>
      </c>
      <c r="H21" s="291">
        <f>G21/'- 3 -'!D21*100</f>
        <v>2.5651008215739082</v>
      </c>
      <c r="I21" s="285">
        <f>G21/'- 7 -'!E21</f>
        <v>339.42671267342394</v>
      </c>
    </row>
    <row r="22" spans="1:9" ht="14.1" customHeight="1" x14ac:dyDescent="0.2">
      <c r="A22" s="19" t="s">
        <v>120</v>
      </c>
      <c r="B22" s="20">
        <f>SUM('- 24 -'!H22,'- 24 -'!F22,'- 24 -'!D22,'- 24 -'!B22)</f>
        <v>49191</v>
      </c>
      <c r="C22" s="70">
        <f>B22/'- 3 -'!D22*100</f>
        <v>0.23852507509944365</v>
      </c>
      <c r="D22" s="20">
        <f>SUM('- 25 -'!B22,'- 25 -'!E22,'- 25 -'!H22,'- 26 -'!B22)</f>
        <v>793998</v>
      </c>
      <c r="E22" s="70">
        <f>D22/'- 3 -'!D22*100</f>
        <v>3.8500626655040158</v>
      </c>
      <c r="F22" s="20">
        <f>D22/'- 7 -'!E22</f>
        <v>531.67135395741263</v>
      </c>
      <c r="G22" s="20">
        <f>SUM('- 27 -'!B22,'- 27 -'!E22,'- 27 -'!H22,'- 28 -'!B22,'- 28 -'!E22)</f>
        <v>459695</v>
      </c>
      <c r="H22" s="70">
        <f>G22/'- 3 -'!D22*100</f>
        <v>2.2290415807330355</v>
      </c>
      <c r="I22" s="20">
        <f>G22/'- 7 -'!E22</f>
        <v>307.81773135127895</v>
      </c>
    </row>
    <row r="23" spans="1:9" ht="14.1" customHeight="1" x14ac:dyDescent="0.2">
      <c r="A23" s="284" t="s">
        <v>121</v>
      </c>
      <c r="B23" s="285">
        <f>SUM('- 24 -'!H23,'- 24 -'!F23,'- 24 -'!D23,'- 24 -'!B23)</f>
        <v>289265</v>
      </c>
      <c r="C23" s="291">
        <f>B23/'- 3 -'!D23*100</f>
        <v>1.7463782867942372</v>
      </c>
      <c r="D23" s="285">
        <f>SUM('- 25 -'!B23,'- 25 -'!E23,'- 25 -'!H23,'- 26 -'!B23)</f>
        <v>661665</v>
      </c>
      <c r="E23" s="291">
        <f>D23/'- 3 -'!D23*100</f>
        <v>3.9946671361267656</v>
      </c>
      <c r="F23" s="285">
        <f>D23/'- 7 -'!E23</f>
        <v>634.69064748201436</v>
      </c>
      <c r="G23" s="285">
        <f>SUM('- 27 -'!B23,'- 27 -'!E23,'- 27 -'!H23,'- 28 -'!B23,'- 28 -'!E23)</f>
        <v>578293</v>
      </c>
      <c r="H23" s="291">
        <f>G23/'- 3 -'!D23*100</f>
        <v>3.4913257345517077</v>
      </c>
      <c r="I23" s="285">
        <f>G23/'- 7 -'!E23</f>
        <v>554.71750599520385</v>
      </c>
    </row>
    <row r="24" spans="1:9" ht="14.1" customHeight="1" x14ac:dyDescent="0.2">
      <c r="A24" s="19" t="s">
        <v>122</v>
      </c>
      <c r="B24" s="20">
        <f>SUM('- 24 -'!H24,'- 24 -'!F24,'- 24 -'!D24,'- 24 -'!B24)</f>
        <v>488624</v>
      </c>
      <c r="C24" s="70">
        <f>B24/'- 3 -'!D24*100</f>
        <v>0.84432396705639423</v>
      </c>
      <c r="D24" s="20">
        <f>SUM('- 25 -'!B24,'- 25 -'!E24,'- 25 -'!H24,'- 26 -'!B24)</f>
        <v>1885851</v>
      </c>
      <c r="E24" s="70">
        <f>D24/'- 3 -'!D24*100</f>
        <v>3.2586798798202055</v>
      </c>
      <c r="F24" s="20">
        <f>D24/'- 7 -'!E24</f>
        <v>484.63264204764471</v>
      </c>
      <c r="G24" s="20">
        <f>SUM('- 27 -'!B24,'- 27 -'!E24,'- 27 -'!H24,'- 28 -'!B24,'- 28 -'!E24)</f>
        <v>1548516</v>
      </c>
      <c r="H24" s="70">
        <f>G24/'- 3 -'!D24*100</f>
        <v>2.6757776371408268</v>
      </c>
      <c r="I24" s="20">
        <f>G24/'- 7 -'!E24</f>
        <v>397.9431038470434</v>
      </c>
    </row>
    <row r="25" spans="1:9" ht="14.1" customHeight="1" x14ac:dyDescent="0.2">
      <c r="A25" s="284" t="s">
        <v>123</v>
      </c>
      <c r="B25" s="285">
        <f>SUM('- 24 -'!H25,'- 24 -'!F25,'- 24 -'!D25,'- 24 -'!B25)</f>
        <v>2628435</v>
      </c>
      <c r="C25" s="291">
        <f>B25/'- 3 -'!D25*100</f>
        <v>1.4052153163072485</v>
      </c>
      <c r="D25" s="285">
        <f>SUM('- 25 -'!B25,'- 25 -'!E25,'- 25 -'!H25,'- 26 -'!B25)</f>
        <v>6486435</v>
      </c>
      <c r="E25" s="291">
        <f>D25/'- 3 -'!D25*100</f>
        <v>3.4677813262383914</v>
      </c>
      <c r="F25" s="285">
        <f>D25/'- 7 -'!E25</f>
        <v>443.46537496496137</v>
      </c>
      <c r="G25" s="285">
        <f>SUM('- 27 -'!B25,'- 27 -'!E25,'- 27 -'!H25,'- 28 -'!B25,'- 28 -'!E25)</f>
        <v>8499787</v>
      </c>
      <c r="H25" s="291">
        <f>G25/'- 3 -'!D25*100</f>
        <v>4.5441606422640231</v>
      </c>
      <c r="I25" s="285">
        <f>G25/'- 7 -'!E25</f>
        <v>581.11446874551336</v>
      </c>
    </row>
    <row r="26" spans="1:9" ht="14.1" customHeight="1" x14ac:dyDescent="0.2">
      <c r="A26" s="19" t="s">
        <v>124</v>
      </c>
      <c r="B26" s="20">
        <f>SUM('- 24 -'!H26,'- 24 -'!F26,'- 24 -'!D26,'- 24 -'!B26)</f>
        <v>86152</v>
      </c>
      <c r="C26" s="70">
        <f>B26/'- 3 -'!D26*100</f>
        <v>0.21123779063493661</v>
      </c>
      <c r="D26" s="20">
        <f>SUM('- 25 -'!B26,'- 25 -'!E26,'- 25 -'!H26,'- 26 -'!B26)</f>
        <v>1414854</v>
      </c>
      <c r="E26" s="70">
        <f>D26/'- 3 -'!D26*100</f>
        <v>3.4691084714342404</v>
      </c>
      <c r="F26" s="20">
        <f>D26/'- 7 -'!E26</f>
        <v>478.8</v>
      </c>
      <c r="G26" s="20">
        <f>SUM('- 27 -'!B26,'- 27 -'!E26,'- 27 -'!H26,'- 28 -'!B26,'- 28 -'!E26)</f>
        <v>1399031</v>
      </c>
      <c r="H26" s="70">
        <f>G26/'- 3 -'!D26*100</f>
        <v>3.4303117451688419</v>
      </c>
      <c r="I26" s="20">
        <f>G26/'- 7 -'!E26</f>
        <v>473.44534686971235</v>
      </c>
    </row>
    <row r="27" spans="1:9" ht="14.1" customHeight="1" x14ac:dyDescent="0.2">
      <c r="A27" s="284" t="s">
        <v>125</v>
      </c>
      <c r="B27" s="285">
        <f>SUM('- 24 -'!H27,'- 24 -'!F27,'- 24 -'!D27,'- 24 -'!B27)</f>
        <v>0</v>
      </c>
      <c r="C27" s="291">
        <f>B27/'- 3 -'!D27*100</f>
        <v>0</v>
      </c>
      <c r="D27" s="285">
        <f>SUM('- 25 -'!B27,'- 25 -'!E27,'- 25 -'!H27,'- 26 -'!B27)</f>
        <v>1843059</v>
      </c>
      <c r="E27" s="291">
        <f>D27/'- 3 -'!D27*100</f>
        <v>4.5012322919545991</v>
      </c>
      <c r="F27" s="285">
        <f>D27/'- 7 -'!E27</f>
        <v>608.08967633376221</v>
      </c>
      <c r="G27" s="285">
        <f>SUM('- 27 -'!B27,'- 27 -'!E27,'- 27 -'!H27,'- 28 -'!B27,'- 28 -'!E27)</f>
        <v>1584498</v>
      </c>
      <c r="H27" s="291">
        <f>G27/'- 3 -'!D27*100</f>
        <v>3.8697586806160187</v>
      </c>
      <c r="I27" s="285">
        <f>G27/'- 7 -'!E27</f>
        <v>522.78135207364153</v>
      </c>
    </row>
    <row r="28" spans="1:9" ht="14.1" customHeight="1" x14ac:dyDescent="0.2">
      <c r="A28" s="19" t="s">
        <v>126</v>
      </c>
      <c r="B28" s="20">
        <f>SUM('- 24 -'!H28,'- 24 -'!F28,'- 24 -'!D28,'- 24 -'!B28)</f>
        <v>104914</v>
      </c>
      <c r="C28" s="70">
        <f>B28/'- 3 -'!D28*100</f>
        <v>0.36306488723321712</v>
      </c>
      <c r="D28" s="20">
        <f>SUM('- 25 -'!B28,'- 25 -'!E28,'- 25 -'!H28,'- 26 -'!B28)</f>
        <v>1129172</v>
      </c>
      <c r="E28" s="70">
        <f>D28/'- 3 -'!D28*100</f>
        <v>3.907607229224948</v>
      </c>
      <c r="F28" s="20">
        <f>D28/'- 7 -'!E28</f>
        <v>579.2110797640421</v>
      </c>
      <c r="G28" s="20">
        <f>SUM('- 27 -'!B28,'- 27 -'!E28,'- 27 -'!H28,'- 28 -'!B28,'- 28 -'!E28)</f>
        <v>795482</v>
      </c>
      <c r="H28" s="70">
        <f>G28/'- 3 -'!D28*100</f>
        <v>2.7528412092385572</v>
      </c>
      <c r="I28" s="20">
        <f>G28/'- 7 -'!E28</f>
        <v>408.04411387535265</v>
      </c>
    </row>
    <row r="29" spans="1:9" ht="14.1" customHeight="1" x14ac:dyDescent="0.2">
      <c r="A29" s="284" t="s">
        <v>127</v>
      </c>
      <c r="B29" s="285">
        <f>SUM('- 24 -'!H29,'- 24 -'!F29,'- 24 -'!D29,'- 24 -'!B29)</f>
        <v>929584</v>
      </c>
      <c r="C29" s="291">
        <f>B29/'- 3 -'!D29*100</f>
        <v>0.5708552920301776</v>
      </c>
      <c r="D29" s="285">
        <f>SUM('- 25 -'!B29,'- 25 -'!E29,'- 25 -'!H29,'- 26 -'!B29)</f>
        <v>5417139</v>
      </c>
      <c r="E29" s="291">
        <f>D29/'- 3 -'!D29*100</f>
        <v>3.3266519925182281</v>
      </c>
      <c r="F29" s="285">
        <f>D29/'- 7 -'!E29</f>
        <v>404.47841766906345</v>
      </c>
      <c r="G29" s="285">
        <f>SUM('- 27 -'!B29,'- 27 -'!E29,'- 27 -'!H29,'- 28 -'!B29,'- 28 -'!E29)</f>
        <v>6344182</v>
      </c>
      <c r="H29" s="291">
        <f>G29/'- 3 -'!D29*100</f>
        <v>3.8959468625778806</v>
      </c>
      <c r="I29" s="285">
        <f>G29/'- 7 -'!E29</f>
        <v>473.6974068349648</v>
      </c>
    </row>
    <row r="30" spans="1:9" ht="14.1" customHeight="1" x14ac:dyDescent="0.2">
      <c r="A30" s="19" t="s">
        <v>128</v>
      </c>
      <c r="B30" s="20">
        <f>SUM('- 24 -'!H30,'- 24 -'!F30,'- 24 -'!D30,'- 24 -'!B30)</f>
        <v>17014</v>
      </c>
      <c r="C30" s="70">
        <f>B30/'- 3 -'!D30*100</f>
        <v>0.11575179614621491</v>
      </c>
      <c r="D30" s="20">
        <f>SUM('- 25 -'!B30,'- 25 -'!E30,'- 25 -'!H30,'- 26 -'!B30)</f>
        <v>584062</v>
      </c>
      <c r="E30" s="70">
        <f>D30/'- 3 -'!D30*100</f>
        <v>3.9735644504966841</v>
      </c>
      <c r="F30" s="20">
        <f>D30/'- 7 -'!E30</f>
        <v>579.88681493248612</v>
      </c>
      <c r="G30" s="20">
        <f>SUM('- 27 -'!B30,'- 27 -'!E30,'- 27 -'!H30,'- 28 -'!B30,'- 28 -'!E30)</f>
        <v>528885</v>
      </c>
      <c r="H30" s="70">
        <f>G30/'- 3 -'!D30*100</f>
        <v>3.5981773072052943</v>
      </c>
      <c r="I30" s="20">
        <f>G30/'- 7 -'!E30</f>
        <v>525.10424940428913</v>
      </c>
    </row>
    <row r="31" spans="1:9" ht="14.1" customHeight="1" x14ac:dyDescent="0.2">
      <c r="A31" s="284" t="s">
        <v>129</v>
      </c>
      <c r="B31" s="285">
        <f>SUM('- 24 -'!H31,'- 24 -'!F31,'- 24 -'!D31,'- 24 -'!B31)</f>
        <v>59327</v>
      </c>
      <c r="C31" s="291">
        <f>B31/'- 3 -'!D31*100</f>
        <v>0.15599060370049037</v>
      </c>
      <c r="D31" s="285">
        <f>SUM('- 25 -'!B31,'- 25 -'!E31,'- 25 -'!H31,'- 26 -'!B31)</f>
        <v>1265909</v>
      </c>
      <c r="E31" s="291">
        <f>D31/'- 3 -'!D31*100</f>
        <v>3.3284998253726639</v>
      </c>
      <c r="F31" s="285">
        <f>D31/'- 7 -'!E31</f>
        <v>382.40363702271628</v>
      </c>
      <c r="G31" s="285">
        <f>SUM('- 27 -'!B31,'- 27 -'!E31,'- 27 -'!H31,'- 28 -'!B31,'- 28 -'!E31)</f>
        <v>1424919</v>
      </c>
      <c r="H31" s="291">
        <f>G31/'- 3 -'!D31*100</f>
        <v>3.7465905074299899</v>
      </c>
      <c r="I31" s="285">
        <f>G31/'- 7 -'!E31</f>
        <v>430.43710729821169</v>
      </c>
    </row>
    <row r="32" spans="1:9" ht="14.1" customHeight="1" x14ac:dyDescent="0.2">
      <c r="A32" s="19" t="s">
        <v>130</v>
      </c>
      <c r="B32" s="20">
        <f>SUM('- 24 -'!H32,'- 24 -'!F32,'- 24 -'!D32,'- 24 -'!B32)</f>
        <v>36229</v>
      </c>
      <c r="C32" s="70">
        <f>B32/'- 3 -'!D32*100</f>
        <v>0.11539493773310945</v>
      </c>
      <c r="D32" s="20">
        <f>SUM('- 25 -'!B32,'- 25 -'!E32,'- 25 -'!H32,'- 26 -'!B32)</f>
        <v>1117874</v>
      </c>
      <c r="E32" s="70">
        <f>D32/'- 3 -'!D32*100</f>
        <v>3.5606006410185764</v>
      </c>
      <c r="F32" s="20">
        <f>D32/'- 7 -'!E32</f>
        <v>511.26183398124857</v>
      </c>
      <c r="G32" s="20">
        <f>SUM('- 27 -'!B32,'- 27 -'!E32,'- 27 -'!H32,'- 28 -'!B32,'- 28 -'!E32)</f>
        <v>1106211</v>
      </c>
      <c r="H32" s="70">
        <f>G32/'- 3 -'!D32*100</f>
        <v>3.5234521920196737</v>
      </c>
      <c r="I32" s="20">
        <f>G32/'- 7 -'!E32</f>
        <v>505.9277383946947</v>
      </c>
    </row>
    <row r="33" spans="1:9" ht="14.1" customHeight="1" x14ac:dyDescent="0.2">
      <c r="A33" s="284" t="s">
        <v>131</v>
      </c>
      <c r="B33" s="285">
        <f>SUM('- 24 -'!H33,'- 24 -'!F33,'- 24 -'!D33,'- 24 -'!B33)</f>
        <v>34580</v>
      </c>
      <c r="C33" s="291">
        <f>B33/'- 3 -'!D33*100</f>
        <v>0.12197858291716401</v>
      </c>
      <c r="D33" s="285">
        <f>SUM('- 25 -'!B33,'- 25 -'!E33,'- 25 -'!H33,'- 26 -'!B33)</f>
        <v>876749</v>
      </c>
      <c r="E33" s="291">
        <f>D33/'- 3 -'!D33*100</f>
        <v>3.0926720819560627</v>
      </c>
      <c r="F33" s="285">
        <f>D33/'- 7 -'!E33</f>
        <v>418.57586173971168</v>
      </c>
      <c r="G33" s="285">
        <f>SUM('- 27 -'!B33,'- 27 -'!E33,'- 27 -'!H33,'- 28 -'!B33,'- 28 -'!E33)</f>
        <v>816650</v>
      </c>
      <c r="H33" s="291">
        <f>G33/'- 3 -'!D33*100</f>
        <v>2.880676973374841</v>
      </c>
      <c r="I33" s="285">
        <f>G33/'- 7 -'!E33</f>
        <v>389.88350997803877</v>
      </c>
    </row>
    <row r="34" spans="1:9" ht="14.1" customHeight="1" x14ac:dyDescent="0.2">
      <c r="A34" s="19" t="s">
        <v>132</v>
      </c>
      <c r="B34" s="20">
        <f>SUM('- 24 -'!H34,'- 24 -'!F34,'- 24 -'!D34,'- 24 -'!B34)</f>
        <v>54701</v>
      </c>
      <c r="C34" s="70">
        <f>B34/'- 3 -'!D34*100</f>
        <v>0.17793258026832717</v>
      </c>
      <c r="D34" s="20">
        <f>SUM('- 25 -'!B34,'- 25 -'!E34,'- 25 -'!H34,'- 26 -'!B34)</f>
        <v>1096205</v>
      </c>
      <c r="E34" s="70">
        <f>D34/'- 3 -'!D34*100</f>
        <v>3.5657590200003946</v>
      </c>
      <c r="F34" s="20">
        <f>D34/'- 7 -'!E34</f>
        <v>522.74417983614842</v>
      </c>
      <c r="G34" s="20">
        <f>SUM('- 27 -'!B34,'- 27 -'!E34,'- 27 -'!H34,'- 28 -'!B34,'- 28 -'!E34)</f>
        <v>953737</v>
      </c>
      <c r="H34" s="70">
        <f>G34/'- 3 -'!D34*100</f>
        <v>3.1023360689452399</v>
      </c>
      <c r="I34" s="20">
        <f>G34/'- 7 -'!E34</f>
        <v>454.80586737370174</v>
      </c>
    </row>
    <row r="35" spans="1:9" ht="14.1" customHeight="1" x14ac:dyDescent="0.2">
      <c r="A35" s="284" t="s">
        <v>133</v>
      </c>
      <c r="B35" s="285">
        <f>SUM('- 24 -'!H35,'- 24 -'!F35,'- 24 -'!D35,'- 24 -'!B35)</f>
        <v>1531094</v>
      </c>
      <c r="C35" s="291">
        <f>B35/'- 3 -'!D35*100</f>
        <v>0.81298054069741787</v>
      </c>
      <c r="D35" s="285">
        <f>SUM('- 25 -'!B35,'- 25 -'!E35,'- 25 -'!H35,'- 26 -'!B35)</f>
        <v>5635578</v>
      </c>
      <c r="E35" s="291">
        <f>D35/'- 3 -'!D35*100</f>
        <v>2.9923801213919412</v>
      </c>
      <c r="F35" s="285">
        <f>D35/'- 7 -'!E35</f>
        <v>355.35519263509678</v>
      </c>
      <c r="G35" s="285">
        <f>SUM('- 27 -'!B35,'- 27 -'!E35,'- 27 -'!H35,'- 28 -'!B35,'- 28 -'!E35)</f>
        <v>8024745</v>
      </c>
      <c r="H35" s="291">
        <f>G35/'- 3 -'!D35*100</f>
        <v>4.260980402939925</v>
      </c>
      <c r="I35" s="285">
        <f>G35/'- 7 -'!E35</f>
        <v>506.00573806671292</v>
      </c>
    </row>
    <row r="36" spans="1:9" ht="14.1" customHeight="1" x14ac:dyDescent="0.2">
      <c r="A36" s="19" t="s">
        <v>134</v>
      </c>
      <c r="B36" s="20">
        <f>SUM('- 24 -'!H36,'- 24 -'!F36,'- 24 -'!D36,'- 24 -'!B36)</f>
        <v>22290</v>
      </c>
      <c r="C36" s="70">
        <f>B36/'- 3 -'!D36*100</f>
        <v>9.4193982639909551E-2</v>
      </c>
      <c r="D36" s="20">
        <f>SUM('- 25 -'!B36,'- 25 -'!E36,'- 25 -'!H36,'- 26 -'!B36)</f>
        <v>893664</v>
      </c>
      <c r="E36" s="70">
        <f>D36/'- 3 -'!D36*100</f>
        <v>3.7764814401934554</v>
      </c>
      <c r="F36" s="20">
        <f>D36/'- 7 -'!E36</f>
        <v>528.54506742370472</v>
      </c>
      <c r="G36" s="20">
        <f>SUM('- 27 -'!B36,'- 27 -'!E36,'- 27 -'!H36,'- 28 -'!B36,'- 28 -'!E36)</f>
        <v>683024</v>
      </c>
      <c r="H36" s="70">
        <f>G36/'- 3 -'!D36*100</f>
        <v>2.8863504171665131</v>
      </c>
      <c r="I36" s="20">
        <f>G36/'- 7 -'!E36</f>
        <v>403.96498698840787</v>
      </c>
    </row>
    <row r="37" spans="1:9" ht="14.1" customHeight="1" x14ac:dyDescent="0.2">
      <c r="A37" s="284" t="s">
        <v>135</v>
      </c>
      <c r="B37" s="285">
        <f>SUM('- 24 -'!H37,'- 24 -'!F37,'- 24 -'!D37,'- 24 -'!B37)</f>
        <v>484374</v>
      </c>
      <c r="C37" s="291">
        <f>B37/'- 3 -'!D37*100</f>
        <v>0.92415671753661843</v>
      </c>
      <c r="D37" s="285">
        <f>SUM('- 25 -'!B37,'- 25 -'!E37,'- 25 -'!H37,'- 26 -'!B37)</f>
        <v>1658620</v>
      </c>
      <c r="E37" s="291">
        <f>D37/'- 3 -'!D37*100</f>
        <v>3.1645480864798401</v>
      </c>
      <c r="F37" s="285">
        <f>D37/'- 7 -'!E37</f>
        <v>395.38021454112038</v>
      </c>
      <c r="G37" s="285">
        <f>SUM('- 27 -'!B37,'- 27 -'!E37,'- 27 -'!H37,'- 28 -'!B37,'- 28 -'!E37)</f>
        <v>1743059</v>
      </c>
      <c r="H37" s="291">
        <f>G37/'- 3 -'!D37*100</f>
        <v>3.3256526649090596</v>
      </c>
      <c r="I37" s="285">
        <f>G37/'- 7 -'!E37</f>
        <v>415.50870083432659</v>
      </c>
    </row>
    <row r="38" spans="1:9" ht="14.1" customHeight="1" x14ac:dyDescent="0.2">
      <c r="A38" s="19" t="s">
        <v>136</v>
      </c>
      <c r="B38" s="20">
        <f>SUM('- 24 -'!H38,'- 24 -'!F38,'- 24 -'!D38,'- 24 -'!B38)</f>
        <v>2223729</v>
      </c>
      <c r="C38" s="70">
        <f>B38/'- 3 -'!D38*100</f>
        <v>1.5787459618598212</v>
      </c>
      <c r="D38" s="20">
        <f>SUM('- 25 -'!B38,'- 25 -'!E38,'- 25 -'!H38,'- 26 -'!B38)</f>
        <v>4056506</v>
      </c>
      <c r="E38" s="70">
        <f>D38/'- 3 -'!D38*100</f>
        <v>2.8799338708809099</v>
      </c>
      <c r="F38" s="20">
        <f>D38/'- 7 -'!E38</f>
        <v>366.46785675568242</v>
      </c>
      <c r="G38" s="20">
        <f>SUM('- 27 -'!B38,'- 27 -'!E38,'- 27 -'!H38,'- 28 -'!B38,'- 28 -'!E38)</f>
        <v>5121755</v>
      </c>
      <c r="H38" s="70">
        <f>G38/'- 3 -'!D38*100</f>
        <v>3.6362119772172541</v>
      </c>
      <c r="I38" s="20">
        <f>G38/'- 7 -'!E38</f>
        <v>462.70326672207563</v>
      </c>
    </row>
    <row r="39" spans="1:9" ht="14.1" customHeight="1" x14ac:dyDescent="0.2">
      <c r="A39" s="284" t="s">
        <v>137</v>
      </c>
      <c r="B39" s="285">
        <f>SUM('- 24 -'!H39,'- 24 -'!F39,'- 24 -'!D39,'- 24 -'!B39)</f>
        <v>61058</v>
      </c>
      <c r="C39" s="291">
        <f>B39/'- 3 -'!D39*100</f>
        <v>0.27391132160216364</v>
      </c>
      <c r="D39" s="285">
        <f>SUM('- 25 -'!B39,'- 25 -'!E39,'- 25 -'!H39,'- 26 -'!B39)</f>
        <v>943811</v>
      </c>
      <c r="E39" s="291">
        <f>D39/'- 3 -'!D39*100</f>
        <v>4.2340154992410444</v>
      </c>
      <c r="F39" s="285">
        <f>D39/'- 7 -'!E39</f>
        <v>623.80105750165239</v>
      </c>
      <c r="G39" s="285">
        <f>SUM('- 27 -'!B39,'- 27 -'!E39,'- 27 -'!H39,'- 28 -'!B39,'- 28 -'!E39)</f>
        <v>483361</v>
      </c>
      <c r="H39" s="291">
        <f>G39/'- 3 -'!D39*100</f>
        <v>2.1683980857699798</v>
      </c>
      <c r="I39" s="285">
        <f>G39/'- 7 -'!E39</f>
        <v>319.47191011235952</v>
      </c>
    </row>
    <row r="40" spans="1:9" ht="14.1" customHeight="1" x14ac:dyDescent="0.2">
      <c r="A40" s="19" t="s">
        <v>138</v>
      </c>
      <c r="B40" s="20">
        <f>SUM('- 24 -'!H40,'- 24 -'!F40,'- 24 -'!D40,'- 24 -'!B40)</f>
        <v>917930</v>
      </c>
      <c r="C40" s="70">
        <f>B40/'- 3 -'!D40*100</f>
        <v>0.86653403782951177</v>
      </c>
      <c r="D40" s="20">
        <f>SUM('- 25 -'!B40,'- 25 -'!E40,'- 25 -'!H40,'- 26 -'!B40)</f>
        <v>3621419</v>
      </c>
      <c r="E40" s="70">
        <f>D40/'- 3 -'!D40*100</f>
        <v>3.418651562474821</v>
      </c>
      <c r="F40" s="20">
        <f>D40/'- 7 -'!E40</f>
        <v>445.59793776377802</v>
      </c>
      <c r="G40" s="20">
        <f>SUM('- 27 -'!B40,'- 27 -'!E40,'- 27 -'!H40,'- 28 -'!B40,'- 28 -'!E40)</f>
        <v>3415257</v>
      </c>
      <c r="H40" s="70">
        <f>G40/'- 3 -'!D40*100</f>
        <v>3.224032811255221</v>
      </c>
      <c r="I40" s="20">
        <f>G40/'- 7 -'!E40</f>
        <v>420.23070960121078</v>
      </c>
    </row>
    <row r="41" spans="1:9" ht="14.1" customHeight="1" x14ac:dyDescent="0.2">
      <c r="A41" s="284" t="s">
        <v>139</v>
      </c>
      <c r="B41" s="285">
        <f>SUM('- 24 -'!H41,'- 24 -'!F41,'- 24 -'!D41,'- 24 -'!B41)</f>
        <v>361447</v>
      </c>
      <c r="C41" s="291">
        <f>B41/'- 3 -'!D41*100</f>
        <v>0.55662154758182769</v>
      </c>
      <c r="D41" s="285">
        <f>SUM('- 25 -'!B41,'- 25 -'!E41,'- 25 -'!H41,'- 26 -'!B41)</f>
        <v>2264563</v>
      </c>
      <c r="E41" s="291">
        <f>D41/'- 3 -'!D41*100</f>
        <v>3.487384213056262</v>
      </c>
      <c r="F41" s="285">
        <f>D41/'- 7 -'!E41</f>
        <v>509.40569114835228</v>
      </c>
      <c r="G41" s="285">
        <f>SUM('- 27 -'!B41,'- 27 -'!E41,'- 27 -'!H41,'- 28 -'!B41,'- 28 -'!E41)</f>
        <v>1603885</v>
      </c>
      <c r="H41" s="291">
        <f>G41/'- 3 -'!D41*100</f>
        <v>2.4699525818260488</v>
      </c>
      <c r="I41" s="285">
        <f>G41/'- 7 -'!E41</f>
        <v>360.7884377460353</v>
      </c>
    </row>
    <row r="42" spans="1:9" ht="14.1" customHeight="1" x14ac:dyDescent="0.2">
      <c r="A42" s="19" t="s">
        <v>140</v>
      </c>
      <c r="B42" s="20">
        <f>SUM('- 24 -'!H42,'- 24 -'!F42,'- 24 -'!D42,'- 24 -'!B42)</f>
        <v>64745</v>
      </c>
      <c r="C42" s="70">
        <f>B42/'- 3 -'!D42*100</f>
        <v>0.31024032664240619</v>
      </c>
      <c r="D42" s="20">
        <f>SUM('- 25 -'!B42,'- 25 -'!E42,'- 25 -'!H42,'- 26 -'!B42)</f>
        <v>722273</v>
      </c>
      <c r="E42" s="70">
        <f>D42/'- 3 -'!D42*100</f>
        <v>3.4609346118617745</v>
      </c>
      <c r="F42" s="20">
        <f>D42/'- 7 -'!E42</f>
        <v>511.52478753541078</v>
      </c>
      <c r="G42" s="20">
        <f>SUM('- 27 -'!B42,'- 27 -'!E42,'- 27 -'!H42,'- 28 -'!B42,'- 28 -'!E42)</f>
        <v>409997</v>
      </c>
      <c r="H42" s="70">
        <f>G42/'- 3 -'!D42*100</f>
        <v>1.9645934543579675</v>
      </c>
      <c r="I42" s="20">
        <f>G42/'- 7 -'!E42</f>
        <v>290.36614730878188</v>
      </c>
    </row>
    <row r="43" spans="1:9" ht="14.1" customHeight="1" x14ac:dyDescent="0.2">
      <c r="A43" s="284" t="s">
        <v>141</v>
      </c>
      <c r="B43" s="285">
        <f>SUM('- 24 -'!H43,'- 24 -'!F43,'- 24 -'!D43,'- 24 -'!B43)</f>
        <v>16513</v>
      </c>
      <c r="C43" s="291">
        <f>B43/'- 3 -'!D43*100</f>
        <v>0.12275892297463017</v>
      </c>
      <c r="D43" s="285">
        <f>SUM('- 25 -'!B43,'- 25 -'!E43,'- 25 -'!H43,'- 26 -'!B43)</f>
        <v>560827</v>
      </c>
      <c r="E43" s="291">
        <f>D43/'- 3 -'!D43*100</f>
        <v>4.1692314234295962</v>
      </c>
      <c r="F43" s="285">
        <f>D43/'- 7 -'!E43</f>
        <v>578.76883384932921</v>
      </c>
      <c r="G43" s="285">
        <f>SUM('- 27 -'!B43,'- 27 -'!E43,'- 27 -'!H43,'- 28 -'!B43,'- 28 -'!E43)</f>
        <v>425424</v>
      </c>
      <c r="H43" s="291">
        <f>G43/'- 3 -'!D43*100</f>
        <v>3.1626350177168936</v>
      </c>
      <c r="I43" s="285">
        <f>G43/'- 7 -'!E43</f>
        <v>439.03405572755418</v>
      </c>
    </row>
    <row r="44" spans="1:9" ht="14.1" customHeight="1" x14ac:dyDescent="0.2">
      <c r="A44" s="19" t="s">
        <v>142</v>
      </c>
      <c r="B44" s="20">
        <f>SUM('- 24 -'!H44,'- 24 -'!F44,'- 24 -'!D44,'- 24 -'!B44)</f>
        <v>20258</v>
      </c>
      <c r="C44" s="70">
        <f>B44/'- 3 -'!D44*100</f>
        <v>0.18480061046780791</v>
      </c>
      <c r="D44" s="20">
        <f>SUM('- 25 -'!B44,'- 25 -'!E44,'- 25 -'!H44,'- 26 -'!B44)</f>
        <v>381205</v>
      </c>
      <c r="E44" s="70">
        <f>D44/'- 3 -'!D44*100</f>
        <v>3.4774862628779108</v>
      </c>
      <c r="F44" s="20">
        <f>D44/'- 7 -'!E44</f>
        <v>549.28674351585016</v>
      </c>
      <c r="G44" s="20">
        <f>SUM('- 27 -'!B44,'- 27 -'!E44,'- 27 -'!H44,'- 28 -'!B44,'- 28 -'!E44)</f>
        <v>250687</v>
      </c>
      <c r="H44" s="70">
        <f>G44/'- 3 -'!D44*100</f>
        <v>2.2868551010140861</v>
      </c>
      <c r="I44" s="20">
        <f>G44/'- 7 -'!E44</f>
        <v>361.22046109510086</v>
      </c>
    </row>
    <row r="45" spans="1:9" ht="14.1" customHeight="1" x14ac:dyDescent="0.2">
      <c r="A45" s="284" t="s">
        <v>143</v>
      </c>
      <c r="B45" s="285">
        <f>SUM('- 24 -'!H45,'- 24 -'!F45,'- 24 -'!D45,'- 24 -'!B45)</f>
        <v>43592</v>
      </c>
      <c r="C45" s="291">
        <f>B45/'- 3 -'!D45*100</f>
        <v>0.21846275927104841</v>
      </c>
      <c r="D45" s="285">
        <f>SUM('- 25 -'!B45,'- 25 -'!E45,'- 25 -'!H45,'- 26 -'!B45)</f>
        <v>816651</v>
      </c>
      <c r="E45" s="291">
        <f>D45/'- 3 -'!D45*100</f>
        <v>4.0926736745609507</v>
      </c>
      <c r="F45" s="285">
        <f>D45/'- 7 -'!E45</f>
        <v>472.59895833333331</v>
      </c>
      <c r="G45" s="285">
        <f>SUM('- 27 -'!B45,'- 27 -'!E45,'- 27 -'!H45,'- 28 -'!B45,'- 28 -'!E45)</f>
        <v>536228</v>
      </c>
      <c r="H45" s="291">
        <f>G45/'- 3 -'!D45*100</f>
        <v>2.6873244741786513</v>
      </c>
      <c r="I45" s="285">
        <f>G45/'- 7 -'!E45</f>
        <v>310.31712962962962</v>
      </c>
    </row>
    <row r="46" spans="1:9" ht="14.1" customHeight="1" x14ac:dyDescent="0.2">
      <c r="A46" s="19" t="s">
        <v>144</v>
      </c>
      <c r="B46" s="20">
        <f>SUM('- 24 -'!H46,'- 24 -'!F46,'- 24 -'!D46,'- 24 -'!B46)</f>
        <v>9853078</v>
      </c>
      <c r="C46" s="70">
        <f>B46/'- 3 -'!D46*100</f>
        <v>2.4826152232684771</v>
      </c>
      <c r="D46" s="20">
        <f>SUM('- 25 -'!B46,'- 25 -'!E46,'- 25 -'!H46,'- 26 -'!B46)</f>
        <v>11120995</v>
      </c>
      <c r="E46" s="70">
        <f>D46/'- 3 -'!D46*100</f>
        <v>2.8020839259460462</v>
      </c>
      <c r="F46" s="20">
        <f>D46/'- 7 -'!E46</f>
        <v>371.95082795134306</v>
      </c>
      <c r="G46" s="20">
        <f>SUM('- 27 -'!B46,'- 27 -'!E46,'- 27 -'!H46,'- 28 -'!B46,'- 28 -'!E46)</f>
        <v>9465297</v>
      </c>
      <c r="H46" s="70">
        <f>G46/'- 3 -'!D46*100</f>
        <v>2.3849085965783936</v>
      </c>
      <c r="I46" s="20">
        <f>G46/'- 7 -'!E46</f>
        <v>316.5746460595804</v>
      </c>
    </row>
    <row r="47" spans="1:9" ht="5.0999999999999996" customHeight="1" x14ac:dyDescent="0.2">
      <c r="A47"/>
      <c r="B47"/>
      <c r="C47"/>
      <c r="D47"/>
      <c r="E47"/>
      <c r="F47"/>
      <c r="G47"/>
      <c r="H47"/>
      <c r="I47"/>
    </row>
    <row r="48" spans="1:9" ht="14.1" customHeight="1" x14ac:dyDescent="0.2">
      <c r="A48" s="286" t="s">
        <v>145</v>
      </c>
      <c r="B48" s="287">
        <f>SUM(B11:B46)</f>
        <v>25450555</v>
      </c>
      <c r="C48" s="294">
        <f>B48/'- 3 -'!D48*100</f>
        <v>1.0798320701812441</v>
      </c>
      <c r="D48" s="287">
        <f>SUM(D11:D46)</f>
        <v>79759972</v>
      </c>
      <c r="E48" s="294">
        <f>D48/'- 3 -'!D48*100</f>
        <v>3.3841059922802486</v>
      </c>
      <c r="F48" s="287">
        <f>D48/'- 7 -'!E48</f>
        <v>449.65885207222078</v>
      </c>
      <c r="G48" s="287">
        <f>SUM(G11:G46)</f>
        <v>79726831</v>
      </c>
      <c r="H48" s="294">
        <f>G48/'- 3 -'!D48*100</f>
        <v>3.3826998651982314</v>
      </c>
      <c r="I48" s="287">
        <f>G48/'- 7 -'!E48</f>
        <v>449.47201469448794</v>
      </c>
    </row>
    <row r="49" spans="1:9" ht="5.0999999999999996" customHeight="1" x14ac:dyDescent="0.2">
      <c r="A49"/>
      <c r="B49"/>
      <c r="C49"/>
      <c r="D49"/>
      <c r="E49"/>
      <c r="F49"/>
      <c r="G49"/>
      <c r="H49"/>
      <c r="I49"/>
    </row>
    <row r="50" spans="1:9" ht="14.1" customHeight="1" x14ac:dyDescent="0.2">
      <c r="A50" s="19" t="s">
        <v>146</v>
      </c>
      <c r="B50" s="20">
        <f>SUM('- 24 -'!H50,'- 24 -'!F50,'- 24 -'!D50,'- 24 -'!B50)</f>
        <v>125658</v>
      </c>
      <c r="C50" s="70">
        <f>B50/'- 3 -'!D50*100</f>
        <v>3.8817706172533639</v>
      </c>
      <c r="D50" s="20">
        <f>SUM('- 25 -'!B50,'- 25 -'!E50,'- 25 -'!H50,'- 26 -'!B50)</f>
        <v>165146</v>
      </c>
      <c r="E50" s="70">
        <f>D50/'- 3 -'!D50*100</f>
        <v>5.1016162150991109</v>
      </c>
      <c r="F50" s="20">
        <f>D50/'- 7 -'!E50</f>
        <v>1006.9878048780488</v>
      </c>
      <c r="G50" s="20">
        <f>SUM('- 27 -'!B50,'- 27 -'!E50,'- 27 -'!H50,'- 28 -'!B50,'- 28 -'!E50)</f>
        <v>112895</v>
      </c>
      <c r="H50" s="70">
        <f>G50/'- 3 -'!D50*100</f>
        <v>3.4875017415112333</v>
      </c>
      <c r="I50" s="20">
        <f>G50/'- 7 -'!E50</f>
        <v>688.38414634146341</v>
      </c>
    </row>
    <row r="51" spans="1:9" ht="14.1" customHeight="1" x14ac:dyDescent="0.2">
      <c r="A51" s="284" t="s">
        <v>607</v>
      </c>
      <c r="B51" s="285">
        <f>SUM('- 24 -'!H51,'- 24 -'!F51,'- 24 -'!D51,'- 24 -'!B51)</f>
        <v>9594282</v>
      </c>
      <c r="C51" s="291">
        <f>B51/'- 3 -'!D51*100</f>
        <v>31.610610111981103</v>
      </c>
      <c r="D51" s="285">
        <f>SUM('- 25 -'!B51,'- 25 -'!E51,'- 25 -'!H51,'- 26 -'!B51)</f>
        <v>5116428</v>
      </c>
      <c r="E51" s="291">
        <f>D51/'- 3 -'!D51*100</f>
        <v>16.857270890518254</v>
      </c>
      <c r="F51" s="285">
        <f>D51/'- 7 -'!E51</f>
        <v>4702.599264705882</v>
      </c>
      <c r="G51" s="285">
        <f>SUM('- 27 -'!B51,'- 27 -'!E51,'- 27 -'!H51,'- 28 -'!B51,'- 28 -'!E51)</f>
        <v>611415</v>
      </c>
      <c r="H51" s="291">
        <f>G51/'- 3 -'!D51*100</f>
        <v>2.0144499798543469</v>
      </c>
      <c r="I51" s="285">
        <f>G51/'- 7 -'!E51</f>
        <v>561.96231617647061</v>
      </c>
    </row>
    <row r="52" spans="1:9" ht="50.1" customHeight="1" x14ac:dyDescent="0.2"/>
  </sheetData>
  <mergeCells count="5">
    <mergeCell ref="F8:F9"/>
    <mergeCell ref="I8:I9"/>
    <mergeCell ref="B6:C7"/>
    <mergeCell ref="D6:F7"/>
    <mergeCell ref="G6:I7"/>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J52"/>
  <sheetViews>
    <sheetView showGridLines="0" showZeros="0" workbookViewId="0"/>
  </sheetViews>
  <sheetFormatPr defaultColWidth="15.83203125" defaultRowHeight="12" x14ac:dyDescent="0.2"/>
  <cols>
    <col min="1" max="1" width="32.83203125" style="2" customWidth="1"/>
    <col min="2" max="2" width="15.83203125" style="2"/>
    <col min="3" max="3" width="7.83203125" style="2" customWidth="1"/>
    <col min="4" max="4" width="9.83203125" style="2" customWidth="1"/>
    <col min="5" max="5" width="15.83203125" style="2"/>
    <col min="6" max="6" width="7.83203125" style="2" customWidth="1"/>
    <col min="7" max="7" width="9.83203125" style="2" customWidth="1"/>
    <col min="8" max="8" width="14.83203125" style="2" customWidth="1"/>
    <col min="9" max="9" width="7.83203125" style="2" customWidth="1"/>
    <col min="10" max="10" width="9.83203125" style="2" customWidth="1"/>
    <col min="11" max="16384" width="15.83203125" style="2"/>
  </cols>
  <sheetData>
    <row r="1" spans="1:10" ht="6.95" customHeight="1" x14ac:dyDescent="0.2">
      <c r="A1" s="7"/>
      <c r="B1" s="8"/>
      <c r="C1" s="8"/>
      <c r="D1" s="8"/>
      <c r="E1" s="8"/>
      <c r="F1" s="8"/>
      <c r="G1" s="8"/>
      <c r="H1" s="8"/>
      <c r="I1" s="8"/>
      <c r="J1" s="8"/>
    </row>
    <row r="2" spans="1:10" ht="15.95" customHeight="1" x14ac:dyDescent="0.2">
      <c r="A2" s="134"/>
      <c r="B2" s="9" t="s">
        <v>261</v>
      </c>
      <c r="C2" s="10"/>
      <c r="D2" s="10"/>
      <c r="E2" s="10"/>
      <c r="F2" s="10"/>
      <c r="G2" s="10"/>
      <c r="H2" s="73"/>
      <c r="I2" s="73"/>
      <c r="J2" s="135" t="s">
        <v>9</v>
      </c>
    </row>
    <row r="3" spans="1:10" ht="15.95" customHeight="1" x14ac:dyDescent="0.2">
      <c r="A3" s="541"/>
      <c r="B3" s="11" t="str">
        <f>OPYEAR</f>
        <v>OPERATING FUND 2017/2018 ACTUAL</v>
      </c>
      <c r="C3" s="12"/>
      <c r="D3" s="12"/>
      <c r="E3" s="12"/>
      <c r="F3" s="12"/>
      <c r="G3" s="12"/>
      <c r="H3" s="75"/>
      <c r="I3" s="75"/>
      <c r="J3" s="66"/>
    </row>
    <row r="4" spans="1:10" ht="15.95" customHeight="1" x14ac:dyDescent="0.2">
      <c r="B4" s="8"/>
      <c r="C4" s="8"/>
      <c r="D4" s="8"/>
      <c r="E4" s="8"/>
      <c r="F4" s="8"/>
      <c r="G4" s="8"/>
      <c r="H4" s="8"/>
      <c r="I4" s="8"/>
      <c r="J4" s="8"/>
    </row>
    <row r="5" spans="1:10" ht="15.95" customHeight="1" x14ac:dyDescent="0.2">
      <c r="B5" s="8"/>
      <c r="C5" s="8"/>
      <c r="D5" s="8"/>
      <c r="E5" s="8"/>
      <c r="F5" s="8"/>
      <c r="G5" s="8"/>
      <c r="H5" s="8"/>
      <c r="I5" s="8"/>
      <c r="J5" s="8"/>
    </row>
    <row r="6" spans="1:10" ht="15.95" customHeight="1" x14ac:dyDescent="0.2">
      <c r="B6" s="638" t="s">
        <v>474</v>
      </c>
      <c r="C6" s="646"/>
      <c r="D6" s="639"/>
      <c r="E6" s="638" t="s">
        <v>475</v>
      </c>
      <c r="F6" s="646"/>
      <c r="G6" s="639"/>
      <c r="H6" s="309" t="s">
        <v>7</v>
      </c>
      <c r="I6" s="312"/>
      <c r="J6" s="310"/>
    </row>
    <row r="7" spans="1:10" ht="15.95" customHeight="1" x14ac:dyDescent="0.2">
      <c r="B7" s="640"/>
      <c r="C7" s="647"/>
      <c r="D7" s="641"/>
      <c r="E7" s="640"/>
      <c r="F7" s="647"/>
      <c r="G7" s="641"/>
      <c r="H7" s="643" t="s">
        <v>30</v>
      </c>
      <c r="I7" s="645"/>
      <c r="J7" s="644"/>
    </row>
    <row r="8" spans="1:10" ht="15.95" customHeight="1" x14ac:dyDescent="0.2">
      <c r="A8" s="67"/>
      <c r="B8" s="137"/>
      <c r="C8" s="138"/>
      <c r="D8" s="612" t="s">
        <v>327</v>
      </c>
      <c r="E8" s="137"/>
      <c r="F8" s="139"/>
      <c r="G8" s="612" t="s">
        <v>327</v>
      </c>
      <c r="H8" s="137"/>
      <c r="I8" s="139"/>
      <c r="J8" s="612" t="s">
        <v>327</v>
      </c>
    </row>
    <row r="9" spans="1:10" ht="15.95" customHeight="1" x14ac:dyDescent="0.2">
      <c r="A9" s="35" t="s">
        <v>42</v>
      </c>
      <c r="B9" s="77" t="s">
        <v>43</v>
      </c>
      <c r="C9" s="77" t="s">
        <v>44</v>
      </c>
      <c r="D9" s="593"/>
      <c r="E9" s="77" t="s">
        <v>43</v>
      </c>
      <c r="F9" s="77" t="s">
        <v>44</v>
      </c>
      <c r="G9" s="593"/>
      <c r="H9" s="77" t="s">
        <v>43</v>
      </c>
      <c r="I9" s="77" t="s">
        <v>44</v>
      </c>
      <c r="J9" s="593"/>
    </row>
    <row r="10" spans="1:10" ht="5.0999999999999996" customHeight="1" x14ac:dyDescent="0.2">
      <c r="A10" s="6"/>
    </row>
    <row r="11" spans="1:10" ht="14.1" customHeight="1" x14ac:dyDescent="0.2">
      <c r="A11" s="284" t="s">
        <v>110</v>
      </c>
      <c r="B11" s="285">
        <f>SUM('- 30 -'!D11,'- 30 -'!B11,'- 29 -'!F11,'- 29 -'!D11,'- 29 -'!B11)</f>
        <v>1318574</v>
      </c>
      <c r="C11" s="291">
        <f>B11/'- 3 -'!D11*100</f>
        <v>6.662968425618562</v>
      </c>
      <c r="D11" s="285">
        <f>B11/'- 7 -'!E11</f>
        <v>733.27438549660769</v>
      </c>
      <c r="E11" s="285">
        <f>SUM('- 32 -'!D11,'- 32 -'!B11,'- 31 -'!F11,'- 31 -'!D11,'- 31 -'!B11)</f>
        <v>1768421</v>
      </c>
      <c r="F11" s="291">
        <f>E11/'- 3 -'!D11*100</f>
        <v>8.9361183264654116</v>
      </c>
      <c r="G11" s="285">
        <f>E11/'- 7 -'!E11</f>
        <v>983.43955066177284</v>
      </c>
      <c r="H11" s="285">
        <f>SUM('- 33 -'!B11,'- 33 -'!D11,'- 33 -'!F11)</f>
        <v>342330</v>
      </c>
      <c r="I11" s="291">
        <f>H11/'- 3 -'!D11*100</f>
        <v>1.7298490499145309</v>
      </c>
      <c r="J11" s="285">
        <f>H11/'- 7 -'!E11</f>
        <v>190.37370704037372</v>
      </c>
    </row>
    <row r="12" spans="1:10" ht="14.1" customHeight="1" x14ac:dyDescent="0.2">
      <c r="A12" s="19" t="s">
        <v>111</v>
      </c>
      <c r="B12" s="20">
        <f>SUM('- 30 -'!D12,'- 30 -'!B12,'- 29 -'!F12,'- 29 -'!D12,'- 29 -'!B12)</f>
        <v>2546423</v>
      </c>
      <c r="C12" s="70">
        <f>B12/'- 3 -'!D12*100</f>
        <v>7.4795678843814466</v>
      </c>
      <c r="D12" s="20">
        <f>B12/'- 7 -'!E12</f>
        <v>1229.85897126298</v>
      </c>
      <c r="E12" s="20">
        <f>SUM('- 32 -'!D12,'- 32 -'!B12,'- 31 -'!F12,'- 31 -'!D12,'- 31 -'!B12)</f>
        <v>3632440</v>
      </c>
      <c r="F12" s="70">
        <f>E12/'- 3 -'!D12*100</f>
        <v>10.669508391159891</v>
      </c>
      <c r="G12" s="20">
        <f>E12/'- 7 -'!E12</f>
        <v>1754.3781695242694</v>
      </c>
      <c r="H12" s="20">
        <f>SUM('- 33 -'!B12,'- 33 -'!D12,'- 33 -'!F12)</f>
        <v>564375</v>
      </c>
      <c r="I12" s="70">
        <f>H12/'- 3 -'!D12*100</f>
        <v>1.6577297349057007</v>
      </c>
      <c r="J12" s="20">
        <f>H12/'- 7 -'!E12</f>
        <v>272.57908717701036</v>
      </c>
    </row>
    <row r="13" spans="1:10" ht="14.1" customHeight="1" x14ac:dyDescent="0.2">
      <c r="A13" s="284" t="s">
        <v>112</v>
      </c>
      <c r="B13" s="285">
        <f>SUM('- 30 -'!D13,'- 30 -'!B13,'- 29 -'!F13,'- 29 -'!D13,'- 29 -'!B13)</f>
        <v>2454570</v>
      </c>
      <c r="C13" s="291">
        <f>B13/'- 3 -'!D13*100</f>
        <v>2.4803172807775304</v>
      </c>
      <c r="D13" s="285">
        <f>B13/'- 7 -'!E13</f>
        <v>291.0835082512109</v>
      </c>
      <c r="E13" s="285">
        <f>SUM('- 32 -'!D13,'- 32 -'!B13,'- 31 -'!F13,'- 31 -'!D13,'- 31 -'!B13)</f>
        <v>8172801</v>
      </c>
      <c r="F13" s="291">
        <f>E13/'- 3 -'!D13*100</f>
        <v>8.2585298250430341</v>
      </c>
      <c r="G13" s="285">
        <f>E13/'- 7 -'!E13</f>
        <v>969.19932506264013</v>
      </c>
      <c r="H13" s="285">
        <f>SUM('- 33 -'!B13,'- 33 -'!D13,'- 33 -'!F13)</f>
        <v>1690036</v>
      </c>
      <c r="I13" s="291">
        <f>H13/'- 3 -'!D13*100</f>
        <v>1.7077636799668106</v>
      </c>
      <c r="J13" s="285">
        <f>H13/'- 7 -'!E13</f>
        <v>200.41865090457532</v>
      </c>
    </row>
    <row r="14" spans="1:10" ht="14.1" customHeight="1" x14ac:dyDescent="0.2">
      <c r="A14" s="19" t="s">
        <v>359</v>
      </c>
      <c r="B14" s="20">
        <f>SUM('- 30 -'!D14,'- 30 -'!B14,'- 29 -'!F14,'- 29 -'!D14,'- 29 -'!B14)</f>
        <v>9377120</v>
      </c>
      <c r="C14" s="70">
        <f>B14/'- 3 -'!D14*100</f>
        <v>10.648133738303201</v>
      </c>
      <c r="D14" s="20">
        <f>B14/'- 7 -'!E14</f>
        <v>1672.2103138229766</v>
      </c>
      <c r="E14" s="20">
        <f>SUM('- 32 -'!D14,'- 32 -'!B14,'- 31 -'!F14,'- 31 -'!D14,'- 31 -'!B14)</f>
        <v>10036208</v>
      </c>
      <c r="F14" s="70">
        <f>E14/'- 3 -'!D14*100</f>
        <v>11.396557259524084</v>
      </c>
      <c r="G14" s="20">
        <f>E14/'- 7 -'!E14</f>
        <v>1789.7446688612995</v>
      </c>
      <c r="H14" s="20">
        <f>SUM('- 33 -'!B14,'- 33 -'!D14,'- 33 -'!F14)</f>
        <v>1370500</v>
      </c>
      <c r="I14" s="70">
        <f>H14/'- 3 -'!D14*100</f>
        <v>1.5562632544261494</v>
      </c>
      <c r="J14" s="20">
        <f>H14/'- 7 -'!E14</f>
        <v>244.39958485061399</v>
      </c>
    </row>
    <row r="15" spans="1:10" ht="14.1" customHeight="1" x14ac:dyDescent="0.2">
      <c r="A15" s="284" t="s">
        <v>113</v>
      </c>
      <c r="B15" s="285">
        <f>SUM('- 30 -'!D15,'- 30 -'!B15,'- 29 -'!F15,'- 29 -'!D15,'- 29 -'!B15)</f>
        <v>1719169</v>
      </c>
      <c r="C15" s="291">
        <f>B15/'- 3 -'!D15*100</f>
        <v>8.6038284924581507</v>
      </c>
      <c r="D15" s="285">
        <f>B15/'- 7 -'!E15</f>
        <v>1245.9552109001304</v>
      </c>
      <c r="E15" s="285">
        <f>SUM('- 32 -'!D15,'- 32 -'!B15,'- 31 -'!F15,'- 31 -'!D15,'- 31 -'!B15)</f>
        <v>2567317</v>
      </c>
      <c r="F15" s="291">
        <f>E15/'- 3 -'!D15*100</f>
        <v>12.848507129765711</v>
      </c>
      <c r="G15" s="285">
        <f>E15/'- 7 -'!E15</f>
        <v>1860.6442962748224</v>
      </c>
      <c r="H15" s="285">
        <f>SUM('- 33 -'!B15,'- 33 -'!D15,'- 33 -'!F15)</f>
        <v>322224</v>
      </c>
      <c r="I15" s="291">
        <f>H15/'- 3 -'!D15*100</f>
        <v>1.6126163467081105</v>
      </c>
      <c r="J15" s="285">
        <f>H15/'- 7 -'!E15</f>
        <v>233.52949702855486</v>
      </c>
    </row>
    <row r="16" spans="1:10" ht="14.1" customHeight="1" x14ac:dyDescent="0.2">
      <c r="A16" s="19" t="s">
        <v>114</v>
      </c>
      <c r="B16" s="20">
        <f>SUM('- 30 -'!D16,'- 30 -'!B16,'- 29 -'!F16,'- 29 -'!D16,'- 29 -'!B16)</f>
        <v>431082</v>
      </c>
      <c r="C16" s="70">
        <f>B16/'- 3 -'!D16*100</f>
        <v>2.9799989547792718</v>
      </c>
      <c r="D16" s="20">
        <f>B16/'- 7 -'!E16</f>
        <v>472.21163325665464</v>
      </c>
      <c r="E16" s="20">
        <f>SUM('- 32 -'!D16,'- 32 -'!B16,'- 31 -'!F16,'- 31 -'!D16,'- 31 -'!B16)</f>
        <v>2333227</v>
      </c>
      <c r="F16" s="70">
        <f>E16/'- 3 -'!D16*100</f>
        <v>16.129214444729254</v>
      </c>
      <c r="G16" s="20">
        <f>E16/'- 7 -'!E16</f>
        <v>2555.8407273523935</v>
      </c>
      <c r="H16" s="20">
        <f>SUM('- 33 -'!B16,'- 33 -'!D16,'- 33 -'!F16)</f>
        <v>234899</v>
      </c>
      <c r="I16" s="70">
        <f>H16/'- 3 -'!D16*100</f>
        <v>1.6238181470780413</v>
      </c>
      <c r="J16" s="20">
        <f>H16/'- 7 -'!E16</f>
        <v>257.31076788257201</v>
      </c>
    </row>
    <row r="17" spans="1:10" ht="14.1" customHeight="1" x14ac:dyDescent="0.2">
      <c r="A17" s="284" t="s">
        <v>115</v>
      </c>
      <c r="B17" s="285">
        <f>SUM('- 30 -'!D17,'- 30 -'!B17,'- 29 -'!F17,'- 29 -'!D17,'- 29 -'!B17)</f>
        <v>1474548</v>
      </c>
      <c r="C17" s="291">
        <f>B17/'- 3 -'!D17*100</f>
        <v>8.0407796308625219</v>
      </c>
      <c r="D17" s="285">
        <f>B17/'- 7 -'!E17</f>
        <v>1055.6723088724111</v>
      </c>
      <c r="E17" s="285">
        <f>SUM('- 32 -'!D17,'- 32 -'!B17,'- 31 -'!F17,'- 31 -'!D17,'- 31 -'!B17)</f>
        <v>1897733</v>
      </c>
      <c r="F17" s="291">
        <f>E17/'- 3 -'!D17*100</f>
        <v>10.348427349408515</v>
      </c>
      <c r="G17" s="285">
        <f>E17/'- 7 -'!E17</f>
        <v>1358.6429046279725</v>
      </c>
      <c r="H17" s="285">
        <f>SUM('- 33 -'!B17,'- 33 -'!D17,'- 33 -'!F17)</f>
        <v>376952</v>
      </c>
      <c r="I17" s="291">
        <f>H17/'- 3 -'!D17*100</f>
        <v>2.05553699398927</v>
      </c>
      <c r="J17" s="285">
        <f>H17/'- 7 -'!E17</f>
        <v>269.87103042700079</v>
      </c>
    </row>
    <row r="18" spans="1:10" ht="14.1" customHeight="1" x14ac:dyDescent="0.2">
      <c r="A18" s="19" t="s">
        <v>116</v>
      </c>
      <c r="B18" s="20">
        <f>SUM('- 30 -'!D18,'- 30 -'!B18,'- 29 -'!F18,'- 29 -'!D18,'- 29 -'!B18)</f>
        <v>11574426</v>
      </c>
      <c r="C18" s="70">
        <f>B18/'- 3 -'!D18*100</f>
        <v>8.6977623496578289</v>
      </c>
      <c r="D18" s="20">
        <f>B18/'- 7 -'!E18</f>
        <v>1899.9074210863248</v>
      </c>
      <c r="E18" s="20">
        <f>SUM('- 32 -'!D18,'- 32 -'!B18,'- 31 -'!F18,'- 31 -'!D18,'- 31 -'!B18)</f>
        <v>24169791</v>
      </c>
      <c r="F18" s="70">
        <f>E18/'- 3 -'!D18*100</f>
        <v>18.162723417895506</v>
      </c>
      <c r="G18" s="20">
        <f>E18/'- 7 -'!E18</f>
        <v>3967.3989264785541</v>
      </c>
      <c r="H18" s="20">
        <f>SUM('- 33 -'!B18,'- 33 -'!D18,'- 33 -'!F18)</f>
        <v>1250671</v>
      </c>
      <c r="I18" s="70">
        <f>H18/'- 3 -'!D18*100</f>
        <v>0.93983400434793951</v>
      </c>
      <c r="J18" s="20">
        <f>H18/'- 7 -'!E18</f>
        <v>205.29390522151638</v>
      </c>
    </row>
    <row r="19" spans="1:10" ht="14.1" customHeight="1" x14ac:dyDescent="0.2">
      <c r="A19" s="284" t="s">
        <v>117</v>
      </c>
      <c r="B19" s="285">
        <f>SUM('- 30 -'!D19,'- 30 -'!B19,'- 29 -'!F19,'- 29 -'!D19,'- 29 -'!B19)</f>
        <v>3029947</v>
      </c>
      <c r="C19" s="291">
        <f>B19/'- 3 -'!D19*100</f>
        <v>6.1552624046450894</v>
      </c>
      <c r="D19" s="285">
        <f>B19/'- 7 -'!E19</f>
        <v>683.40558462648858</v>
      </c>
      <c r="E19" s="285">
        <f>SUM('- 32 -'!D19,'- 32 -'!B19,'- 31 -'!F19,'- 31 -'!D19,'- 31 -'!B19)</f>
        <v>4372940</v>
      </c>
      <c r="F19" s="291">
        <f>E19/'- 3 -'!D19*100</f>
        <v>8.8835194740266736</v>
      </c>
      <c r="G19" s="285">
        <f>E19/'- 7 -'!E19</f>
        <v>986.31811620353653</v>
      </c>
      <c r="H19" s="285">
        <f>SUM('- 33 -'!B19,'- 33 -'!D19,'- 33 -'!F19)</f>
        <v>830903</v>
      </c>
      <c r="I19" s="291">
        <f>H19/'- 3 -'!D19*100</f>
        <v>1.6879588975671256</v>
      </c>
      <c r="J19" s="285">
        <f>H19/'- 7 -'!E19</f>
        <v>187.41045651389388</v>
      </c>
    </row>
    <row r="20" spans="1:10" ht="14.1" customHeight="1" x14ac:dyDescent="0.2">
      <c r="A20" s="19" t="s">
        <v>118</v>
      </c>
      <c r="B20" s="20">
        <f>SUM('- 30 -'!D20,'- 30 -'!B20,'- 29 -'!F20,'- 29 -'!D20,'- 29 -'!B20)</f>
        <v>3949571</v>
      </c>
      <c r="C20" s="70">
        <f>B20/'- 3 -'!D20*100</f>
        <v>4.6571429814591259</v>
      </c>
      <c r="D20" s="20">
        <f>B20/'- 7 -'!E20</f>
        <v>506.8100859745926</v>
      </c>
      <c r="E20" s="20">
        <f>SUM('- 32 -'!D20,'- 32 -'!B20,'- 31 -'!F20,'- 31 -'!D20,'- 31 -'!B20)</f>
        <v>8995494</v>
      </c>
      <c r="F20" s="70">
        <f>E20/'- 3 -'!D20*100</f>
        <v>10.607051182737994</v>
      </c>
      <c r="G20" s="20">
        <f>E20/'- 7 -'!E20</f>
        <v>1154.3043757218015</v>
      </c>
      <c r="H20" s="20">
        <f>SUM('- 33 -'!B20,'- 33 -'!D20,'- 33 -'!F20)</f>
        <v>1441470</v>
      </c>
      <c r="I20" s="70">
        <f>H20/'- 3 -'!D20*100</f>
        <v>1.6997116632373206</v>
      </c>
      <c r="J20" s="20">
        <f>H20/'- 7 -'!E20</f>
        <v>184.9698447324522</v>
      </c>
    </row>
    <row r="21" spans="1:10" ht="14.1" customHeight="1" x14ac:dyDescent="0.2">
      <c r="A21" s="284" t="s">
        <v>119</v>
      </c>
      <c r="B21" s="285">
        <f>SUM('- 30 -'!D21,'- 30 -'!B21,'- 29 -'!F21,'- 29 -'!D21,'- 29 -'!B21)</f>
        <v>2215937</v>
      </c>
      <c r="C21" s="291">
        <f>B21/'- 3 -'!D21*100</f>
        <v>6.0190435348392199</v>
      </c>
      <c r="D21" s="285">
        <f>B21/'- 7 -'!E21</f>
        <v>796.4693408094314</v>
      </c>
      <c r="E21" s="285">
        <f>SUM('- 32 -'!D21,'- 32 -'!B21,'- 31 -'!F21,'- 31 -'!D21,'- 31 -'!B21)</f>
        <v>3642614</v>
      </c>
      <c r="F21" s="291">
        <f>E21/'- 3 -'!D21*100</f>
        <v>9.8942579354082856</v>
      </c>
      <c r="G21" s="285">
        <f>E21/'- 7 -'!E21</f>
        <v>1309.2567033283015</v>
      </c>
      <c r="H21" s="285">
        <f>SUM('- 33 -'!B21,'- 33 -'!D21,'- 33 -'!F21)</f>
        <v>639721</v>
      </c>
      <c r="I21" s="291">
        <f>H21/'- 3 -'!D21*100</f>
        <v>1.7376435111426365</v>
      </c>
      <c r="J21" s="285">
        <f>H21/'- 7 -'!E21</f>
        <v>229.93350585867302</v>
      </c>
    </row>
    <row r="22" spans="1:10" ht="14.1" customHeight="1" x14ac:dyDescent="0.2">
      <c r="A22" s="19" t="s">
        <v>120</v>
      </c>
      <c r="B22" s="20">
        <f>SUM('- 30 -'!D22,'- 30 -'!B22,'- 29 -'!F22,'- 29 -'!D22,'- 29 -'!B22)</f>
        <v>505566</v>
      </c>
      <c r="C22" s="70">
        <f>B22/'- 3 -'!D22*100</f>
        <v>2.451468116479139</v>
      </c>
      <c r="D22" s="20">
        <f>B22/'- 7 -'!E22</f>
        <v>338.53354760948167</v>
      </c>
      <c r="E22" s="20">
        <f>SUM('- 32 -'!D22,'- 32 -'!B22,'- 31 -'!F22,'- 31 -'!D22,'- 31 -'!B22)</f>
        <v>2515206</v>
      </c>
      <c r="F22" s="70">
        <f>E22/'- 3 -'!D22*100</f>
        <v>12.196127341191909</v>
      </c>
      <c r="G22" s="20">
        <f>E22/'- 7 -'!E22</f>
        <v>1684.2145439935716</v>
      </c>
      <c r="H22" s="20">
        <f>SUM('- 33 -'!B22,'- 33 -'!D22,'- 33 -'!F22)</f>
        <v>349597</v>
      </c>
      <c r="I22" s="70">
        <f>H22/'- 3 -'!D22*100</f>
        <v>1.695181042864349</v>
      </c>
      <c r="J22" s="20">
        <f>H22/'- 7 -'!E22</f>
        <v>234.09468327306814</v>
      </c>
    </row>
    <row r="23" spans="1:10" ht="14.1" customHeight="1" x14ac:dyDescent="0.2">
      <c r="A23" s="284" t="s">
        <v>121</v>
      </c>
      <c r="B23" s="285">
        <f>SUM('- 30 -'!D23,'- 30 -'!B23,'- 29 -'!F23,'- 29 -'!D23,'- 29 -'!B23)</f>
        <v>1677025</v>
      </c>
      <c r="C23" s="291">
        <f>B23/'- 3 -'!D23*100</f>
        <v>10.124695509000762</v>
      </c>
      <c r="D23" s="285">
        <f>B23/'- 7 -'!E23</f>
        <v>1608.6570743405275</v>
      </c>
      <c r="E23" s="285">
        <f>SUM('- 32 -'!D23,'- 32 -'!B23,'- 31 -'!F23,'- 31 -'!D23,'- 31 -'!B23)</f>
        <v>1506720</v>
      </c>
      <c r="F23" s="291">
        <f>E23/'- 3 -'!D23*100</f>
        <v>9.0965138965260675</v>
      </c>
      <c r="G23" s="285">
        <f>E23/'- 7 -'!E23</f>
        <v>1445.294964028777</v>
      </c>
      <c r="H23" s="285">
        <f>SUM('- 33 -'!B23,'- 33 -'!D23,'- 33 -'!F23)</f>
        <v>268635</v>
      </c>
      <c r="I23" s="291">
        <f>H23/'- 3 -'!D23*100</f>
        <v>1.6218288803449084</v>
      </c>
      <c r="J23" s="285">
        <f>H23/'- 7 -'!E23</f>
        <v>257.68345323741005</v>
      </c>
    </row>
    <row r="24" spans="1:10" ht="14.1" customHeight="1" x14ac:dyDescent="0.2">
      <c r="A24" s="19" t="s">
        <v>122</v>
      </c>
      <c r="B24" s="20">
        <f>SUM('- 30 -'!D24,'- 30 -'!B24,'- 29 -'!F24,'- 29 -'!D24,'- 29 -'!B24)</f>
        <v>2629921</v>
      </c>
      <c r="C24" s="70">
        <f>B24/'- 3 -'!D24*100</f>
        <v>4.5444049653003518</v>
      </c>
      <c r="D24" s="20">
        <f>B24/'- 7 -'!E24</f>
        <v>675.8463752473466</v>
      </c>
      <c r="E24" s="20">
        <f>SUM('- 32 -'!D24,'- 32 -'!B24,'- 31 -'!F24,'- 31 -'!D24,'- 31 -'!B24)</f>
        <v>6554978</v>
      </c>
      <c r="F24" s="70">
        <f>E24/'- 3 -'!D24*100</f>
        <v>11.326756419920816</v>
      </c>
      <c r="G24" s="20">
        <f>E24/'- 7 -'!E24</f>
        <v>1684.5213681802995</v>
      </c>
      <c r="H24" s="20">
        <f>SUM('- 33 -'!B24,'- 33 -'!D24,'- 33 -'!F24)</f>
        <v>1033124</v>
      </c>
      <c r="I24" s="70">
        <f>H24/'- 3 -'!D24*100</f>
        <v>1.7851995688733469</v>
      </c>
      <c r="J24" s="20">
        <f>H24/'- 7 -'!E24</f>
        <v>265.49584971603321</v>
      </c>
    </row>
    <row r="25" spans="1:10" ht="14.1" customHeight="1" x14ac:dyDescent="0.2">
      <c r="A25" s="284" t="s">
        <v>123</v>
      </c>
      <c r="B25" s="285">
        <f>SUM('- 30 -'!D25,'- 30 -'!B25,'- 29 -'!F25,'- 29 -'!D25,'- 29 -'!B25)</f>
        <v>4235205</v>
      </c>
      <c r="C25" s="291">
        <f>B25/'- 3 -'!D25*100</f>
        <v>2.2642275474573421</v>
      </c>
      <c r="D25" s="285">
        <f>B25/'- 7 -'!E25</f>
        <v>289.5530092228596</v>
      </c>
      <c r="E25" s="285">
        <f>SUM('- 32 -'!D25,'- 32 -'!B25,'- 31 -'!F25,'- 31 -'!D25,'- 31 -'!B25)</f>
        <v>20016137</v>
      </c>
      <c r="F25" s="291">
        <f>E25/'- 3 -'!D25*100</f>
        <v>10.70103779842538</v>
      </c>
      <c r="G25" s="285">
        <f>E25/'- 7 -'!E25</f>
        <v>1368.4656826215073</v>
      </c>
      <c r="H25" s="285">
        <f>SUM('- 33 -'!B25,'- 33 -'!D25,'- 33 -'!F25)</f>
        <v>3319019</v>
      </c>
      <c r="I25" s="291">
        <f>H25/'- 3 -'!D25*100</f>
        <v>1.7744157013259856</v>
      </c>
      <c r="J25" s="285">
        <f>H25/'- 7 -'!E25</f>
        <v>226.91509363014217</v>
      </c>
    </row>
    <row r="26" spans="1:10" ht="14.1" customHeight="1" x14ac:dyDescent="0.2">
      <c r="A26" s="19" t="s">
        <v>124</v>
      </c>
      <c r="B26" s="20">
        <f>SUM('- 30 -'!D26,'- 30 -'!B26,'- 29 -'!F26,'- 29 -'!D26,'- 29 -'!B26)</f>
        <v>3136322</v>
      </c>
      <c r="C26" s="70">
        <f>B26/'- 3 -'!D26*100</f>
        <v>7.6900098662798984</v>
      </c>
      <c r="D26" s="20">
        <f>B26/'- 7 -'!E26</f>
        <v>1061.3610829103216</v>
      </c>
      <c r="E26" s="20">
        <f>SUM('- 32 -'!D26,'- 32 -'!B26,'- 31 -'!F26,'- 31 -'!D26,'- 31 -'!B26)</f>
        <v>4983449</v>
      </c>
      <c r="F26" s="70">
        <f>E26/'- 3 -'!D26*100</f>
        <v>12.219017045476416</v>
      </c>
      <c r="G26" s="20">
        <f>E26/'- 7 -'!E26</f>
        <v>1686.4463620981387</v>
      </c>
      <c r="H26" s="20">
        <f>SUM('- 33 -'!B26,'- 33 -'!D26,'- 33 -'!F26)</f>
        <v>810995</v>
      </c>
      <c r="I26" s="70">
        <f>H26/'- 3 -'!D26*100</f>
        <v>1.9884946607853611</v>
      </c>
      <c r="J26" s="20">
        <f>H26/'- 7 -'!E26</f>
        <v>274.44839255499153</v>
      </c>
    </row>
    <row r="27" spans="1:10" ht="14.1" customHeight="1" x14ac:dyDescent="0.2">
      <c r="A27" s="284" t="s">
        <v>125</v>
      </c>
      <c r="B27" s="285">
        <f>SUM('- 30 -'!D27,'- 30 -'!B27,'- 29 -'!F27,'- 29 -'!D27,'- 29 -'!B27)</f>
        <v>334519</v>
      </c>
      <c r="C27" s="291">
        <f>B27/'- 3 -'!D27*100</f>
        <v>0.81698292082475965</v>
      </c>
      <c r="D27" s="285">
        <f>B27/'- 7 -'!E27</f>
        <v>110.36952720314098</v>
      </c>
      <c r="E27" s="285">
        <f>SUM('- 32 -'!D27,'- 32 -'!B27,'- 31 -'!F27,'- 31 -'!D27,'- 31 -'!B27)</f>
        <v>4484934</v>
      </c>
      <c r="F27" s="291">
        <f>E27/'- 3 -'!D27*100</f>
        <v>10.953382256392826</v>
      </c>
      <c r="G27" s="285">
        <f>E27/'- 7 -'!E27</f>
        <v>1479.7367118677621</v>
      </c>
      <c r="H27" s="285">
        <f>SUM('- 33 -'!B27,'- 33 -'!D27,'- 33 -'!F27)</f>
        <v>766600</v>
      </c>
      <c r="I27" s="291">
        <f>H27/'- 3 -'!D27*100</f>
        <v>1.8722377715593455</v>
      </c>
      <c r="J27" s="285">
        <f>H27/'- 7 -'!E27</f>
        <v>252.92817314988946</v>
      </c>
    </row>
    <row r="28" spans="1:10" ht="14.1" customHeight="1" x14ac:dyDescent="0.2">
      <c r="A28" s="19" t="s">
        <v>126</v>
      </c>
      <c r="B28" s="20">
        <f>SUM('- 30 -'!D28,'- 30 -'!B28,'- 29 -'!F28,'- 29 -'!D28,'- 29 -'!B28)</f>
        <v>2062971</v>
      </c>
      <c r="C28" s="70">
        <f>B28/'- 3 -'!D28*100</f>
        <v>7.1391075879329451</v>
      </c>
      <c r="D28" s="20">
        <f>B28/'- 7 -'!E28</f>
        <v>1058.2051808155938</v>
      </c>
      <c r="E28" s="20">
        <f>SUM('- 32 -'!D28,'- 32 -'!B28,'- 31 -'!F28,'- 31 -'!D28,'- 31 -'!B28)</f>
        <v>3232927</v>
      </c>
      <c r="F28" s="70">
        <f>E28/'- 3 -'!D28*100</f>
        <v>11.187851732735602</v>
      </c>
      <c r="G28" s="20">
        <f>E28/'- 7 -'!E28</f>
        <v>1658.3364965375738</v>
      </c>
      <c r="H28" s="20">
        <f>SUM('- 33 -'!B28,'- 33 -'!D28,'- 33 -'!F28)</f>
        <v>483512</v>
      </c>
      <c r="I28" s="70">
        <f>H28/'- 3 -'!D28*100</f>
        <v>1.6732393174972573</v>
      </c>
      <c r="J28" s="20">
        <f>H28/'- 7 -'!E28</f>
        <v>248.01846627340345</v>
      </c>
    </row>
    <row r="29" spans="1:10" ht="14.1" customHeight="1" x14ac:dyDescent="0.2">
      <c r="A29" s="284" t="s">
        <v>127</v>
      </c>
      <c r="B29" s="285">
        <f>SUM('- 30 -'!D29,'- 30 -'!B29,'- 29 -'!F29,'- 29 -'!D29,'- 29 -'!B29)</f>
        <v>3588731</v>
      </c>
      <c r="C29" s="291">
        <f>B29/'- 3 -'!D29*100</f>
        <v>2.2038310502576977</v>
      </c>
      <c r="D29" s="285">
        <f>B29/'- 7 -'!E29</f>
        <v>267.95772386861694</v>
      </c>
      <c r="E29" s="285">
        <f>SUM('- 32 -'!D29,'- 32 -'!B29,'- 31 -'!F29,'- 31 -'!D29,'- 31 -'!B29)</f>
        <v>20022799</v>
      </c>
      <c r="F29" s="291">
        <f>E29/'- 3 -'!D29*100</f>
        <v>12.295952566316275</v>
      </c>
      <c r="G29" s="285">
        <f>E29/'- 7 -'!E29</f>
        <v>1495.0308745678681</v>
      </c>
      <c r="H29" s="285">
        <f>SUM('- 33 -'!B29,'- 33 -'!D29,'- 33 -'!F29)</f>
        <v>2876844</v>
      </c>
      <c r="I29" s="291">
        <f>H29/'- 3 -'!D29*100</f>
        <v>1.7666629607924238</v>
      </c>
      <c r="J29" s="285">
        <f>H29/'- 7 -'!E29</f>
        <v>214.8036646282732</v>
      </c>
    </row>
    <row r="30" spans="1:10" ht="14.1" customHeight="1" x14ac:dyDescent="0.2">
      <c r="A30" s="19" t="s">
        <v>128</v>
      </c>
      <c r="B30" s="20">
        <f>SUM('- 30 -'!D30,'- 30 -'!B30,'- 29 -'!F30,'- 29 -'!D30,'- 29 -'!B30)</f>
        <v>1213571</v>
      </c>
      <c r="C30" s="70">
        <f>B30/'- 3 -'!D30*100</f>
        <v>8.2563196779686248</v>
      </c>
      <c r="D30" s="20">
        <f>B30/'- 7 -'!E30</f>
        <v>1204.8957505957108</v>
      </c>
      <c r="E30" s="20">
        <f>SUM('- 32 -'!D30,'- 32 -'!B30,'- 31 -'!F30,'- 31 -'!D30,'- 31 -'!B30)</f>
        <v>1516645</v>
      </c>
      <c r="F30" s="70">
        <f>E30/'- 3 -'!D30*100</f>
        <v>10.318231037156231</v>
      </c>
      <c r="G30" s="20">
        <f>E30/'- 7 -'!E30</f>
        <v>1505.8032168387608</v>
      </c>
      <c r="H30" s="20">
        <f>SUM('- 33 -'!B30,'- 33 -'!D30,'- 33 -'!F30)</f>
        <v>248928</v>
      </c>
      <c r="I30" s="70">
        <f>H30/'- 3 -'!D30*100</f>
        <v>1.693538445461678</v>
      </c>
      <c r="J30" s="20">
        <f>H30/'- 7 -'!E30</f>
        <v>247.14853057982523</v>
      </c>
    </row>
    <row r="31" spans="1:10" ht="14.1" customHeight="1" x14ac:dyDescent="0.2">
      <c r="A31" s="284" t="s">
        <v>129</v>
      </c>
      <c r="B31" s="285">
        <f>SUM('- 30 -'!D31,'- 30 -'!B31,'- 29 -'!F31,'- 29 -'!D31,'- 29 -'!B31)</f>
        <v>1128453</v>
      </c>
      <c r="C31" s="291">
        <f>B31/'- 3 -'!D31*100</f>
        <v>2.9670818466740179</v>
      </c>
      <c r="D31" s="285">
        <f>B31/'- 7 -'!E31</f>
        <v>340.88116239729339</v>
      </c>
      <c r="E31" s="285">
        <f>SUM('- 32 -'!D31,'- 32 -'!B31,'- 31 -'!F31,'- 31 -'!D31,'- 31 -'!B31)</f>
        <v>3694249</v>
      </c>
      <c r="F31" s="291">
        <f>E31/'- 3 -'!D31*100</f>
        <v>9.7134210684837061</v>
      </c>
      <c r="G31" s="285">
        <f>E31/'- 7 -'!E31</f>
        <v>1115.9524528757854</v>
      </c>
      <c r="H31" s="285">
        <f>SUM('- 33 -'!B31,'- 33 -'!D31,'- 33 -'!F31)</f>
        <v>673043</v>
      </c>
      <c r="I31" s="291">
        <f>H31/'- 3 -'!D31*100</f>
        <v>1.7696560400220667</v>
      </c>
      <c r="J31" s="285">
        <f>H31/'- 7 -'!E31</f>
        <v>203.31168438859351</v>
      </c>
    </row>
    <row r="32" spans="1:10" ht="14.1" customHeight="1" x14ac:dyDescent="0.2">
      <c r="A32" s="19" t="s">
        <v>130</v>
      </c>
      <c r="B32" s="20">
        <f>SUM('- 30 -'!D32,'- 30 -'!B32,'- 29 -'!F32,'- 29 -'!D32,'- 29 -'!B32)</f>
        <v>2348114</v>
      </c>
      <c r="C32" s="70">
        <f>B32/'- 3 -'!D32*100</f>
        <v>7.4791042761390756</v>
      </c>
      <c r="D32" s="20">
        <f>B32/'- 7 -'!E32</f>
        <v>1073.9144751886577</v>
      </c>
      <c r="E32" s="20">
        <f>SUM('- 32 -'!D32,'- 32 -'!B32,'- 31 -'!F32,'- 31 -'!D32,'- 31 -'!B32)</f>
        <v>3279527</v>
      </c>
      <c r="F32" s="70">
        <f>E32/'- 3 -'!D32*100</f>
        <v>10.445797950786698</v>
      </c>
      <c r="G32" s="20">
        <f>E32/'- 7 -'!E32</f>
        <v>1499.8980105190944</v>
      </c>
      <c r="H32" s="20">
        <f>SUM('- 33 -'!B32,'- 33 -'!D32,'- 33 -'!F32)</f>
        <v>567068</v>
      </c>
      <c r="I32" s="70">
        <f>H32/'- 3 -'!D32*100</f>
        <v>1.8061988062170891</v>
      </c>
      <c r="J32" s="20">
        <f>H32/'- 7 -'!E32</f>
        <v>259.34964555225247</v>
      </c>
    </row>
    <row r="33" spans="1:10" ht="14.1" customHeight="1" x14ac:dyDescent="0.2">
      <c r="A33" s="284" t="s">
        <v>131</v>
      </c>
      <c r="B33" s="285">
        <f>SUM('- 30 -'!D33,'- 30 -'!B33,'- 29 -'!F33,'- 29 -'!D33,'- 29 -'!B33)</f>
        <v>2523297</v>
      </c>
      <c r="C33" s="291">
        <f>B33/'- 3 -'!D33*100</f>
        <v>8.9007574418487909</v>
      </c>
      <c r="D33" s="285">
        <f>B33/'- 7 -'!E33</f>
        <v>1204.6677169865368</v>
      </c>
      <c r="E33" s="285">
        <f>SUM('- 32 -'!D33,'- 32 -'!B33,'- 31 -'!F33,'- 31 -'!D33,'- 31 -'!B33)</f>
        <v>3312556</v>
      </c>
      <c r="F33" s="291">
        <f>E33/'- 3 -'!D33*100</f>
        <v>11.684814537702405</v>
      </c>
      <c r="G33" s="285">
        <f>E33/'- 7 -'!E33</f>
        <v>1581.4742671631816</v>
      </c>
      <c r="H33" s="285">
        <f>SUM('- 33 -'!B33,'- 33 -'!D33,'- 33 -'!F33)</f>
        <v>477220</v>
      </c>
      <c r="I33" s="291">
        <f>H33/'- 3 -'!D33*100</f>
        <v>1.6833608831616256</v>
      </c>
      <c r="J33" s="285">
        <f>H33/'- 7 -'!E33</f>
        <v>227.83347655877017</v>
      </c>
    </row>
    <row r="34" spans="1:10" ht="14.1" customHeight="1" x14ac:dyDescent="0.2">
      <c r="A34" s="19" t="s">
        <v>132</v>
      </c>
      <c r="B34" s="20">
        <f>SUM('- 30 -'!D34,'- 30 -'!B34,'- 29 -'!F34,'- 29 -'!D34,'- 29 -'!B34)</f>
        <v>2890248</v>
      </c>
      <c r="C34" s="70">
        <f>B34/'- 3 -'!D34*100</f>
        <v>9.4014603801643872</v>
      </c>
      <c r="D34" s="20">
        <f>B34/'- 7 -'!E34</f>
        <v>1378.2643942356297</v>
      </c>
      <c r="E34" s="20">
        <f>SUM('- 32 -'!D34,'- 32 -'!B34,'- 31 -'!F34,'- 31 -'!D34,'- 31 -'!B34)</f>
        <v>3086758</v>
      </c>
      <c r="F34" s="70">
        <f>E34/'- 3 -'!D34*100</f>
        <v>10.040672302223014</v>
      </c>
      <c r="G34" s="20">
        <f>E34/'- 7 -'!E34</f>
        <v>1471.9735624839057</v>
      </c>
      <c r="H34" s="20">
        <f>SUM('- 33 -'!B34,'- 33 -'!D34,'- 33 -'!F34)</f>
        <v>598510</v>
      </c>
      <c r="I34" s="70">
        <f>H34/'- 3 -'!D34*100</f>
        <v>1.9468461018335406</v>
      </c>
      <c r="J34" s="20">
        <f>H34/'- 7 -'!E34</f>
        <v>285.4097719621177</v>
      </c>
    </row>
    <row r="35" spans="1:10" ht="14.1" customHeight="1" x14ac:dyDescent="0.2">
      <c r="A35" s="284" t="s">
        <v>133</v>
      </c>
      <c r="B35" s="285">
        <f>SUM('- 30 -'!D35,'- 30 -'!B35,'- 29 -'!F35,'- 29 -'!D35,'- 29 -'!B35)</f>
        <v>4850137</v>
      </c>
      <c r="C35" s="291">
        <f>B35/'- 3 -'!D35*100</f>
        <v>2.5753265316933853</v>
      </c>
      <c r="D35" s="285">
        <f>B35/'- 7 -'!E35</f>
        <v>305.82867772242889</v>
      </c>
      <c r="E35" s="285">
        <f>SUM('- 32 -'!D35,'- 32 -'!B35,'- 31 -'!F35,'- 31 -'!D35,'- 31 -'!B35)</f>
        <v>20974149</v>
      </c>
      <c r="F35" s="291">
        <f>E35/'- 3 -'!D35*100</f>
        <v>11.136857041232091</v>
      </c>
      <c r="G35" s="285">
        <f>E35/'- 7 -'!E35</f>
        <v>1322.5391891039787</v>
      </c>
      <c r="H35" s="285">
        <f>SUM('- 33 -'!B35,'- 33 -'!D35,'- 33 -'!F35)</f>
        <v>3310445</v>
      </c>
      <c r="I35" s="291">
        <f>H35/'- 3 -'!D35*100</f>
        <v>1.7577806235600582</v>
      </c>
      <c r="J35" s="285">
        <f>H35/'- 7 -'!E35</f>
        <v>208.74235449902264</v>
      </c>
    </row>
    <row r="36" spans="1:10" ht="14.1" customHeight="1" x14ac:dyDescent="0.2">
      <c r="A36" s="19" t="s">
        <v>134</v>
      </c>
      <c r="B36" s="20">
        <f>SUM('- 30 -'!D36,'- 30 -'!B36,'- 29 -'!F36,'- 29 -'!D36,'- 29 -'!B36)</f>
        <v>1684018</v>
      </c>
      <c r="C36" s="70">
        <f>B36/'- 3 -'!D36*100</f>
        <v>7.1163913080886143</v>
      </c>
      <c r="D36" s="20">
        <f>B36/'- 7 -'!E36</f>
        <v>995.98888100307545</v>
      </c>
      <c r="E36" s="20">
        <f>SUM('- 32 -'!D36,'- 32 -'!B36,'- 31 -'!F36,'- 31 -'!D36,'- 31 -'!B36)</f>
        <v>2922678</v>
      </c>
      <c r="F36" s="70">
        <f>E36/'- 3 -'!D36*100</f>
        <v>12.350770784838293</v>
      </c>
      <c r="G36" s="20">
        <f>E36/'- 7 -'!E36</f>
        <v>1728.5770049680625</v>
      </c>
      <c r="H36" s="20">
        <f>SUM('- 33 -'!B36,'- 33 -'!D36,'- 33 -'!F36)</f>
        <v>422171</v>
      </c>
      <c r="I36" s="70">
        <f>H36/'- 3 -'!D36*100</f>
        <v>1.784027269855238</v>
      </c>
      <c r="J36" s="20">
        <f>H36/'- 7 -'!E36</f>
        <v>249.68713035249587</v>
      </c>
    </row>
    <row r="37" spans="1:10" ht="14.1" customHeight="1" x14ac:dyDescent="0.2">
      <c r="A37" s="284" t="s">
        <v>135</v>
      </c>
      <c r="B37" s="285">
        <f>SUM('- 30 -'!D37,'- 30 -'!B37,'- 29 -'!F37,'- 29 -'!D37,'- 29 -'!B37)</f>
        <v>3406005</v>
      </c>
      <c r="C37" s="291">
        <f>B37/'- 3 -'!D37*100</f>
        <v>6.49845450150774</v>
      </c>
      <c r="D37" s="285">
        <f>B37/'- 7 -'!E37</f>
        <v>811.92014302741359</v>
      </c>
      <c r="E37" s="285">
        <f>SUM('- 32 -'!D37,'- 32 -'!B37,'- 31 -'!F37,'- 31 -'!D37,'- 31 -'!B37)</f>
        <v>4987203</v>
      </c>
      <c r="F37" s="291">
        <f>E37/'- 3 -'!D37*100</f>
        <v>9.5152860272615296</v>
      </c>
      <c r="G37" s="285">
        <f>E37/'- 7 -'!E37</f>
        <v>1188.8445768772349</v>
      </c>
      <c r="H37" s="285">
        <f>SUM('- 33 -'!B37,'- 33 -'!D37,'- 33 -'!F37)</f>
        <v>928646</v>
      </c>
      <c r="I37" s="291">
        <f>H37/'- 3 -'!D37*100</f>
        <v>1.7718012096303901</v>
      </c>
      <c r="J37" s="285">
        <f>H37/'- 7 -'!E37</f>
        <v>221.36972586412395</v>
      </c>
    </row>
    <row r="38" spans="1:10" ht="14.1" customHeight="1" x14ac:dyDescent="0.2">
      <c r="A38" s="19" t="s">
        <v>136</v>
      </c>
      <c r="B38" s="20">
        <f>SUM('- 30 -'!D38,'- 30 -'!B38,'- 29 -'!F38,'- 29 -'!D38,'- 29 -'!B38)</f>
        <v>4051529</v>
      </c>
      <c r="C38" s="70">
        <f>B38/'- 3 -'!D38*100</f>
        <v>2.8764004283381466</v>
      </c>
      <c r="D38" s="20">
        <f>B38/'- 7 -'!E38</f>
        <v>366.01823076645104</v>
      </c>
      <c r="E38" s="20">
        <f>SUM('- 32 -'!D38,'- 32 -'!B38,'- 31 -'!F38,'- 31 -'!D38,'- 31 -'!B38)</f>
        <v>13276984</v>
      </c>
      <c r="F38" s="70">
        <f>E38/'- 3 -'!D38*100</f>
        <v>9.4260518595914586</v>
      </c>
      <c r="G38" s="20">
        <f>E38/'- 7 -'!E38</f>
        <v>1199.4528963249377</v>
      </c>
      <c r="H38" s="20">
        <f>SUM('- 33 -'!B38,'- 33 -'!D38,'- 33 -'!F38)</f>
        <v>2525717</v>
      </c>
      <c r="I38" s="70">
        <f>H38/'- 3 -'!D38*100</f>
        <v>1.7931436405023731</v>
      </c>
      <c r="J38" s="20">
        <f>H38/'- 7 -'!E38</f>
        <v>228.17520688035268</v>
      </c>
    </row>
    <row r="39" spans="1:10" ht="14.1" customHeight="1" x14ac:dyDescent="0.2">
      <c r="A39" s="284" t="s">
        <v>137</v>
      </c>
      <c r="B39" s="285">
        <f>SUM('- 30 -'!D39,'- 30 -'!B39,'- 29 -'!F39,'- 29 -'!D39,'- 29 -'!B39)</f>
        <v>2141241</v>
      </c>
      <c r="C39" s="291">
        <f>B39/'- 3 -'!D39*100</f>
        <v>9.6057871561259542</v>
      </c>
      <c r="D39" s="285">
        <f>B39/'- 7 -'!E39</f>
        <v>1415.2286847323198</v>
      </c>
      <c r="E39" s="285">
        <f>SUM('- 32 -'!D39,'- 32 -'!B39,'- 31 -'!F39,'- 31 -'!D39,'- 31 -'!B39)</f>
        <v>2299351</v>
      </c>
      <c r="F39" s="291">
        <f>E39/'- 3 -'!D39*100</f>
        <v>10.315081909614737</v>
      </c>
      <c r="G39" s="285">
        <f>E39/'- 7 -'!E39</f>
        <v>1519.729676140119</v>
      </c>
      <c r="H39" s="285">
        <f>SUM('- 33 -'!B39,'- 33 -'!D39,'- 33 -'!F39)</f>
        <v>377648</v>
      </c>
      <c r="I39" s="291">
        <f>H39/'- 3 -'!D39*100</f>
        <v>1.6941606796883932</v>
      </c>
      <c r="J39" s="285">
        <f>H39/'- 7 -'!E39</f>
        <v>249.6021150033047</v>
      </c>
    </row>
    <row r="40" spans="1:10" ht="14.1" customHeight="1" x14ac:dyDescent="0.2">
      <c r="A40" s="19" t="s">
        <v>138</v>
      </c>
      <c r="B40" s="20">
        <f>SUM('- 30 -'!D40,'- 30 -'!B40,'- 29 -'!F40,'- 29 -'!D40,'- 29 -'!B40)</f>
        <v>2813955</v>
      </c>
      <c r="C40" s="70">
        <f>B40/'- 3 -'!D40*100</f>
        <v>2.6563984055652869</v>
      </c>
      <c r="D40" s="20">
        <f>B40/'- 7 -'!E40</f>
        <v>346.24343246668553</v>
      </c>
      <c r="E40" s="20">
        <f>SUM('- 32 -'!D40,'- 32 -'!B40,'- 31 -'!F40,'- 31 -'!D40,'- 31 -'!B40)</f>
        <v>10956767</v>
      </c>
      <c r="F40" s="70">
        <f>E40/'- 3 -'!D40*100</f>
        <v>10.343284945548294</v>
      </c>
      <c r="G40" s="20">
        <f>E40/'- 7 -'!E40</f>
        <v>1348.1767174022716</v>
      </c>
      <c r="H40" s="20">
        <f>SUM('- 33 -'!B40,'- 33 -'!D40,'- 33 -'!F40)</f>
        <v>1831408</v>
      </c>
      <c r="I40" s="70">
        <f>H40/'- 3 -'!D40*100</f>
        <v>1.7288653482872012</v>
      </c>
      <c r="J40" s="20">
        <f>H40/'- 7 -'!E40</f>
        <v>225.34581831157487</v>
      </c>
    </row>
    <row r="41" spans="1:10" ht="14.1" customHeight="1" x14ac:dyDescent="0.2">
      <c r="A41" s="284" t="s">
        <v>139</v>
      </c>
      <c r="B41" s="285">
        <f>SUM('- 30 -'!D41,'- 30 -'!B41,'- 29 -'!F41,'- 29 -'!D41,'- 29 -'!B41)</f>
        <v>5107543</v>
      </c>
      <c r="C41" s="291">
        <f>B41/'- 3 -'!D41*100</f>
        <v>7.8655196723191265</v>
      </c>
      <c r="D41" s="285">
        <f>B41/'- 7 -'!E41</f>
        <v>1148.924305477449</v>
      </c>
      <c r="E41" s="285">
        <f>SUM('- 32 -'!D41,'- 32 -'!B41,'- 31 -'!F41,'- 31 -'!D41,'- 31 -'!B41)</f>
        <v>6426077</v>
      </c>
      <c r="F41" s="291">
        <f>E41/'- 3 -'!D41*100</f>
        <v>9.8960371081237053</v>
      </c>
      <c r="G41" s="285">
        <f>E41/'- 7 -'!E41</f>
        <v>1445.5240130469015</v>
      </c>
      <c r="H41" s="285">
        <f>SUM('- 33 -'!B41,'- 33 -'!D41,'- 33 -'!F41)</f>
        <v>1260587</v>
      </c>
      <c r="I41" s="291">
        <f>H41/'- 3 -'!D41*100</f>
        <v>1.9412801511744004</v>
      </c>
      <c r="J41" s="285">
        <f>H41/'- 7 -'!E41</f>
        <v>283.56472837701045</v>
      </c>
    </row>
    <row r="42" spans="1:10" ht="14.1" customHeight="1" x14ac:dyDescent="0.2">
      <c r="A42" s="19" t="s">
        <v>140</v>
      </c>
      <c r="B42" s="20">
        <f>SUM('- 30 -'!D42,'- 30 -'!B42,'- 29 -'!F42,'- 29 -'!D42,'- 29 -'!B42)</f>
        <v>1685644</v>
      </c>
      <c r="C42" s="70">
        <f>B42/'- 3 -'!D42*100</f>
        <v>8.0771448785668714</v>
      </c>
      <c r="D42" s="20">
        <f>B42/'- 7 -'!E42</f>
        <v>1193.798866855524</v>
      </c>
      <c r="E42" s="20">
        <f>SUM('- 32 -'!D42,'- 32 -'!B42,'- 31 -'!F42,'- 31 -'!D42,'- 31 -'!B42)</f>
        <v>2723771</v>
      </c>
      <c r="F42" s="70">
        <f>E42/'- 3 -'!D42*100</f>
        <v>13.051565445039975</v>
      </c>
      <c r="G42" s="20">
        <f>E42/'- 7 -'!E42</f>
        <v>1929.0162889518413</v>
      </c>
      <c r="H42" s="20">
        <f>SUM('- 33 -'!B42,'- 33 -'!D42,'- 33 -'!F42)</f>
        <v>326912</v>
      </c>
      <c r="I42" s="70">
        <f>H42/'- 3 -'!D42*100</f>
        <v>1.5664728652918725</v>
      </c>
      <c r="J42" s="20">
        <f>H42/'- 7 -'!E42</f>
        <v>231.52407932011332</v>
      </c>
    </row>
    <row r="43" spans="1:10" ht="14.1" customHeight="1" x14ac:dyDescent="0.2">
      <c r="A43" s="284" t="s">
        <v>141</v>
      </c>
      <c r="B43" s="285">
        <f>SUM('- 30 -'!D43,'- 30 -'!B43,'- 29 -'!F43,'- 29 -'!D43,'- 29 -'!B43)</f>
        <v>1214895</v>
      </c>
      <c r="C43" s="291">
        <f>B43/'- 3 -'!D43*100</f>
        <v>9.0316236739092428</v>
      </c>
      <c r="D43" s="285">
        <f>B43/'- 7 -'!E43</f>
        <v>1253.7616099071208</v>
      </c>
      <c r="E43" s="285">
        <f>SUM('- 32 -'!D43,'- 32 -'!B43,'- 31 -'!F43,'- 31 -'!D43,'- 31 -'!B43)</f>
        <v>1018800</v>
      </c>
      <c r="F43" s="291">
        <f>E43/'- 3 -'!D43*100</f>
        <v>7.5738382320930917</v>
      </c>
      <c r="G43" s="285">
        <f>E43/'- 7 -'!E43</f>
        <v>1051.3931888544892</v>
      </c>
      <c r="H43" s="285">
        <f>SUM('- 33 -'!B43,'- 33 -'!D43,'- 33 -'!F43)</f>
        <v>279519</v>
      </c>
      <c r="I43" s="291">
        <f>H43/'- 3 -'!D43*100</f>
        <v>2.0779659293251167</v>
      </c>
      <c r="J43" s="285">
        <f>H43/'- 7 -'!E43</f>
        <v>288.4613003095975</v>
      </c>
    </row>
    <row r="44" spans="1:10" ht="14.1" customHeight="1" x14ac:dyDescent="0.2">
      <c r="A44" s="19" t="s">
        <v>142</v>
      </c>
      <c r="B44" s="20">
        <f>SUM('- 30 -'!D44,'- 30 -'!B44,'- 29 -'!F44,'- 29 -'!D44,'- 29 -'!B44)</f>
        <v>1172670</v>
      </c>
      <c r="C44" s="70">
        <f>B44/'- 3 -'!D44*100</f>
        <v>10.697508731231331</v>
      </c>
      <c r="D44" s="20">
        <f>B44/'- 7 -'!E44</f>
        <v>1689.7262247838617</v>
      </c>
      <c r="E44" s="20">
        <f>SUM('- 32 -'!D44,'- 32 -'!B44,'- 31 -'!F44,'- 31 -'!D44,'- 31 -'!B44)</f>
        <v>1186855</v>
      </c>
      <c r="F44" s="70">
        <f>E44/'- 3 -'!D44*100</f>
        <v>10.82690929690839</v>
      </c>
      <c r="G44" s="20">
        <f>E44/'- 7 -'!E44</f>
        <v>1710.1657060518733</v>
      </c>
      <c r="H44" s="20">
        <f>SUM('- 33 -'!B44,'- 33 -'!D44,'- 33 -'!F44)</f>
        <v>168786</v>
      </c>
      <c r="I44" s="70">
        <f>H44/'- 3 -'!D44*100</f>
        <v>1.5397253350982043</v>
      </c>
      <c r="J44" s="20">
        <f>H44/'- 7 -'!E44</f>
        <v>243.20749279538904</v>
      </c>
    </row>
    <row r="45" spans="1:10" ht="14.1" customHeight="1" x14ac:dyDescent="0.2">
      <c r="A45" s="284" t="s">
        <v>143</v>
      </c>
      <c r="B45" s="285">
        <f>SUM('- 30 -'!D45,'- 30 -'!B45,'- 29 -'!F45,'- 29 -'!D45,'- 29 -'!B45)</f>
        <v>868280</v>
      </c>
      <c r="C45" s="291">
        <f>B45/'- 3 -'!D45*100</f>
        <v>4.3514141269009432</v>
      </c>
      <c r="D45" s="285">
        <f>B45/'- 7 -'!E45</f>
        <v>502.47685185185185</v>
      </c>
      <c r="E45" s="285">
        <f>SUM('- 32 -'!D45,'- 32 -'!B45,'- 31 -'!F45,'- 31 -'!D45,'- 31 -'!B45)</f>
        <v>1889853</v>
      </c>
      <c r="F45" s="291">
        <f>E45/'- 3 -'!D45*100</f>
        <v>9.4710612267541912</v>
      </c>
      <c r="G45" s="285">
        <f>E45/'- 7 -'!E45</f>
        <v>1093.6649305555557</v>
      </c>
      <c r="H45" s="285">
        <f>SUM('- 33 -'!B45,'- 33 -'!D45,'- 33 -'!F45)</f>
        <v>370750</v>
      </c>
      <c r="I45" s="291">
        <f>H45/'- 3 -'!D45*100</f>
        <v>1.8580259680615985</v>
      </c>
      <c r="J45" s="285">
        <f>H45/'- 7 -'!E45</f>
        <v>214.55439814814815</v>
      </c>
    </row>
    <row r="46" spans="1:10" ht="14.1" customHeight="1" x14ac:dyDescent="0.2">
      <c r="A46" s="19" t="s">
        <v>144</v>
      </c>
      <c r="B46" s="20">
        <f>SUM('- 30 -'!D46,'- 30 -'!B46,'- 29 -'!F46,'- 29 -'!D46,'- 29 -'!B46)</f>
        <v>7021740</v>
      </c>
      <c r="C46" s="70">
        <f>B46/'- 3 -'!D46*100</f>
        <v>1.7692216196637431</v>
      </c>
      <c r="D46" s="20">
        <f>B46/'- 7 -'!E46</f>
        <v>234.84787167506715</v>
      </c>
      <c r="E46" s="20">
        <f>SUM('- 32 -'!D46,'- 32 -'!B46,'- 31 -'!F46,'- 31 -'!D46,'- 31 -'!B46)</f>
        <v>46893057</v>
      </c>
      <c r="F46" s="70">
        <f>E46/'- 3 -'!D46*100</f>
        <v>11.815334982002215</v>
      </c>
      <c r="G46" s="20">
        <f>E46/'- 7 -'!E46</f>
        <v>1568.3768742202944</v>
      </c>
      <c r="H46" s="20">
        <f>SUM('- 33 -'!B46,'- 33 -'!D46,'- 33 -'!F46)</f>
        <v>7236542</v>
      </c>
      <c r="I46" s="70">
        <f>H46/'- 3 -'!D46*100</f>
        <v>1.8233438660509651</v>
      </c>
      <c r="J46" s="20">
        <f>H46/'- 7 -'!E46</f>
        <v>242.03210130070806</v>
      </c>
    </row>
    <row r="47" spans="1:10" ht="5.0999999999999996" customHeight="1" x14ac:dyDescent="0.2">
      <c r="A47" s="21"/>
      <c r="B47" s="22"/>
      <c r="C47"/>
      <c r="D47"/>
      <c r="E47"/>
      <c r="F47"/>
      <c r="G47"/>
      <c r="H47"/>
      <c r="I47"/>
      <c r="J47"/>
    </row>
    <row r="48" spans="1:10" ht="14.1" customHeight="1" x14ac:dyDescent="0.2">
      <c r="A48" s="286" t="s">
        <v>145</v>
      </c>
      <c r="B48" s="287">
        <f>SUM(B11:B46)</f>
        <v>104382967</v>
      </c>
      <c r="C48" s="294">
        <f>B48/'- 3 -'!D48*100</f>
        <v>4.4288258290347882</v>
      </c>
      <c r="D48" s="287">
        <f>B48/'- 7 -'!E48</f>
        <v>588.47469401208548</v>
      </c>
      <c r="E48" s="287">
        <f>SUM(E11:E46)</f>
        <v>265351416</v>
      </c>
      <c r="F48" s="294">
        <f>E48/'- 3 -'!D48*100</f>
        <v>11.258495889964069</v>
      </c>
      <c r="G48" s="287">
        <f>E48/'- 7 -'!E48</f>
        <v>1495.9585632038377</v>
      </c>
      <c r="H48" s="287">
        <f>SUM(H11:H46)</f>
        <v>40576307</v>
      </c>
      <c r="I48" s="294">
        <f>H48/'- 3 -'!D48*100</f>
        <v>1.7215969391677195</v>
      </c>
      <c r="J48" s="287">
        <f>H48/'- 7 -'!E48</f>
        <v>228.7550405227075</v>
      </c>
    </row>
    <row r="49" spans="1:10" ht="5.0999999999999996" customHeight="1" x14ac:dyDescent="0.2">
      <c r="A49" s="21" t="s">
        <v>7</v>
      </c>
      <c r="B49" s="22"/>
      <c r="C49"/>
      <c r="D49"/>
      <c r="E49"/>
      <c r="F49"/>
      <c r="G49"/>
      <c r="H49"/>
      <c r="I49"/>
      <c r="J49"/>
    </row>
    <row r="50" spans="1:10" ht="14.1" customHeight="1" x14ac:dyDescent="0.2">
      <c r="A50" s="284" t="s">
        <v>146</v>
      </c>
      <c r="B50" s="285">
        <f>SUM('- 30 -'!D50,'- 30 -'!B50,'- 29 -'!F50,'- 29 -'!D50,'- 29 -'!B50)</f>
        <v>38361</v>
      </c>
      <c r="C50" s="291">
        <f>B50/'- 3 -'!D50*100</f>
        <v>1.1850308189566625</v>
      </c>
      <c r="D50" s="285">
        <f>B50/'- 7 -'!E50</f>
        <v>233.90853658536585</v>
      </c>
      <c r="E50" s="285">
        <f>SUM('- 32 -'!D50,'- 32 -'!B50,'- 31 -'!F50,'- 31 -'!D50,'- 31 -'!B50)</f>
        <v>435684</v>
      </c>
      <c r="F50" s="291">
        <f>E50/'- 3 -'!D50*100</f>
        <v>13.458954858484256</v>
      </c>
      <c r="G50" s="285">
        <f>E50/'- 7 -'!E50</f>
        <v>2656.6097560975609</v>
      </c>
      <c r="H50" s="285">
        <f>SUM('- 33 -'!B50,'- 33 -'!D50,'- 33 -'!F50)</f>
        <v>46857</v>
      </c>
      <c r="I50" s="291">
        <f>H50/'- 3 -'!D50*100</f>
        <v>1.4474854431284987</v>
      </c>
      <c r="J50" s="285">
        <f>H50/'- 7 -'!E50</f>
        <v>285.71341463414632</v>
      </c>
    </row>
    <row r="51" spans="1:10" ht="14.1" customHeight="1" x14ac:dyDescent="0.2">
      <c r="A51" s="19" t="s">
        <v>607</v>
      </c>
      <c r="B51" s="20">
        <f>SUM('- 30 -'!D51,'- 30 -'!B51,'- 29 -'!F51,'- 29 -'!D51,'- 29 -'!B51)</f>
        <v>0</v>
      </c>
      <c r="C51" s="70">
        <f>B51/'- 3 -'!D51*100</f>
        <v>0</v>
      </c>
      <c r="D51" s="20">
        <f>B51/'- 7 -'!E51</f>
        <v>0</v>
      </c>
      <c r="E51" s="20">
        <f>SUM('- 32 -'!D51,'- 32 -'!B51,'- 31 -'!F51,'- 31 -'!D51,'- 31 -'!B51)</f>
        <v>3980708</v>
      </c>
      <c r="F51" s="70">
        <f>E51/'- 3 -'!D51*100</f>
        <v>13.115375236796673</v>
      </c>
      <c r="G51" s="20">
        <f>E51/'- 7 -'!E51</f>
        <v>3658.7389705882351</v>
      </c>
      <c r="H51" s="20">
        <f>SUM('- 33 -'!B51,'- 33 -'!D51,'- 33 -'!F51)</f>
        <v>676443</v>
      </c>
      <c r="I51" s="70">
        <f>H51/'- 3 -'!D51*100</f>
        <v>2.2286999627464392</v>
      </c>
      <c r="J51" s="20">
        <f>H51/'- 7 -'!E51</f>
        <v>621.73069852941171</v>
      </c>
    </row>
    <row r="52" spans="1:10" ht="50.1" customHeight="1" x14ac:dyDescent="0.2"/>
  </sheetData>
  <mergeCells count="6">
    <mergeCell ref="D8:D9"/>
    <mergeCell ref="G8:G9"/>
    <mergeCell ref="J8:J9"/>
    <mergeCell ref="B6:D7"/>
    <mergeCell ref="E6:G7"/>
    <mergeCell ref="H7:J7"/>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G52"/>
  <sheetViews>
    <sheetView showGridLines="0" showZeros="0" workbookViewId="0"/>
  </sheetViews>
  <sheetFormatPr defaultColWidth="15.83203125" defaultRowHeight="12" x14ac:dyDescent="0.2"/>
  <cols>
    <col min="1" max="1" width="33.83203125" style="2" customWidth="1"/>
    <col min="2" max="2" width="21.83203125" style="2" customWidth="1"/>
    <col min="3" max="3" width="12.83203125" style="2" customWidth="1"/>
    <col min="4" max="4" width="15.33203125" style="2" customWidth="1"/>
    <col min="5" max="5" width="20.83203125" style="2" customWidth="1"/>
    <col min="6" max="6" width="12.83203125" style="2" customWidth="1"/>
    <col min="7" max="7" width="15.33203125" style="2" customWidth="1"/>
    <col min="8" max="16384" width="15.83203125" style="2"/>
  </cols>
  <sheetData>
    <row r="1" spans="1:7" ht="6.95" customHeight="1" x14ac:dyDescent="0.2">
      <c r="A1" s="7"/>
      <c r="B1" s="89"/>
      <c r="C1" s="89"/>
      <c r="D1" s="89"/>
      <c r="E1" s="89"/>
      <c r="F1" s="89"/>
      <c r="G1" s="89"/>
    </row>
    <row r="2" spans="1:7" ht="15.95" customHeight="1" x14ac:dyDescent="0.2">
      <c r="A2" s="134"/>
      <c r="B2" s="90" t="s">
        <v>263</v>
      </c>
      <c r="C2" s="201"/>
      <c r="D2" s="91"/>
      <c r="E2" s="91"/>
      <c r="F2" s="91"/>
      <c r="G2" s="395" t="s">
        <v>398</v>
      </c>
    </row>
    <row r="3" spans="1:7" ht="15.95" customHeight="1" x14ac:dyDescent="0.2">
      <c r="A3" s="541"/>
      <c r="B3" s="202" t="str">
        <f>OPYEAR</f>
        <v>OPERATING FUND 2017/2018 ACTUAL</v>
      </c>
      <c r="C3" s="94"/>
      <c r="D3" s="203"/>
      <c r="E3" s="94"/>
      <c r="F3" s="94"/>
      <c r="G3" s="96"/>
    </row>
    <row r="4" spans="1:7" ht="15.95" customHeight="1" x14ac:dyDescent="0.2">
      <c r="B4" s="89"/>
      <c r="C4" s="89"/>
      <c r="D4" s="89"/>
      <c r="E4" s="89"/>
      <c r="F4" s="89"/>
      <c r="G4" s="89"/>
    </row>
    <row r="5" spans="1:7" ht="15.95" customHeight="1" x14ac:dyDescent="0.2">
      <c r="B5" s="188" t="s">
        <v>13</v>
      </c>
      <c r="C5" s="175"/>
      <c r="D5" s="176"/>
      <c r="E5" s="176"/>
      <c r="F5" s="176"/>
      <c r="G5" s="177"/>
    </row>
    <row r="6" spans="1:7" ht="15.95" customHeight="1" x14ac:dyDescent="0.2">
      <c r="B6" s="309"/>
      <c r="C6" s="312"/>
      <c r="D6" s="310"/>
      <c r="E6" s="638" t="s">
        <v>478</v>
      </c>
      <c r="F6" s="646"/>
      <c r="G6" s="639"/>
    </row>
    <row r="7" spans="1:7" ht="15.95" customHeight="1" x14ac:dyDescent="0.2">
      <c r="B7" s="643" t="s">
        <v>19</v>
      </c>
      <c r="C7" s="645"/>
      <c r="D7" s="644"/>
      <c r="E7" s="640"/>
      <c r="F7" s="647"/>
      <c r="G7" s="641"/>
    </row>
    <row r="8" spans="1:7" ht="15.95" customHeight="1" x14ac:dyDescent="0.2">
      <c r="A8" s="67"/>
      <c r="B8" s="137"/>
      <c r="C8" s="138"/>
      <c r="D8" s="591" t="s">
        <v>476</v>
      </c>
      <c r="E8" s="137"/>
      <c r="F8" s="139"/>
      <c r="G8" s="591" t="s">
        <v>477</v>
      </c>
    </row>
    <row r="9" spans="1:7" ht="15.95" customHeight="1" x14ac:dyDescent="0.2">
      <c r="A9" s="35" t="s">
        <v>42</v>
      </c>
      <c r="B9" s="77" t="s">
        <v>43</v>
      </c>
      <c r="C9" s="77" t="s">
        <v>44</v>
      </c>
      <c r="D9" s="593"/>
      <c r="E9" s="77" t="s">
        <v>43</v>
      </c>
      <c r="F9" s="77" t="s">
        <v>44</v>
      </c>
      <c r="G9" s="593"/>
    </row>
    <row r="10" spans="1:7" ht="5.0999999999999996" customHeight="1" x14ac:dyDescent="0.2">
      <c r="A10" s="6"/>
    </row>
    <row r="11" spans="1:7" ht="14.1" customHeight="1" x14ac:dyDescent="0.2">
      <c r="A11" s="284" t="s">
        <v>110</v>
      </c>
      <c r="B11" s="285">
        <v>1307888</v>
      </c>
      <c r="C11" s="291">
        <f>B11/'- 3 -'!D11*100</f>
        <v>6.6089703332883944</v>
      </c>
      <c r="D11" s="285">
        <f>B11/'- 7 -'!C11</f>
        <v>727.33177622066512</v>
      </c>
      <c r="E11" s="285">
        <v>0</v>
      </c>
      <c r="F11" s="291">
        <f>E11/'- 3 -'!D11*100</f>
        <v>0</v>
      </c>
      <c r="G11" s="285" t="str">
        <f>IF('- 7 -'!B11=0,"",E11/'- 7 -'!B11)</f>
        <v/>
      </c>
    </row>
    <row r="12" spans="1:7" ht="14.1" customHeight="1" x14ac:dyDescent="0.2">
      <c r="A12" s="19" t="s">
        <v>111</v>
      </c>
      <c r="B12" s="20">
        <v>2665301</v>
      </c>
      <c r="C12" s="70">
        <f>B12/'- 3 -'!D12*100</f>
        <v>7.8287463480379165</v>
      </c>
      <c r="D12" s="20">
        <f>B12/'- 7 -'!C12</f>
        <v>1287.2740883844483</v>
      </c>
      <c r="E12" s="20">
        <v>1313917</v>
      </c>
      <c r="F12" s="70">
        <f>E12/'- 3 -'!D12*100</f>
        <v>3.859347561635603</v>
      </c>
      <c r="G12" s="20">
        <f>IF('- 7 -'!B12=0,"",E12/'- 7 -'!B12)</f>
        <v>7225.6764188297402</v>
      </c>
    </row>
    <row r="13" spans="1:7" ht="14.1" customHeight="1" x14ac:dyDescent="0.2">
      <c r="A13" s="284" t="s">
        <v>112</v>
      </c>
      <c r="B13" s="285">
        <v>6870203</v>
      </c>
      <c r="C13" s="291">
        <f>B13/'- 3 -'!D13*100</f>
        <v>6.9422681868309448</v>
      </c>
      <c r="D13" s="285">
        <f>B13/'- 7 -'!C13</f>
        <v>814.72632340409677</v>
      </c>
      <c r="E13" s="285">
        <v>3655171</v>
      </c>
      <c r="F13" s="291">
        <f>E13/'- 3 -'!D13*100</f>
        <v>3.6935120186007677</v>
      </c>
      <c r="G13" s="285">
        <f>IF('- 7 -'!B13=0,"",E13/'- 7 -'!B13)</f>
        <v>8224.428479588556</v>
      </c>
    </row>
    <row r="14" spans="1:7" ht="14.1" customHeight="1" x14ac:dyDescent="0.2">
      <c r="A14" s="19" t="s">
        <v>359</v>
      </c>
      <c r="B14" s="20">
        <v>6738858</v>
      </c>
      <c r="C14" s="70">
        <f>B14/'- 3 -'!D14*100</f>
        <v>7.6522707640975502</v>
      </c>
      <c r="D14" s="20">
        <f>B14/'- 7 -'!C14</f>
        <v>1201.7322857112288</v>
      </c>
      <c r="E14" s="20">
        <v>220528</v>
      </c>
      <c r="F14" s="70">
        <f>E14/'- 3 -'!D14*100</f>
        <v>0.2504192798045165</v>
      </c>
      <c r="G14" s="20">
        <f>IF('- 7 -'!B14=0,"",E14/'- 7 -'!B14)</f>
        <v>12515.777525539163</v>
      </c>
    </row>
    <row r="15" spans="1:7" ht="14.1" customHeight="1" x14ac:dyDescent="0.2">
      <c r="A15" s="284" t="s">
        <v>113</v>
      </c>
      <c r="B15" s="285">
        <v>1660460</v>
      </c>
      <c r="C15" s="291">
        <f>B15/'- 3 -'!D15*100</f>
        <v>8.3100108590761366</v>
      </c>
      <c r="D15" s="285">
        <f>B15/'- 7 -'!C15</f>
        <v>1203.4062907667778</v>
      </c>
      <c r="E15" s="285">
        <v>121248</v>
      </c>
      <c r="F15" s="291">
        <f>E15/'- 3 -'!D15*100</f>
        <v>0.60680305255246347</v>
      </c>
      <c r="G15" s="285">
        <f>IF('- 7 -'!B15=0,"",E15/'- 7 -'!B15)</f>
        <v>6062.4</v>
      </c>
    </row>
    <row r="16" spans="1:7" ht="14.1" customHeight="1" x14ac:dyDescent="0.2">
      <c r="A16" s="19" t="s">
        <v>114</v>
      </c>
      <c r="B16" s="20">
        <v>1218202</v>
      </c>
      <c r="C16" s="70">
        <f>B16/'- 3 -'!D16*100</f>
        <v>8.4212300367679891</v>
      </c>
      <c r="D16" s="20">
        <f>B16/'- 7 -'!C16</f>
        <v>1334.4309343849272</v>
      </c>
      <c r="E16" s="20">
        <v>0</v>
      </c>
      <c r="F16" s="70">
        <f>E16/'- 3 -'!D16*100</f>
        <v>0</v>
      </c>
      <c r="G16" s="20" t="str">
        <f>IF('- 7 -'!B16=0,"",E16/'- 7 -'!B16)</f>
        <v/>
      </c>
    </row>
    <row r="17" spans="1:7" ht="14.1" customHeight="1" x14ac:dyDescent="0.2">
      <c r="A17" s="284" t="s">
        <v>115</v>
      </c>
      <c r="B17" s="285">
        <v>1310063</v>
      </c>
      <c r="C17" s="291">
        <f>B17/'- 3 -'!D17*100</f>
        <v>7.1438351857970375</v>
      </c>
      <c r="D17" s="285">
        <f>B17/'- 7 -'!C17</f>
        <v>937.91265660956276</v>
      </c>
      <c r="E17" s="285">
        <v>214392</v>
      </c>
      <c r="F17" s="291">
        <f>E17/'- 3 -'!D17*100</f>
        <v>1.1690896645072784</v>
      </c>
      <c r="G17" s="285">
        <f>IF('- 7 -'!B17=0,"",E17/'- 7 -'!B17)</f>
        <v>9620.1538461538457</v>
      </c>
    </row>
    <row r="18" spans="1:7" ht="14.1" customHeight="1" x14ac:dyDescent="0.2">
      <c r="A18" s="19" t="s">
        <v>116</v>
      </c>
      <c r="B18" s="20">
        <v>7520791</v>
      </c>
      <c r="C18" s="70">
        <f>B18/'- 3 -'!D18*100</f>
        <v>5.6516023169913954</v>
      </c>
      <c r="D18" s="20">
        <f>B18/'- 7 -'!C18</f>
        <v>1234.5153559527912</v>
      </c>
      <c r="E18" s="20">
        <v>682877</v>
      </c>
      <c r="F18" s="70">
        <f>E18/'- 3 -'!D18*100</f>
        <v>0.5131573574402124</v>
      </c>
      <c r="G18" s="20">
        <f>IF('- 7 -'!B18=0,"",E18/'- 7 -'!B18)</f>
        <v>14007.733333333334</v>
      </c>
    </row>
    <row r="19" spans="1:7" ht="14.1" customHeight="1" x14ac:dyDescent="0.2">
      <c r="A19" s="284" t="s">
        <v>117</v>
      </c>
      <c r="B19" s="285">
        <v>3007289</v>
      </c>
      <c r="C19" s="291">
        <f>B19/'- 3 -'!D19*100</f>
        <v>6.1092332379420258</v>
      </c>
      <c r="D19" s="285">
        <f>B19/'- 7 -'!C19</f>
        <v>678.29506495849864</v>
      </c>
      <c r="E19" s="285">
        <v>1315983</v>
      </c>
      <c r="F19" s="291">
        <f>E19/'- 3 -'!D19*100</f>
        <v>2.6733869222966802</v>
      </c>
      <c r="G19" s="285">
        <f>IF('- 7 -'!B19=0,"",E19/'- 7 -'!B19)</f>
        <v>10122.946153846155</v>
      </c>
    </row>
    <row r="20" spans="1:7" ht="14.1" customHeight="1" x14ac:dyDescent="0.2">
      <c r="A20" s="19" t="s">
        <v>118</v>
      </c>
      <c r="B20" s="20">
        <v>6213706</v>
      </c>
      <c r="C20" s="70">
        <f>B20/'- 3 -'!D20*100</f>
        <v>7.3269013993546297</v>
      </c>
      <c r="D20" s="20">
        <f>B20/'- 7 -'!C20</f>
        <v>797.34453997176956</v>
      </c>
      <c r="E20" s="20">
        <v>2871831</v>
      </c>
      <c r="F20" s="70">
        <f>E20/'- 3 -'!D20*100</f>
        <v>3.3863241313010306</v>
      </c>
      <c r="G20" s="20">
        <f>IF('- 7 -'!B20=0,"",E20/'- 7 -'!B20)</f>
        <v>7478.7265625</v>
      </c>
    </row>
    <row r="21" spans="1:7" ht="14.1" customHeight="1" x14ac:dyDescent="0.2">
      <c r="A21" s="284" t="s">
        <v>119</v>
      </c>
      <c r="B21" s="285">
        <v>3097371</v>
      </c>
      <c r="C21" s="291">
        <f>B21/'- 3 -'!D21*100</f>
        <v>8.4132404903878086</v>
      </c>
      <c r="D21" s="285">
        <f>B21/'- 7 -'!C21</f>
        <v>1113.2812163036447</v>
      </c>
      <c r="E21" s="285">
        <v>0</v>
      </c>
      <c r="F21" s="291">
        <f>E21/'- 3 -'!D21*100</f>
        <v>0</v>
      </c>
      <c r="G21" s="285" t="str">
        <f>IF('- 7 -'!B21=0,"",E21/'- 7 -'!B21)</f>
        <v/>
      </c>
    </row>
    <row r="22" spans="1:7" ht="14.1" customHeight="1" x14ac:dyDescent="0.2">
      <c r="A22" s="19" t="s">
        <v>120</v>
      </c>
      <c r="B22" s="20">
        <v>1542004</v>
      </c>
      <c r="C22" s="70">
        <f>B22/'- 3 -'!D22*100</f>
        <v>7.4771120713879062</v>
      </c>
      <c r="D22" s="20">
        <f>B22/'- 7 -'!C22</f>
        <v>1032.5458684880139</v>
      </c>
      <c r="E22" s="20">
        <v>0</v>
      </c>
      <c r="F22" s="70">
        <f>E22/'- 3 -'!D22*100</f>
        <v>0</v>
      </c>
      <c r="G22" s="20" t="str">
        <f>IF('- 7 -'!B22=0,"",E22/'- 7 -'!B22)</f>
        <v/>
      </c>
    </row>
    <row r="23" spans="1:7" ht="14.1" customHeight="1" x14ac:dyDescent="0.2">
      <c r="A23" s="284" t="s">
        <v>121</v>
      </c>
      <c r="B23" s="285">
        <v>1087674</v>
      </c>
      <c r="C23" s="291">
        <f>B23/'- 3 -'!D23*100</f>
        <v>6.5666093606576492</v>
      </c>
      <c r="D23" s="285">
        <f>B23/'- 7 -'!C23</f>
        <v>1043.3323741007193</v>
      </c>
      <c r="E23" s="285">
        <v>139021</v>
      </c>
      <c r="F23" s="291">
        <f>E23/'- 3 -'!D23*100</f>
        <v>0.83931085962152918</v>
      </c>
      <c r="G23" s="285">
        <f>IF('- 7 -'!B23=0,"",E23/'- 7 -'!B23)</f>
        <v>9930.0714285714294</v>
      </c>
    </row>
    <row r="24" spans="1:7" ht="14.1" customHeight="1" x14ac:dyDescent="0.2">
      <c r="A24" s="19" t="s">
        <v>122</v>
      </c>
      <c r="B24" s="20">
        <v>4495997</v>
      </c>
      <c r="C24" s="70">
        <f>B24/'- 3 -'!D24*100</f>
        <v>7.7689143859361129</v>
      </c>
      <c r="D24" s="20">
        <f>B24/'- 7 -'!C24</f>
        <v>1155.3971680415284</v>
      </c>
      <c r="E24" s="20">
        <v>1980850</v>
      </c>
      <c r="F24" s="70">
        <f>E24/'- 3 -'!D24*100</f>
        <v>3.4228345929460251</v>
      </c>
      <c r="G24" s="20">
        <f>IF('- 7 -'!B24=0,"",E24/'- 7 -'!B24)</f>
        <v>7987.2983870967746</v>
      </c>
    </row>
    <row r="25" spans="1:7" ht="14.1" customHeight="1" x14ac:dyDescent="0.2">
      <c r="A25" s="284" t="s">
        <v>123</v>
      </c>
      <c r="B25" s="285">
        <v>14385294</v>
      </c>
      <c r="C25" s="291">
        <f>B25/'- 3 -'!D25*100</f>
        <v>7.6906735218419939</v>
      </c>
      <c r="D25" s="285">
        <f>B25/'- 7 -'!C25</f>
        <v>983.49552530646019</v>
      </c>
      <c r="E25" s="285">
        <v>1235644</v>
      </c>
      <c r="F25" s="291">
        <f>E25/'- 3 -'!D25*100</f>
        <v>0.66060065183394434</v>
      </c>
      <c r="G25" s="285">
        <f>IF('- 7 -'!B25=0,"",E25/'- 7 -'!B25)</f>
        <v>14833.661464585835</v>
      </c>
    </row>
    <row r="26" spans="1:7" ht="14.1" customHeight="1" x14ac:dyDescent="0.2">
      <c r="A26" s="19" t="s">
        <v>124</v>
      </c>
      <c r="B26" s="20">
        <v>3566684</v>
      </c>
      <c r="C26" s="70">
        <f>B26/'- 3 -'!D26*100</f>
        <v>8.745222955392542</v>
      </c>
      <c r="D26" s="20">
        <f>B26/'- 7 -'!C26</f>
        <v>1206.9996615905245</v>
      </c>
      <c r="E26" s="20">
        <v>796940</v>
      </c>
      <c r="F26" s="70">
        <f>E26/'- 3 -'!D26*100</f>
        <v>1.9540329286447955</v>
      </c>
      <c r="G26" s="20">
        <f>IF('- 7 -'!B26=0,"",E26/'- 7 -'!B26)</f>
        <v>5218.9914865749843</v>
      </c>
    </row>
    <row r="27" spans="1:7" ht="14.1" customHeight="1" x14ac:dyDescent="0.2">
      <c r="A27" s="284" t="s">
        <v>125</v>
      </c>
      <c r="B27" s="285">
        <v>2729873</v>
      </c>
      <c r="C27" s="291">
        <f>B27/'- 3 -'!D27*100</f>
        <v>6.6670641040438632</v>
      </c>
      <c r="D27" s="285">
        <f>B27/'- 7 -'!C27</f>
        <v>900.6806559107855</v>
      </c>
      <c r="E27" s="285">
        <v>1069202</v>
      </c>
      <c r="F27" s="291">
        <f>E27/'- 3 -'!D27*100</f>
        <v>2.6112710276895319</v>
      </c>
      <c r="G27" s="285">
        <f>IF('- 7 -'!B27=0,"",E27/'- 7 -'!B27)</f>
        <v>5717.6577540106955</v>
      </c>
    </row>
    <row r="28" spans="1:7" ht="14.1" customHeight="1" x14ac:dyDescent="0.2">
      <c r="A28" s="19" t="s">
        <v>126</v>
      </c>
      <c r="B28" s="20">
        <v>2204373</v>
      </c>
      <c r="C28" s="70">
        <f>B28/'- 3 -'!D28*100</f>
        <v>7.6284426736655586</v>
      </c>
      <c r="D28" s="20">
        <f>B28/'- 7 -'!C28</f>
        <v>1130.7376250320594</v>
      </c>
      <c r="E28" s="20">
        <v>0</v>
      </c>
      <c r="F28" s="70">
        <f>E28/'- 3 -'!D28*100</f>
        <v>0</v>
      </c>
      <c r="G28" s="20" t="str">
        <f>IF('- 7 -'!B28=0,"",E28/'- 7 -'!B28)</f>
        <v/>
      </c>
    </row>
    <row r="29" spans="1:7" ht="14.1" customHeight="1" x14ac:dyDescent="0.2">
      <c r="A29" s="284" t="s">
        <v>127</v>
      </c>
      <c r="B29" s="285">
        <v>12291335</v>
      </c>
      <c r="C29" s="291">
        <f>B29/'- 3 -'!D29*100</f>
        <v>7.5480791739807733</v>
      </c>
      <c r="D29" s="285">
        <f>B29/'- 7 -'!C29</f>
        <v>917.75007653308842</v>
      </c>
      <c r="E29" s="285">
        <v>0</v>
      </c>
      <c r="F29" s="291">
        <f>E29/'- 3 -'!D29*100</f>
        <v>0</v>
      </c>
      <c r="G29" s="285" t="str">
        <f>IF('- 7 -'!B29=0,"",E29/'- 7 -'!B29)</f>
        <v/>
      </c>
    </row>
    <row r="30" spans="1:7" ht="14.1" customHeight="1" x14ac:dyDescent="0.2">
      <c r="A30" s="19" t="s">
        <v>128</v>
      </c>
      <c r="B30" s="20">
        <v>1103743</v>
      </c>
      <c r="C30" s="70">
        <f>B30/'- 3 -'!D30*100</f>
        <v>7.5091239410962558</v>
      </c>
      <c r="D30" s="20">
        <f>B30/'- 7 -'!C30</f>
        <v>1095.852859412232</v>
      </c>
      <c r="E30" s="20">
        <v>0</v>
      </c>
      <c r="F30" s="70">
        <f>E30/'- 3 -'!D30*100</f>
        <v>0</v>
      </c>
      <c r="G30" s="20" t="str">
        <f>IF('- 7 -'!B30=0,"",E30/'- 7 -'!B30)</f>
        <v/>
      </c>
    </row>
    <row r="31" spans="1:7" ht="14.1" customHeight="1" x14ac:dyDescent="0.2">
      <c r="A31" s="284" t="s">
        <v>129</v>
      </c>
      <c r="B31" s="285">
        <v>3031939</v>
      </c>
      <c r="C31" s="291">
        <f>B31/'- 3 -'!D31*100</f>
        <v>7.9719856893667478</v>
      </c>
      <c r="D31" s="285">
        <f>B31/'- 7 -'!C31</f>
        <v>915.88297486708552</v>
      </c>
      <c r="E31" s="285">
        <v>904612</v>
      </c>
      <c r="F31" s="291">
        <f>E31/'- 3 -'!D31*100</f>
        <v>2.3785286967941746</v>
      </c>
      <c r="G31" s="285">
        <f>IF('- 7 -'!B31=0,"",E31/'- 7 -'!B31)</f>
        <v>8005.4159292035401</v>
      </c>
    </row>
    <row r="32" spans="1:7" ht="14.1" customHeight="1" x14ac:dyDescent="0.2">
      <c r="A32" s="19" t="s">
        <v>130</v>
      </c>
      <c r="B32" s="20">
        <v>2390931</v>
      </c>
      <c r="C32" s="70">
        <f>B32/'- 3 -'!D32*100</f>
        <v>7.6154830072362234</v>
      </c>
      <c r="D32" s="20">
        <f>B32/'- 7 -'!C32</f>
        <v>1093.4969128744569</v>
      </c>
      <c r="E32" s="20">
        <v>0</v>
      </c>
      <c r="F32" s="70">
        <f>E32/'- 3 -'!D32*100</f>
        <v>0</v>
      </c>
      <c r="G32" s="20" t="str">
        <f>IF('- 7 -'!B32=0,"",E32/'- 7 -'!B32)</f>
        <v/>
      </c>
    </row>
    <row r="33" spans="1:7" ht="14.1" customHeight="1" x14ac:dyDescent="0.2">
      <c r="A33" s="284" t="s">
        <v>131</v>
      </c>
      <c r="B33" s="285">
        <v>2895475</v>
      </c>
      <c r="C33" s="291">
        <f>B33/'- 3 -'!D33*100</f>
        <v>10.213589860383907</v>
      </c>
      <c r="D33" s="285">
        <f>B33/'- 7 -'!C33</f>
        <v>1382.3522390909959</v>
      </c>
      <c r="E33" s="285">
        <v>0</v>
      </c>
      <c r="F33" s="291">
        <f>E33/'- 3 -'!D33*100</f>
        <v>0</v>
      </c>
      <c r="G33" s="285" t="str">
        <f>IF('- 7 -'!B33=0,"",E33/'- 7 -'!B33)</f>
        <v/>
      </c>
    </row>
    <row r="34" spans="1:7" ht="14.1" customHeight="1" x14ac:dyDescent="0.2">
      <c r="A34" s="19" t="s">
        <v>132</v>
      </c>
      <c r="B34" s="20">
        <v>2717657</v>
      </c>
      <c r="C34" s="70">
        <f>B34/'- 3 -'!D34*100</f>
        <v>8.8400526918023665</v>
      </c>
      <c r="D34" s="20">
        <f>B34/'- 7 -'!C34</f>
        <v>1295.9614119083271</v>
      </c>
      <c r="E34" s="20">
        <v>355912</v>
      </c>
      <c r="F34" s="70">
        <f>E34/'- 3 -'!D34*100</f>
        <v>1.157718149731465</v>
      </c>
      <c r="G34" s="20">
        <f>IF('- 7 -'!B34=0,"",E34/'- 7 -'!B34)</f>
        <v>14056.5560821485</v>
      </c>
    </row>
    <row r="35" spans="1:7" ht="14.1" customHeight="1" x14ac:dyDescent="0.2">
      <c r="A35" s="284" t="s">
        <v>133</v>
      </c>
      <c r="B35" s="285">
        <v>13575065</v>
      </c>
      <c r="C35" s="291">
        <f>B35/'- 3 -'!D35*100</f>
        <v>7.2080902176499899</v>
      </c>
      <c r="D35" s="285">
        <f>B35/'- 7 -'!C35</f>
        <v>855.98492969291885</v>
      </c>
      <c r="E35" s="285">
        <v>3945623</v>
      </c>
      <c r="F35" s="291">
        <f>E35/'- 3 -'!D35*100</f>
        <v>2.0950475411229932</v>
      </c>
      <c r="G35" s="285">
        <f>IF('- 7 -'!B35=0,"",E35/'- 7 -'!B35)</f>
        <v>5933.2676691729321</v>
      </c>
    </row>
    <row r="36" spans="1:7" ht="14.1" customHeight="1" x14ac:dyDescent="0.2">
      <c r="A36" s="19" t="s">
        <v>134</v>
      </c>
      <c r="B36" s="20">
        <v>2002451</v>
      </c>
      <c r="C36" s="70">
        <f>B36/'- 3 -'!D36*100</f>
        <v>8.4620383459519743</v>
      </c>
      <c r="D36" s="20">
        <f>B36/'- 7 -'!C36</f>
        <v>1184.3216229004022</v>
      </c>
      <c r="E36" s="20">
        <v>135468</v>
      </c>
      <c r="F36" s="70">
        <f>E36/'- 3 -'!D36*100</f>
        <v>0.57246614806026319</v>
      </c>
      <c r="G36" s="20">
        <f>IF('- 7 -'!B36=0,"",E36/'- 7 -'!B36)</f>
        <v>21502.857142857145</v>
      </c>
    </row>
    <row r="37" spans="1:7" ht="14.1" customHeight="1" x14ac:dyDescent="0.2">
      <c r="A37" s="284" t="s">
        <v>135</v>
      </c>
      <c r="B37" s="285">
        <v>4599637</v>
      </c>
      <c r="C37" s="291">
        <f>B37/'- 3 -'!D37*100</f>
        <v>8.7758332028143116</v>
      </c>
      <c r="D37" s="285">
        <f>B37/'- 7 -'!C37</f>
        <v>1096.4569725864123</v>
      </c>
      <c r="E37" s="285">
        <v>0</v>
      </c>
      <c r="F37" s="291">
        <f>E37/'- 3 -'!D37*100</f>
        <v>0</v>
      </c>
      <c r="G37" s="285" t="str">
        <f>IF('- 7 -'!B37=0,"",E37/'- 7 -'!B37)</f>
        <v/>
      </c>
    </row>
    <row r="38" spans="1:7" ht="14.1" customHeight="1" x14ac:dyDescent="0.2">
      <c r="A38" s="19" t="s">
        <v>136</v>
      </c>
      <c r="B38" s="20">
        <v>10570904</v>
      </c>
      <c r="C38" s="70">
        <f>B38/'- 3 -'!D38*100</f>
        <v>7.5048587319803044</v>
      </c>
      <c r="D38" s="20">
        <f>B38/'- 7 -'!C38</f>
        <v>954.98355798070315</v>
      </c>
      <c r="E38" s="20">
        <v>1443320</v>
      </c>
      <c r="F38" s="70">
        <f>E38/'- 3 -'!D38*100</f>
        <v>1.0246912378583528</v>
      </c>
      <c r="G38" s="20">
        <f>IF('- 7 -'!B38=0,"",E38/'- 7 -'!B38)</f>
        <v>7216.6</v>
      </c>
    </row>
    <row r="39" spans="1:7" ht="14.1" customHeight="1" x14ac:dyDescent="0.2">
      <c r="A39" s="284" t="s">
        <v>137</v>
      </c>
      <c r="B39" s="285">
        <v>1438138</v>
      </c>
      <c r="C39" s="291">
        <f>B39/'- 3 -'!D39*100</f>
        <v>6.4516079830045605</v>
      </c>
      <c r="D39" s="285">
        <f>B39/'- 7 -'!C39</f>
        <v>950.52081956378061</v>
      </c>
      <c r="E39" s="285">
        <v>0</v>
      </c>
      <c r="F39" s="291">
        <f>E39/'- 3 -'!D39*100</f>
        <v>0</v>
      </c>
      <c r="G39" s="285" t="str">
        <f>IF('- 7 -'!B39=0,"",E39/'- 7 -'!B39)</f>
        <v/>
      </c>
    </row>
    <row r="40" spans="1:7" ht="14.1" customHeight="1" x14ac:dyDescent="0.2">
      <c r="A40" s="19" t="s">
        <v>138</v>
      </c>
      <c r="B40" s="20">
        <v>8659036</v>
      </c>
      <c r="C40" s="70">
        <f>B40/'- 3 -'!D40*100</f>
        <v>8.1742065612749393</v>
      </c>
      <c r="D40" s="20">
        <f>B40/'- 7 -'!C40</f>
        <v>1065.4521292958129</v>
      </c>
      <c r="E40" s="20">
        <v>1787859</v>
      </c>
      <c r="F40" s="70">
        <f>E40/'- 3 -'!D40*100</f>
        <v>1.6877547071561374</v>
      </c>
      <c r="G40" s="20">
        <f>IF('- 7 -'!B40=0,"",E40/'- 7 -'!B40)</f>
        <v>6852.6600229973174</v>
      </c>
    </row>
    <row r="41" spans="1:7" ht="14.1" customHeight="1" x14ac:dyDescent="0.2">
      <c r="A41" s="284" t="s">
        <v>139</v>
      </c>
      <c r="B41" s="285">
        <v>4174542</v>
      </c>
      <c r="C41" s="291">
        <f>B41/'- 3 -'!D41*100</f>
        <v>6.4287157687996812</v>
      </c>
      <c r="D41" s="285">
        <f>B41/'- 7 -'!C41</f>
        <v>939.04892588010352</v>
      </c>
      <c r="E41" s="285">
        <v>0</v>
      </c>
      <c r="F41" s="291">
        <f>E41/'- 3 -'!D41*100</f>
        <v>0</v>
      </c>
      <c r="G41" s="285" t="str">
        <f>IF('- 7 -'!B41=0,"",E41/'- 7 -'!B41)</f>
        <v/>
      </c>
    </row>
    <row r="42" spans="1:7" ht="14.1" customHeight="1" x14ac:dyDescent="0.2">
      <c r="A42" s="19" t="s">
        <v>140</v>
      </c>
      <c r="B42" s="20">
        <v>1828591</v>
      </c>
      <c r="C42" s="70">
        <f>B42/'- 3 -'!D42*100</f>
        <v>8.7621077941982257</v>
      </c>
      <c r="D42" s="20">
        <f>B42/'- 7 -'!C42</f>
        <v>1295.0361189801699</v>
      </c>
      <c r="E42" s="20">
        <v>1130184</v>
      </c>
      <c r="F42" s="70">
        <f>E42/'- 3 -'!D42*100</f>
        <v>5.4155325249211703</v>
      </c>
      <c r="G42" s="20">
        <f>IF('- 7 -'!B42=0,"",E42/'- 7 -'!B42)</f>
        <v>9819.148566463944</v>
      </c>
    </row>
    <row r="43" spans="1:7" ht="14.1" customHeight="1" x14ac:dyDescent="0.2">
      <c r="A43" s="284" t="s">
        <v>141</v>
      </c>
      <c r="B43" s="285">
        <v>764444</v>
      </c>
      <c r="C43" s="291">
        <f>B43/'- 3 -'!D43*100</f>
        <v>5.682935996755174</v>
      </c>
      <c r="D43" s="285">
        <f>B43/'- 7 -'!C43</f>
        <v>788.89989680082556</v>
      </c>
      <c r="E43" s="285">
        <v>128688</v>
      </c>
      <c r="F43" s="291">
        <f>E43/'- 3 -'!D43*100</f>
        <v>0.95667657480525692</v>
      </c>
      <c r="G43" s="285">
        <f>IF('- 7 -'!B43=0,"",E43/'- 7 -'!B43)</f>
        <v>9192</v>
      </c>
    </row>
    <row r="44" spans="1:7" ht="14.1" customHeight="1" x14ac:dyDescent="0.2">
      <c r="A44" s="19" t="s">
        <v>142</v>
      </c>
      <c r="B44" s="20">
        <v>674123</v>
      </c>
      <c r="C44" s="70">
        <f>B44/'- 3 -'!D44*100</f>
        <v>6.1495874188167665</v>
      </c>
      <c r="D44" s="20">
        <f>B44/'- 7 -'!C44</f>
        <v>971.35878962536026</v>
      </c>
      <c r="E44" s="20">
        <v>0</v>
      </c>
      <c r="F44" s="70">
        <f>E44/'- 3 -'!D44*100</f>
        <v>0</v>
      </c>
      <c r="G44" s="20" t="str">
        <f>IF('- 7 -'!B44=0,"",E44/'- 7 -'!B44)</f>
        <v/>
      </c>
    </row>
    <row r="45" spans="1:7" ht="14.1" customHeight="1" x14ac:dyDescent="0.2">
      <c r="A45" s="284" t="s">
        <v>143</v>
      </c>
      <c r="B45" s="285">
        <v>1327993</v>
      </c>
      <c r="C45" s="291">
        <f>B45/'- 3 -'!D45*100</f>
        <v>6.6552811312313596</v>
      </c>
      <c r="D45" s="285">
        <f>B45/'- 7 -'!C45</f>
        <v>768.51446759259261</v>
      </c>
      <c r="E45" s="285">
        <v>333182</v>
      </c>
      <c r="F45" s="291">
        <f>E45/'- 3 -'!D45*100</f>
        <v>1.6697526853424127</v>
      </c>
      <c r="G45" s="285">
        <f>IF('- 7 -'!B45=0,"",E45/'- 7 -'!B45)</f>
        <v>8329.5499999999993</v>
      </c>
    </row>
    <row r="46" spans="1:7" ht="14.1" customHeight="1" x14ac:dyDescent="0.2">
      <c r="A46" s="19" t="s">
        <v>144</v>
      </c>
      <c r="B46" s="20">
        <v>28582671</v>
      </c>
      <c r="C46" s="70">
        <f>B46/'- 3 -'!D46*100</f>
        <v>7.2017875171874648</v>
      </c>
      <c r="D46" s="20">
        <f>B46/'- 7 -'!C46</f>
        <v>955.97094895832993</v>
      </c>
      <c r="E46" s="20">
        <v>5291804</v>
      </c>
      <c r="F46" s="70">
        <f>E46/'- 3 -'!D46*100</f>
        <v>1.3333410299759141</v>
      </c>
      <c r="G46" s="20">
        <f>IF('- 7 -'!B46=0,"",E46/'- 7 -'!B46)</f>
        <v>8127.4827215481491</v>
      </c>
    </row>
    <row r="47" spans="1:7" ht="5.0999999999999996" customHeight="1" x14ac:dyDescent="0.2">
      <c r="A47" s="21"/>
      <c r="B47" s="22"/>
      <c r="C47"/>
      <c r="D47" s="22"/>
      <c r="E47" s="22"/>
      <c r="F47"/>
      <c r="G47" s="22"/>
    </row>
    <row r="48" spans="1:7" ht="14.1" customHeight="1" x14ac:dyDescent="0.2">
      <c r="A48" s="286" t="s">
        <v>145</v>
      </c>
      <c r="B48" s="287">
        <f>SUM(B11:B46)</f>
        <v>174250706</v>
      </c>
      <c r="C48" s="294">
        <f>B48/'- 3 -'!D48*100</f>
        <v>7.393217970709216</v>
      </c>
      <c r="D48" s="287">
        <f>B48/'- 7 -'!C48</f>
        <v>982.36459301583045</v>
      </c>
      <c r="E48" s="287">
        <f>SUM(E11:E46)</f>
        <v>31074256</v>
      </c>
      <c r="F48" s="294">
        <f>E48/'- 3 -'!D48*100</f>
        <v>1.3184379745676249</v>
      </c>
      <c r="G48" s="287">
        <f>E48/'- 7 -'!B48</f>
        <v>7720.9944019897403</v>
      </c>
    </row>
    <row r="49" spans="1:7" ht="5.0999999999999996" customHeight="1" x14ac:dyDescent="0.2">
      <c r="A49" s="21" t="s">
        <v>7</v>
      </c>
      <c r="B49" s="22"/>
      <c r="C49"/>
      <c r="D49" s="22"/>
      <c r="E49" s="22"/>
      <c r="F49"/>
    </row>
    <row r="50" spans="1:7" ht="14.1" customHeight="1" x14ac:dyDescent="0.2">
      <c r="A50" s="19" t="s">
        <v>146</v>
      </c>
      <c r="B50" s="20">
        <v>266364</v>
      </c>
      <c r="C50" s="70">
        <f>B50/'- 3 -'!D50*100</f>
        <v>8.2283973061331164</v>
      </c>
      <c r="D50" s="20">
        <f>B50/'- 7 -'!C50</f>
        <v>1624.1707317073171</v>
      </c>
      <c r="E50" s="20">
        <v>0</v>
      </c>
      <c r="F50" s="70">
        <f>E50/'- 3 -'!D50*100</f>
        <v>0</v>
      </c>
      <c r="G50" s="20" t="str">
        <f>IF('- 7 -'!B50=0,"",E50/'- 7 -'!B50)</f>
        <v/>
      </c>
    </row>
    <row r="51" spans="1:7" ht="14.1" customHeight="1" x14ac:dyDescent="0.2">
      <c r="A51" s="284" t="s">
        <v>607</v>
      </c>
      <c r="B51" s="285">
        <v>1607885</v>
      </c>
      <c r="C51" s="291">
        <f>B51/'- 3 -'!D51*100</f>
        <v>5.2975538805199527</v>
      </c>
      <c r="D51" s="285">
        <f>B51/'- 7 -'!C51</f>
        <v>1477.8354779411766</v>
      </c>
      <c r="E51" s="285">
        <v>4988796</v>
      </c>
      <c r="F51" s="291">
        <f>E51/'- 3 -'!D51*100</f>
        <v>16.43675736070827</v>
      </c>
      <c r="G51" s="285">
        <f>IF('- 7 -'!B51=0,"",E51/'- 7 -'!B51)</f>
        <v>5180.4735202492211</v>
      </c>
    </row>
    <row r="52" spans="1:7" ht="50.1" customHeight="1" x14ac:dyDescent="0.2">
      <c r="B52" s="85"/>
      <c r="C52" s="85"/>
      <c r="D52" s="85"/>
      <c r="E52" s="85"/>
      <c r="F52" s="85"/>
      <c r="G52" s="85"/>
    </row>
  </sheetData>
  <mergeCells count="4">
    <mergeCell ref="D8:D9"/>
    <mergeCell ref="G8:G9"/>
    <mergeCell ref="B7:D7"/>
    <mergeCell ref="E6:G7"/>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53"/>
  <sheetViews>
    <sheetView showGridLines="0" showZeros="0" workbookViewId="0"/>
  </sheetViews>
  <sheetFormatPr defaultColWidth="15.83203125" defaultRowHeight="12" x14ac:dyDescent="0.2"/>
  <cols>
    <col min="1" max="1" width="32.83203125" style="2" customWidth="1"/>
    <col min="2" max="2" width="16.83203125" style="2" customWidth="1"/>
    <col min="3" max="3" width="7.83203125" style="2" customWidth="1"/>
    <col min="4" max="4" width="9.83203125" style="2" customWidth="1"/>
    <col min="5" max="5" width="14.83203125" style="2" customWidth="1"/>
    <col min="6" max="6" width="7.83203125" style="2" customWidth="1"/>
    <col min="7" max="7" width="9.83203125" style="2" customWidth="1"/>
    <col min="8" max="8" width="14.83203125" style="2" customWidth="1"/>
    <col min="9" max="9" width="7.83203125" style="2" customWidth="1"/>
    <col min="10" max="10" width="9.83203125" style="2" customWidth="1"/>
    <col min="11" max="16384" width="15.83203125" style="2"/>
  </cols>
  <sheetData>
    <row r="1" spans="1:10" ht="6.95" customHeight="1" x14ac:dyDescent="0.2">
      <c r="A1" s="7"/>
      <c r="B1" s="7"/>
      <c r="C1" s="7"/>
      <c r="D1" s="7"/>
      <c r="E1" s="7"/>
      <c r="F1" s="7"/>
      <c r="G1" s="7"/>
      <c r="H1" s="89"/>
      <c r="I1" s="89"/>
      <c r="J1" s="89"/>
    </row>
    <row r="2" spans="1:10" ht="15.95" customHeight="1" x14ac:dyDescent="0.2">
      <c r="A2" s="134"/>
      <c r="B2" s="90" t="s">
        <v>263</v>
      </c>
      <c r="C2" s="91"/>
      <c r="D2" s="91"/>
      <c r="E2" s="169"/>
      <c r="F2" s="169"/>
      <c r="G2" s="169"/>
      <c r="H2" s="169"/>
      <c r="I2" s="63"/>
      <c r="J2" s="395" t="s">
        <v>399</v>
      </c>
    </row>
    <row r="3" spans="1:10" ht="15.95" customHeight="1" x14ac:dyDescent="0.2">
      <c r="A3" s="541"/>
      <c r="B3" s="74" t="str">
        <f>OPYEAR</f>
        <v>OPERATING FUND 2017/2018 ACTUAL</v>
      </c>
      <c r="C3" s="94"/>
      <c r="D3" s="94"/>
      <c r="E3" s="29"/>
      <c r="F3" s="29"/>
      <c r="G3" s="29"/>
      <c r="H3" s="29"/>
      <c r="I3" s="65"/>
      <c r="J3" s="186"/>
    </row>
    <row r="4" spans="1:10" ht="15.95" customHeight="1" x14ac:dyDescent="0.2">
      <c r="H4" s="89"/>
      <c r="I4" s="89"/>
      <c r="J4" s="89"/>
    </row>
    <row r="5" spans="1:10" ht="15.95" customHeight="1" x14ac:dyDescent="0.2">
      <c r="B5" s="188" t="s">
        <v>13</v>
      </c>
      <c r="C5" s="39"/>
      <c r="D5" s="39"/>
      <c r="E5" s="39"/>
      <c r="F5" s="39"/>
      <c r="G5" s="39"/>
      <c r="H5" s="39"/>
      <c r="I5" s="198"/>
      <c r="J5" s="199"/>
    </row>
    <row r="6" spans="1:10" ht="15.95" customHeight="1" x14ac:dyDescent="0.2">
      <c r="B6" s="324" t="s">
        <v>244</v>
      </c>
      <c r="C6" s="325"/>
      <c r="D6" s="325"/>
      <c r="E6" s="325"/>
      <c r="F6" s="325"/>
      <c r="G6" s="326"/>
      <c r="H6" s="327"/>
      <c r="I6" s="325"/>
      <c r="J6" s="326"/>
    </row>
    <row r="7" spans="1:10" ht="15.95" customHeight="1" x14ac:dyDescent="0.2">
      <c r="B7" s="648" t="s">
        <v>20</v>
      </c>
      <c r="C7" s="649"/>
      <c r="D7" s="650"/>
      <c r="E7" s="648" t="s">
        <v>21</v>
      </c>
      <c r="F7" s="649"/>
      <c r="G7" s="650"/>
      <c r="H7" s="648" t="s">
        <v>22</v>
      </c>
      <c r="I7" s="649"/>
      <c r="J7" s="650"/>
    </row>
    <row r="8" spans="1:10" ht="15.95" customHeight="1" x14ac:dyDescent="0.2">
      <c r="A8" s="67"/>
      <c r="B8" s="200"/>
      <c r="C8" s="191"/>
      <c r="D8" s="591" t="s">
        <v>476</v>
      </c>
      <c r="E8" s="200"/>
      <c r="F8" s="191"/>
      <c r="G8" s="591" t="s">
        <v>476</v>
      </c>
      <c r="H8" s="179"/>
      <c r="I8" s="178"/>
      <c r="J8" s="591" t="s">
        <v>476</v>
      </c>
    </row>
    <row r="9" spans="1:10" ht="15.95" customHeight="1" x14ac:dyDescent="0.2">
      <c r="A9" s="35" t="s">
        <v>42</v>
      </c>
      <c r="B9" s="101" t="s">
        <v>43</v>
      </c>
      <c r="C9" s="101" t="s">
        <v>44</v>
      </c>
      <c r="D9" s="593"/>
      <c r="E9" s="101" t="s">
        <v>43</v>
      </c>
      <c r="F9" s="101" t="s">
        <v>44</v>
      </c>
      <c r="G9" s="593"/>
      <c r="H9" s="180" t="s">
        <v>43</v>
      </c>
      <c r="I9" s="101" t="s">
        <v>44</v>
      </c>
      <c r="J9" s="593"/>
    </row>
    <row r="10" spans="1:10" ht="5.0999999999999996" customHeight="1" x14ac:dyDescent="0.2">
      <c r="A10" s="6"/>
      <c r="B10" s="85"/>
      <c r="C10" s="85"/>
      <c r="D10" s="85"/>
      <c r="E10" s="85"/>
      <c r="F10" s="85"/>
      <c r="G10" s="85"/>
      <c r="H10" s="85"/>
      <c r="I10" s="85"/>
      <c r="J10" s="85"/>
    </row>
    <row r="11" spans="1:10" ht="14.1" customHeight="1" x14ac:dyDescent="0.2">
      <c r="A11" s="284" t="s">
        <v>110</v>
      </c>
      <c r="B11" s="285">
        <v>11423709</v>
      </c>
      <c r="C11" s="291">
        <f>B11/'- 3 -'!D11*100</f>
        <v>57.725855636812653</v>
      </c>
      <c r="D11" s="285">
        <f>B11/'- 6 -'!B11</f>
        <v>6352.8578578578581</v>
      </c>
      <c r="E11" s="285">
        <v>0</v>
      </c>
      <c r="F11" s="291">
        <f>E11/'- 3 -'!D11*100</f>
        <v>0</v>
      </c>
      <c r="G11" s="285" t="str">
        <f>IF('- 6 -'!C11=0,"",E11/'- 6 -'!C11)</f>
        <v/>
      </c>
      <c r="H11" s="285">
        <v>0</v>
      </c>
      <c r="I11" s="291">
        <f>H11/'- 3 -'!D11*100</f>
        <v>0</v>
      </c>
      <c r="J11" s="285" t="str">
        <f>IF('- 6 -'!D11=0,"",H11/'- 6 -'!D11)</f>
        <v/>
      </c>
    </row>
    <row r="12" spans="1:10" ht="14.1" customHeight="1" x14ac:dyDescent="0.2">
      <c r="A12" s="19" t="s">
        <v>111</v>
      </c>
      <c r="B12" s="20">
        <v>15438521</v>
      </c>
      <c r="C12" s="70">
        <f>B12/'- 3 -'!D12*100</f>
        <v>45.347322834402824</v>
      </c>
      <c r="D12" s="20">
        <f>B12/'- 6 -'!B12</f>
        <v>8174.3251829339315</v>
      </c>
      <c r="E12" s="20">
        <v>0</v>
      </c>
      <c r="F12" s="70">
        <f>E12/'- 3 -'!D12*100</f>
        <v>0</v>
      </c>
      <c r="G12" s="20" t="str">
        <f>IF('- 6 -'!C12=0,"",E12/'- 6 -'!C12)</f>
        <v/>
      </c>
      <c r="H12" s="20">
        <v>0</v>
      </c>
      <c r="I12" s="70">
        <f>H12/'- 3 -'!D12*100</f>
        <v>0</v>
      </c>
      <c r="J12" s="20" t="str">
        <f>IF('- 6 -'!D12=0,"",H12/'- 6 -'!D12)</f>
        <v/>
      </c>
    </row>
    <row r="13" spans="1:10" ht="14.1" customHeight="1" x14ac:dyDescent="0.2">
      <c r="A13" s="284" t="s">
        <v>112</v>
      </c>
      <c r="B13" s="285">
        <v>40180914</v>
      </c>
      <c r="C13" s="291">
        <f>B13/'- 3 -'!D13*100</f>
        <v>40.602392823034506</v>
      </c>
      <c r="D13" s="285">
        <f>B13/'- 6 -'!B13</f>
        <v>6412.9395429009192</v>
      </c>
      <c r="E13" s="285">
        <v>0</v>
      </c>
      <c r="F13" s="291">
        <f>E13/'- 3 -'!D13*100</f>
        <v>0</v>
      </c>
      <c r="G13" s="285" t="str">
        <f>IF('- 6 -'!C13=0,"",E13/'- 6 -'!C13)</f>
        <v/>
      </c>
      <c r="H13" s="285">
        <v>1896564</v>
      </c>
      <c r="I13" s="291">
        <f>H13/'- 3 -'!D13*100</f>
        <v>1.9164580612085036</v>
      </c>
      <c r="J13" s="285">
        <f>IF('- 6 -'!D13=0,"",H13/'- 6 -'!D13)</f>
        <v>5594.5840707964599</v>
      </c>
    </row>
    <row r="14" spans="1:10" ht="14.1" customHeight="1" x14ac:dyDescent="0.2">
      <c r="A14" s="19" t="s">
        <v>359</v>
      </c>
      <c r="B14" s="20">
        <v>0</v>
      </c>
      <c r="C14" s="70">
        <f>B14/'- 3 -'!D14*100</f>
        <v>0</v>
      </c>
      <c r="D14" s="20"/>
      <c r="E14" s="20">
        <v>42011854</v>
      </c>
      <c r="F14" s="70">
        <f>E14/'- 3 -'!D14*100</f>
        <v>47.706314943827984</v>
      </c>
      <c r="G14" s="20">
        <f>IF('- 6 -'!C14=0,"",E14/'- 6 -'!C14)</f>
        <v>7515.5373881932019</v>
      </c>
      <c r="H14" s="20">
        <v>0</v>
      </c>
      <c r="I14" s="70">
        <f>H14/'- 3 -'!D14*100</f>
        <v>0</v>
      </c>
      <c r="J14" s="20" t="str">
        <f>IF('- 6 -'!D14=0,"",H14/'- 6 -'!D14)</f>
        <v/>
      </c>
    </row>
    <row r="15" spans="1:10" ht="14.1" customHeight="1" x14ac:dyDescent="0.2">
      <c r="A15" s="284" t="s">
        <v>113</v>
      </c>
      <c r="B15" s="285">
        <v>8843237</v>
      </c>
      <c r="C15" s="291">
        <f>B15/'- 3 -'!D15*100</f>
        <v>44.257251303484502</v>
      </c>
      <c r="D15" s="285">
        <f>B15/'- 6 -'!B15</f>
        <v>6503.336520076482</v>
      </c>
      <c r="E15" s="285">
        <v>0</v>
      </c>
      <c r="F15" s="291">
        <f>E15/'- 3 -'!D15*100</f>
        <v>0</v>
      </c>
      <c r="G15" s="285" t="str">
        <f>IF('- 6 -'!C15=0,"",E15/'- 6 -'!C15)</f>
        <v/>
      </c>
      <c r="H15" s="285">
        <v>0</v>
      </c>
      <c r="I15" s="291">
        <f>H15/'- 3 -'!D15*100</f>
        <v>0</v>
      </c>
      <c r="J15" s="285" t="str">
        <f>IF('- 6 -'!D15=0,"",H15/'- 6 -'!D15)</f>
        <v/>
      </c>
    </row>
    <row r="16" spans="1:10" ht="14.1" customHeight="1" x14ac:dyDescent="0.2">
      <c r="A16" s="19" t="s">
        <v>114</v>
      </c>
      <c r="B16" s="20">
        <v>4046220</v>
      </c>
      <c r="C16" s="70">
        <f>B16/'- 3 -'!D16*100</f>
        <v>27.970853273407343</v>
      </c>
      <c r="D16" s="20">
        <f>B16/'- 6 -'!B16</f>
        <v>7452.9747651501202</v>
      </c>
      <c r="E16" s="20">
        <v>0</v>
      </c>
      <c r="F16" s="70">
        <f>E16/'- 3 -'!D16*100</f>
        <v>0</v>
      </c>
      <c r="G16" s="20" t="str">
        <f>IF('- 6 -'!C16=0,"",E16/'- 6 -'!C16)</f>
        <v/>
      </c>
      <c r="H16" s="20">
        <v>0</v>
      </c>
      <c r="I16" s="70">
        <f>H16/'- 3 -'!D16*100</f>
        <v>0</v>
      </c>
      <c r="J16" s="20" t="str">
        <f>IF('- 6 -'!D16=0,"",H16/'- 6 -'!D16)</f>
        <v/>
      </c>
    </row>
    <row r="17" spans="1:10" ht="14.1" customHeight="1" x14ac:dyDescent="0.2">
      <c r="A17" s="284" t="s">
        <v>115</v>
      </c>
      <c r="B17" s="285">
        <v>9134770</v>
      </c>
      <c r="C17" s="291">
        <f>B17/'- 3 -'!D17*100</f>
        <v>49.812330659031815</v>
      </c>
      <c r="D17" s="285">
        <f>B17/'- 6 -'!B17</f>
        <v>6645.8857766460533</v>
      </c>
      <c r="E17" s="285">
        <v>0</v>
      </c>
      <c r="F17" s="291">
        <f>E17/'- 3 -'!D17*100</f>
        <v>0</v>
      </c>
      <c r="G17" s="285" t="str">
        <f>IF('- 6 -'!C17=0,"",E17/'- 6 -'!C17)</f>
        <v/>
      </c>
      <c r="H17" s="285">
        <v>0</v>
      </c>
      <c r="I17" s="291">
        <f>H17/'- 3 -'!D17*100</f>
        <v>0</v>
      </c>
      <c r="J17" s="285" t="str">
        <f>IF('- 6 -'!D17=0,"",H17/'- 6 -'!D17)</f>
        <v/>
      </c>
    </row>
    <row r="18" spans="1:10" ht="14.1" customHeight="1" x14ac:dyDescent="0.2">
      <c r="A18" s="19" t="s">
        <v>116</v>
      </c>
      <c r="B18" s="20">
        <v>48341705</v>
      </c>
      <c r="C18" s="70">
        <f>B18/'- 3 -'!D18*100</f>
        <v>36.327042193475997</v>
      </c>
      <c r="D18" s="20">
        <f>B18/'- 6 -'!B18</f>
        <v>7999.1569245534347</v>
      </c>
      <c r="E18" s="20">
        <v>0</v>
      </c>
      <c r="F18" s="70">
        <f>E18/'- 3 -'!D18*100</f>
        <v>0</v>
      </c>
      <c r="G18" s="20" t="str">
        <f>IF('- 6 -'!C18=0,"",E18/'- 6 -'!C18)</f>
        <v/>
      </c>
      <c r="H18" s="20">
        <v>0</v>
      </c>
      <c r="I18" s="70">
        <f>H18/'- 3 -'!D18*100</f>
        <v>0</v>
      </c>
      <c r="J18" s="20" t="str">
        <f>IF('- 6 -'!D18=0,"",H18/'- 6 -'!D18)</f>
        <v/>
      </c>
    </row>
    <row r="19" spans="1:10" ht="14.1" customHeight="1" x14ac:dyDescent="0.2">
      <c r="A19" s="284" t="s">
        <v>117</v>
      </c>
      <c r="B19" s="285">
        <v>24588286</v>
      </c>
      <c r="C19" s="291">
        <f>B19/'- 3 -'!D19*100</f>
        <v>49.95049497910729</v>
      </c>
      <c r="D19" s="285">
        <f>B19/'- 6 -'!B19</f>
        <v>5713.4227158657859</v>
      </c>
      <c r="E19" s="285">
        <v>0</v>
      </c>
      <c r="F19" s="291">
        <f>E19/'- 3 -'!D19*100</f>
        <v>0</v>
      </c>
      <c r="G19" s="285" t="str">
        <f>IF('- 6 -'!C19=0,"",E19/'- 6 -'!C19)</f>
        <v/>
      </c>
      <c r="H19" s="285">
        <v>0</v>
      </c>
      <c r="I19" s="291">
        <f>H19/'- 3 -'!D19*100</f>
        <v>0</v>
      </c>
      <c r="J19" s="285" t="str">
        <f>IF('- 6 -'!D19=0,"",H19/'- 6 -'!D19)</f>
        <v/>
      </c>
    </row>
    <row r="20" spans="1:10" ht="14.1" customHeight="1" x14ac:dyDescent="0.2">
      <c r="A20" s="19" t="s">
        <v>118</v>
      </c>
      <c r="B20" s="20">
        <v>44175492</v>
      </c>
      <c r="C20" s="70">
        <f>B20/'- 3 -'!D20*100</f>
        <v>52.089602268272628</v>
      </c>
      <c r="D20" s="20">
        <f>B20/'- 6 -'!B20</f>
        <v>5962.4095019570796</v>
      </c>
      <c r="E20" s="20">
        <v>0</v>
      </c>
      <c r="F20" s="70">
        <f>E20/'- 3 -'!D20*100</f>
        <v>0</v>
      </c>
      <c r="G20" s="20" t="str">
        <f>IF('- 6 -'!C20=0,"",E20/'- 6 -'!C20)</f>
        <v/>
      </c>
      <c r="H20" s="20">
        <v>0</v>
      </c>
      <c r="I20" s="70">
        <f>H20/'- 3 -'!D20*100</f>
        <v>0</v>
      </c>
      <c r="J20" s="20" t="str">
        <f>IF('- 6 -'!D20=0,"",H20/'- 6 -'!D20)</f>
        <v/>
      </c>
    </row>
    <row r="21" spans="1:10" ht="14.1" customHeight="1" x14ac:dyDescent="0.2">
      <c r="A21" s="284" t="s">
        <v>119</v>
      </c>
      <c r="B21" s="285">
        <v>14430434</v>
      </c>
      <c r="C21" s="291">
        <f>B21/'- 3 -'!D21*100</f>
        <v>39.196696689763321</v>
      </c>
      <c r="D21" s="285">
        <f>B21/'- 6 -'!B21</f>
        <v>6990.8119368278276</v>
      </c>
      <c r="E21" s="285">
        <v>0</v>
      </c>
      <c r="F21" s="291">
        <f>E21/'- 3 -'!D21*100</f>
        <v>0</v>
      </c>
      <c r="G21" s="285" t="str">
        <f>IF('- 6 -'!C21=0,"",E21/'- 6 -'!C21)</f>
        <v/>
      </c>
      <c r="H21" s="285">
        <v>0</v>
      </c>
      <c r="I21" s="291">
        <f>H21/'- 3 -'!D21*100</f>
        <v>0</v>
      </c>
      <c r="J21" s="285" t="str">
        <f>IF('- 6 -'!D21=0,"",H21/'- 6 -'!D21)</f>
        <v/>
      </c>
    </row>
    <row r="22" spans="1:10" ht="14.1" customHeight="1" x14ac:dyDescent="0.2">
      <c r="A22" s="19" t="s">
        <v>120</v>
      </c>
      <c r="B22" s="20">
        <v>4730953</v>
      </c>
      <c r="C22" s="70">
        <f>B22/'- 3 -'!D22*100</f>
        <v>22.940190677500723</v>
      </c>
      <c r="D22" s="20">
        <f>B22/'- 6 -'!B22</f>
        <v>5492.1674019038774</v>
      </c>
      <c r="E22" s="20">
        <v>0</v>
      </c>
      <c r="F22" s="70">
        <f>E22/'- 3 -'!D22*100</f>
        <v>0</v>
      </c>
      <c r="G22" s="20" t="str">
        <f>IF('- 6 -'!C22=0,"",E22/'- 6 -'!C22)</f>
        <v/>
      </c>
      <c r="H22" s="20">
        <v>0</v>
      </c>
      <c r="I22" s="70">
        <f>H22/'- 3 -'!D22*100</f>
        <v>0</v>
      </c>
      <c r="J22" s="20" t="str">
        <f>IF('- 6 -'!D22=0,"",H22/'- 6 -'!D22)</f>
        <v/>
      </c>
    </row>
    <row r="23" spans="1:10" ht="14.1" customHeight="1" x14ac:dyDescent="0.2">
      <c r="A23" s="284" t="s">
        <v>121</v>
      </c>
      <c r="B23" s="285">
        <v>7219115</v>
      </c>
      <c r="C23" s="291">
        <f>B23/'- 3 -'!D23*100</f>
        <v>43.583930602978512</v>
      </c>
      <c r="D23" s="285">
        <f>B23/'- 6 -'!B23</f>
        <v>7019.0714632960626</v>
      </c>
      <c r="E23" s="285">
        <v>0</v>
      </c>
      <c r="F23" s="291">
        <f>E23/'- 3 -'!D23*100</f>
        <v>0</v>
      </c>
      <c r="G23" s="285" t="str">
        <f>IF('- 6 -'!C23=0,"",E23/'- 6 -'!C23)</f>
        <v/>
      </c>
      <c r="H23" s="285">
        <v>0</v>
      </c>
      <c r="I23" s="291">
        <f>H23/'- 3 -'!D23*100</f>
        <v>0</v>
      </c>
      <c r="J23" s="285" t="str">
        <f>IF('- 6 -'!D23=0,"",H23/'- 6 -'!D23)</f>
        <v/>
      </c>
    </row>
    <row r="24" spans="1:10" ht="14.1" customHeight="1" x14ac:dyDescent="0.2">
      <c r="A24" s="19" t="s">
        <v>122</v>
      </c>
      <c r="B24" s="20">
        <v>21366921</v>
      </c>
      <c r="C24" s="70">
        <f>B24/'- 3 -'!D24*100</f>
        <v>36.92123903553771</v>
      </c>
      <c r="D24" s="20">
        <f>B24/'- 6 -'!B24</f>
        <v>7728.1976996527774</v>
      </c>
      <c r="E24" s="20">
        <v>0</v>
      </c>
      <c r="F24" s="70">
        <f>E24/'- 3 -'!D24*100</f>
        <v>0</v>
      </c>
      <c r="G24" s="20" t="str">
        <f>IF('- 6 -'!C24=0,"",E24/'- 6 -'!C24)</f>
        <v/>
      </c>
      <c r="H24" s="20">
        <v>1717285</v>
      </c>
      <c r="I24" s="70">
        <f>H24/'- 3 -'!D24*100</f>
        <v>2.9674041466781</v>
      </c>
      <c r="J24" s="20">
        <f>IF('- 6 -'!D24=0,"",H24/'- 6 -'!D24)</f>
        <v>7666.4508928571431</v>
      </c>
    </row>
    <row r="25" spans="1:10" ht="14.1" customHeight="1" x14ac:dyDescent="0.2">
      <c r="A25" s="284" t="s">
        <v>123</v>
      </c>
      <c r="B25" s="285">
        <v>57923230</v>
      </c>
      <c r="C25" s="291">
        <f>B25/'- 3 -'!D25*100</f>
        <v>30.966947999850667</v>
      </c>
      <c r="D25" s="285">
        <f>B25/'- 6 -'!B25</f>
        <v>6018.6857718804231</v>
      </c>
      <c r="E25" s="285">
        <v>0</v>
      </c>
      <c r="F25" s="291">
        <f>E25/'- 3 -'!D25*100</f>
        <v>0</v>
      </c>
      <c r="G25" s="285" t="str">
        <f>IF('- 6 -'!C25=0,"",E25/'- 6 -'!C25)</f>
        <v/>
      </c>
      <c r="H25" s="285">
        <v>24279799</v>
      </c>
      <c r="I25" s="291">
        <f>H25/'- 3 -'!D25*100</f>
        <v>12.980479042343223</v>
      </c>
      <c r="J25" s="285">
        <f>IF('- 6 -'!D25=0,"",H25/'- 6 -'!D25)</f>
        <v>5585.4149988497811</v>
      </c>
    </row>
    <row r="26" spans="1:10" ht="14.1" customHeight="1" x14ac:dyDescent="0.2">
      <c r="A26" s="19" t="s">
        <v>124</v>
      </c>
      <c r="B26" s="20">
        <v>15322394</v>
      </c>
      <c r="C26" s="70">
        <f>B26/'- 3 -'!D26*100</f>
        <v>37.569280525095287</v>
      </c>
      <c r="D26" s="20">
        <f>B26/'- 6 -'!B26</f>
        <v>7042.1886202775986</v>
      </c>
      <c r="E26" s="20">
        <v>0</v>
      </c>
      <c r="F26" s="70">
        <f>E26/'- 3 -'!D26*100</f>
        <v>0</v>
      </c>
      <c r="G26" s="20" t="str">
        <f>IF('- 6 -'!C26=0,"",E26/'- 6 -'!C26)</f>
        <v/>
      </c>
      <c r="H26" s="20">
        <v>977634</v>
      </c>
      <c r="I26" s="70">
        <f>H26/'- 3 -'!D26*100</f>
        <v>2.3970801166495916</v>
      </c>
      <c r="J26" s="20">
        <f>IF('- 6 -'!D26=0,"",H26/'- 6 -'!D26)</f>
        <v>5889.3614457831327</v>
      </c>
    </row>
    <row r="27" spans="1:10" ht="14.1" customHeight="1" x14ac:dyDescent="0.2">
      <c r="A27" s="284" t="s">
        <v>125</v>
      </c>
      <c r="B27" s="285">
        <v>17195376</v>
      </c>
      <c r="C27" s="291">
        <f>B27/'- 3 -'!D27*100</f>
        <v>41.995607152837273</v>
      </c>
      <c r="D27" s="285">
        <f>B27/'- 6 -'!B27</f>
        <v>6919.9468791500658</v>
      </c>
      <c r="E27" s="285">
        <v>0</v>
      </c>
      <c r="F27" s="291">
        <f>E27/'- 3 -'!D27*100</f>
        <v>0</v>
      </c>
      <c r="G27" s="285" t="str">
        <f>IF('- 6 -'!C27=0,"",E27/'- 6 -'!C27)</f>
        <v/>
      </c>
      <c r="H27" s="285">
        <v>0</v>
      </c>
      <c r="I27" s="291">
        <f>H27/'- 3 -'!D27*100</f>
        <v>0</v>
      </c>
      <c r="J27" s="285" t="str">
        <f>IF('- 6 -'!D27=0,"",H27/'- 6 -'!D27)</f>
        <v/>
      </c>
    </row>
    <row r="28" spans="1:10" ht="14.1" customHeight="1" x14ac:dyDescent="0.2">
      <c r="A28" s="19" t="s">
        <v>126</v>
      </c>
      <c r="B28" s="20">
        <v>15292515</v>
      </c>
      <c r="C28" s="70">
        <f>B28/'- 3 -'!D28*100</f>
        <v>52.921204357733778</v>
      </c>
      <c r="D28" s="20">
        <f>B28/'- 6 -'!B28</f>
        <v>7844.3267504488331</v>
      </c>
      <c r="E28" s="20">
        <v>0</v>
      </c>
      <c r="F28" s="70">
        <f>E28/'- 3 -'!D28*100</f>
        <v>0</v>
      </c>
      <c r="G28" s="20" t="str">
        <f>IF('- 6 -'!C28=0,"",E28/'- 6 -'!C28)</f>
        <v/>
      </c>
      <c r="H28" s="20">
        <v>0</v>
      </c>
      <c r="I28" s="70">
        <f>H28/'- 3 -'!D28*100</f>
        <v>0</v>
      </c>
      <c r="J28" s="20" t="str">
        <f>IF('- 6 -'!D28=0,"",H28/'- 6 -'!D28)</f>
        <v/>
      </c>
    </row>
    <row r="29" spans="1:10" ht="14.1" customHeight="1" x14ac:dyDescent="0.2">
      <c r="A29" s="284" t="s">
        <v>127</v>
      </c>
      <c r="B29" s="285">
        <v>49183318</v>
      </c>
      <c r="C29" s="291">
        <f>B29/'- 3 -'!D29*100</f>
        <v>30.203356942356034</v>
      </c>
      <c r="D29" s="285">
        <f>B29/'- 6 -'!B29</f>
        <v>6199.4476586626333</v>
      </c>
      <c r="E29" s="285">
        <v>0</v>
      </c>
      <c r="F29" s="291">
        <f>E29/'- 3 -'!D29*100</f>
        <v>0</v>
      </c>
      <c r="G29" s="285" t="str">
        <f>IF('- 6 -'!C29=0,"",E29/'- 6 -'!C29)</f>
        <v/>
      </c>
      <c r="H29" s="285">
        <v>7283822</v>
      </c>
      <c r="I29" s="291">
        <f>H29/'- 3 -'!D29*100</f>
        <v>4.47297751995068</v>
      </c>
      <c r="J29" s="285">
        <f>IF('- 6 -'!D29=0,"",H29/'- 6 -'!D29)</f>
        <v>6159.6803382663848</v>
      </c>
    </row>
    <row r="30" spans="1:10" ht="14.1" customHeight="1" x14ac:dyDescent="0.2">
      <c r="A30" s="19" t="s">
        <v>128</v>
      </c>
      <c r="B30" s="20">
        <v>7876351</v>
      </c>
      <c r="C30" s="70">
        <f>B30/'- 3 -'!D30*100</f>
        <v>53.58538705348748</v>
      </c>
      <c r="D30" s="20">
        <f>B30/'- 6 -'!B30</f>
        <v>7820.0466640190625</v>
      </c>
      <c r="E30" s="20">
        <v>0</v>
      </c>
      <c r="F30" s="70">
        <f>E30/'- 3 -'!D30*100</f>
        <v>0</v>
      </c>
      <c r="G30" s="20" t="str">
        <f>IF('- 6 -'!C30=0,"",E30/'- 6 -'!C30)</f>
        <v/>
      </c>
      <c r="H30" s="20">
        <v>0</v>
      </c>
      <c r="I30" s="70">
        <f>H30/'- 3 -'!D30*100</f>
        <v>0</v>
      </c>
      <c r="J30" s="20" t="str">
        <f>IF('- 6 -'!D30=0,"",H30/'- 6 -'!D30)</f>
        <v/>
      </c>
    </row>
    <row r="31" spans="1:10" ht="14.1" customHeight="1" x14ac:dyDescent="0.2">
      <c r="A31" s="284" t="s">
        <v>129</v>
      </c>
      <c r="B31" s="285">
        <v>15177070</v>
      </c>
      <c r="C31" s="291">
        <f>B31/'- 3 -'!D31*100</f>
        <v>39.905613155976219</v>
      </c>
      <c r="D31" s="285">
        <f>B31/'- 6 -'!B31</f>
        <v>6183.6171773142114</v>
      </c>
      <c r="E31" s="285">
        <v>0</v>
      </c>
      <c r="F31" s="291">
        <f>E31/'- 3 -'!D31*100</f>
        <v>0</v>
      </c>
      <c r="G31" s="285" t="str">
        <f>IF('- 6 -'!C31=0,"",E31/'- 6 -'!C31)</f>
        <v/>
      </c>
      <c r="H31" s="285">
        <v>0</v>
      </c>
      <c r="I31" s="291">
        <f>H31/'- 3 -'!D31*100</f>
        <v>0</v>
      </c>
      <c r="J31" s="285" t="str">
        <f>IF('- 6 -'!D31=0,"",H31/'- 6 -'!D31)</f>
        <v/>
      </c>
    </row>
    <row r="32" spans="1:10" ht="14.1" customHeight="1" x14ac:dyDescent="0.2">
      <c r="A32" s="19" t="s">
        <v>130</v>
      </c>
      <c r="B32" s="20">
        <v>13494985</v>
      </c>
      <c r="C32" s="70">
        <f>B32/'- 3 -'!D32*100</f>
        <v>42.983603019245528</v>
      </c>
      <c r="D32" s="20">
        <f>B32/'- 6 -'!B32</f>
        <v>7110.1080084299265</v>
      </c>
      <c r="E32" s="20">
        <v>0</v>
      </c>
      <c r="F32" s="70">
        <f>E32/'- 3 -'!D32*100</f>
        <v>0</v>
      </c>
      <c r="G32" s="20" t="str">
        <f>IF('- 6 -'!C32=0,"",E32/'- 6 -'!C32)</f>
        <v/>
      </c>
      <c r="H32" s="20">
        <v>680424</v>
      </c>
      <c r="I32" s="70">
        <f>H32/'- 3 -'!D32*100</f>
        <v>2.1672551026004934</v>
      </c>
      <c r="J32" s="20">
        <f>IF('- 6 -'!D32=0,"",H32/'- 6 -'!D32)</f>
        <v>5693.9246861924685</v>
      </c>
    </row>
    <row r="33" spans="1:10" ht="14.1" customHeight="1" x14ac:dyDescent="0.2">
      <c r="A33" s="284" t="s">
        <v>131</v>
      </c>
      <c r="B33" s="285">
        <v>11003304</v>
      </c>
      <c r="C33" s="291">
        <f>B33/'- 3 -'!D33*100</f>
        <v>38.813401657801116</v>
      </c>
      <c r="D33" s="285">
        <f>B33/'- 6 -'!B33</f>
        <v>6775.0163167292658</v>
      </c>
      <c r="E33" s="285">
        <v>0</v>
      </c>
      <c r="F33" s="291">
        <f>E33/'- 3 -'!D33*100</f>
        <v>0</v>
      </c>
      <c r="G33" s="285" t="str">
        <f>IF('- 6 -'!C33=0,"",E33/'- 6 -'!C33)</f>
        <v/>
      </c>
      <c r="H33" s="285">
        <v>0</v>
      </c>
      <c r="I33" s="291">
        <f>H33/'- 3 -'!D33*100</f>
        <v>0</v>
      </c>
      <c r="J33" s="285" t="str">
        <f>IF('- 6 -'!D33=0,"",H33/'- 6 -'!D33)</f>
        <v/>
      </c>
    </row>
    <row r="34" spans="1:10" ht="14.1" customHeight="1" x14ac:dyDescent="0.2">
      <c r="A34" s="19" t="s">
        <v>132</v>
      </c>
      <c r="B34" s="20">
        <v>10539423</v>
      </c>
      <c r="C34" s="70">
        <f>B34/'- 3 -'!D34*100</f>
        <v>34.282860074392673</v>
      </c>
      <c r="D34" s="20">
        <f>B34/'- 6 -'!B34</f>
        <v>6475.04024083062</v>
      </c>
      <c r="E34" s="20">
        <v>0</v>
      </c>
      <c r="F34" s="70">
        <f>E34/'- 3 -'!D34*100</f>
        <v>0</v>
      </c>
      <c r="G34" s="20" t="str">
        <f>IF('- 6 -'!C34=0,"",E34/'- 6 -'!C34)</f>
        <v/>
      </c>
      <c r="H34" s="20">
        <v>1754239</v>
      </c>
      <c r="I34" s="70">
        <f>H34/'- 3 -'!D34*100</f>
        <v>5.7062260594382188</v>
      </c>
      <c r="J34" s="20">
        <f>IF('- 6 -'!D34=0,"",H34/'- 6 -'!D34)</f>
        <v>7464.8468085106379</v>
      </c>
    </row>
    <row r="35" spans="1:10" ht="14.1" customHeight="1" x14ac:dyDescent="0.2">
      <c r="A35" s="284" t="s">
        <v>133</v>
      </c>
      <c r="B35" s="285">
        <v>54787271</v>
      </c>
      <c r="C35" s="291">
        <f>B35/'- 3 -'!D35*100</f>
        <v>29.090954050447564</v>
      </c>
      <c r="D35" s="285">
        <f>B35/'- 6 -'!B35</f>
        <v>5925.5105991780229</v>
      </c>
      <c r="E35" s="285">
        <v>0</v>
      </c>
      <c r="F35" s="291">
        <f>E35/'- 3 -'!D35*100</f>
        <v>0</v>
      </c>
      <c r="G35" s="285" t="str">
        <f>IF('- 6 -'!C35=0,"",E35/'- 6 -'!C35)</f>
        <v/>
      </c>
      <c r="H35" s="285">
        <v>6773307</v>
      </c>
      <c r="I35" s="291">
        <f>H35/'- 3 -'!D35*100</f>
        <v>3.5964916505254449</v>
      </c>
      <c r="J35" s="285">
        <f>IF('- 6 -'!D35=0,"",H35/'- 6 -'!D35)</f>
        <v>5354.3928853754942</v>
      </c>
    </row>
    <row r="36" spans="1:10" ht="14.1" customHeight="1" x14ac:dyDescent="0.2">
      <c r="A36" s="19" t="s">
        <v>134</v>
      </c>
      <c r="B36" s="20">
        <v>11742019</v>
      </c>
      <c r="C36" s="70">
        <f>B36/'- 3 -'!D36*100</f>
        <v>49.619898333041185</v>
      </c>
      <c r="D36" s="20">
        <f>B36/'- 6 -'!B36</f>
        <v>6970.6257049569604</v>
      </c>
      <c r="E36" s="20">
        <v>0</v>
      </c>
      <c r="F36" s="70">
        <f>E36/'- 3 -'!D36*100</f>
        <v>0</v>
      </c>
      <c r="G36" s="20" t="str">
        <f>IF('- 6 -'!C36=0,"",E36/'- 6 -'!C36)</f>
        <v/>
      </c>
      <c r="H36" s="20">
        <v>0</v>
      </c>
      <c r="I36" s="70">
        <f>H36/'- 3 -'!D36*100</f>
        <v>0</v>
      </c>
      <c r="J36" s="20" t="str">
        <f>IF('- 6 -'!D36=0,"",H36/'- 6 -'!D36)</f>
        <v/>
      </c>
    </row>
    <row r="37" spans="1:10" ht="14.1" customHeight="1" x14ac:dyDescent="0.2">
      <c r="A37" s="284" t="s">
        <v>135</v>
      </c>
      <c r="B37" s="285">
        <v>13034155</v>
      </c>
      <c r="C37" s="291">
        <f>B37/'- 3 -'!D37*100</f>
        <v>24.86839074901523</v>
      </c>
      <c r="D37" s="285">
        <f>B37/'- 6 -'!B37</f>
        <v>6152.5395326882226</v>
      </c>
      <c r="E37" s="285">
        <v>0</v>
      </c>
      <c r="F37" s="291">
        <f>E37/'- 3 -'!D37*100</f>
        <v>0</v>
      </c>
      <c r="G37" s="285" t="str">
        <f>IF('- 6 -'!C37=0,"",E37/'- 6 -'!C37)</f>
        <v/>
      </c>
      <c r="H37" s="285">
        <v>4493268</v>
      </c>
      <c r="I37" s="291">
        <f>H37/'- 3 -'!D37*100</f>
        <v>8.5728874916744644</v>
      </c>
      <c r="J37" s="285">
        <f>IF('- 6 -'!D37=0,"",H37/'- 6 -'!D37)</f>
        <v>5839.2046783625728</v>
      </c>
    </row>
    <row r="38" spans="1:10" ht="14.1" customHeight="1" x14ac:dyDescent="0.2">
      <c r="A38" s="19" t="s">
        <v>136</v>
      </c>
      <c r="B38" s="20">
        <v>43923080</v>
      </c>
      <c r="C38" s="70">
        <f>B38/'- 3 -'!D38*100</f>
        <v>31.183379441670215</v>
      </c>
      <c r="D38" s="20">
        <f>B38/'- 6 -'!B38</f>
        <v>6837.5540957065905</v>
      </c>
      <c r="E38" s="20">
        <v>0</v>
      </c>
      <c r="F38" s="70">
        <f>E38/'- 3 -'!D38*100</f>
        <v>0</v>
      </c>
      <c r="G38" s="20" t="str">
        <f>IF('- 6 -'!C38=0,"",E38/'- 6 -'!C38)</f>
        <v/>
      </c>
      <c r="H38" s="20">
        <v>3509726</v>
      </c>
      <c r="I38" s="70">
        <f>H38/'- 3 -'!D38*100</f>
        <v>2.491745059642799</v>
      </c>
      <c r="J38" s="20">
        <f>IF('- 6 -'!D38=0,"",H38/'- 6 -'!D38)</f>
        <v>5753.6491803278686</v>
      </c>
    </row>
    <row r="39" spans="1:10" ht="14.1" customHeight="1" x14ac:dyDescent="0.2">
      <c r="A39" s="284" t="s">
        <v>137</v>
      </c>
      <c r="B39" s="285">
        <v>11494786</v>
      </c>
      <c r="C39" s="291">
        <f>B39/'- 3 -'!D39*100</f>
        <v>51.566576448525147</v>
      </c>
      <c r="D39" s="285">
        <f>B39/'- 6 -'!B39</f>
        <v>7597.3469927296765</v>
      </c>
      <c r="E39" s="285">
        <v>0</v>
      </c>
      <c r="F39" s="291">
        <f>E39/'- 3 -'!D39*100</f>
        <v>0</v>
      </c>
      <c r="G39" s="285" t="str">
        <f>IF('- 6 -'!C39=0,"",E39/'- 6 -'!C39)</f>
        <v/>
      </c>
      <c r="H39" s="285">
        <v>0</v>
      </c>
      <c r="I39" s="291">
        <f>H39/'- 3 -'!D39*100</f>
        <v>0</v>
      </c>
      <c r="J39" s="285" t="str">
        <f>IF('- 6 -'!D39=0,"",H39/'- 6 -'!D39)</f>
        <v/>
      </c>
    </row>
    <row r="40" spans="1:10" ht="14.1" customHeight="1" x14ac:dyDescent="0.2">
      <c r="A40" s="19" t="s">
        <v>138</v>
      </c>
      <c r="B40" s="20">
        <v>33988770</v>
      </c>
      <c r="C40" s="70">
        <f>B40/'- 3 -'!D40*100</f>
        <v>32.085699463966286</v>
      </c>
      <c r="D40" s="20">
        <f>B40/'- 6 -'!B40</f>
        <v>6376.2817746928058</v>
      </c>
      <c r="E40" s="20">
        <v>0</v>
      </c>
      <c r="F40" s="70">
        <f>E40/'- 3 -'!D40*100</f>
        <v>0</v>
      </c>
      <c r="G40" s="20" t="str">
        <f>IF('- 6 -'!C40=0,"",E40/'- 6 -'!C40)</f>
        <v/>
      </c>
      <c r="H40" s="20">
        <v>5549565</v>
      </c>
      <c r="I40" s="70">
        <f>H40/'- 3 -'!D40*100</f>
        <v>5.2388384382767033</v>
      </c>
      <c r="J40" s="20">
        <f>IF('- 6 -'!D40=0,"",H40/'- 6 -'!D40)</f>
        <v>5724.1516245487364</v>
      </c>
    </row>
    <row r="41" spans="1:10" ht="14.1" customHeight="1" x14ac:dyDescent="0.2">
      <c r="A41" s="284" t="s">
        <v>139</v>
      </c>
      <c r="B41" s="285">
        <v>14717037</v>
      </c>
      <c r="C41" s="291">
        <f>B41/'- 3 -'!D41*100</f>
        <v>22.663958784438712</v>
      </c>
      <c r="D41" s="285">
        <f>B41/'- 6 -'!B41</f>
        <v>7126.8944309927365</v>
      </c>
      <c r="E41" s="285">
        <v>0</v>
      </c>
      <c r="F41" s="291">
        <f>E41/'- 3 -'!D41*100</f>
        <v>0</v>
      </c>
      <c r="G41" s="285" t="str">
        <f>IF('- 6 -'!C41=0,"",E41/'- 6 -'!C41)</f>
        <v/>
      </c>
      <c r="H41" s="285">
        <v>0</v>
      </c>
      <c r="I41" s="291">
        <f>H41/'- 3 -'!D41*100</f>
        <v>0</v>
      </c>
      <c r="J41" s="285" t="str">
        <f>IF('- 6 -'!D41=0,"",H41/'- 6 -'!D41)</f>
        <v/>
      </c>
    </row>
    <row r="42" spans="1:10" ht="14.1" customHeight="1" x14ac:dyDescent="0.2">
      <c r="A42" s="19" t="s">
        <v>140</v>
      </c>
      <c r="B42" s="20">
        <v>7297990</v>
      </c>
      <c r="C42" s="70">
        <f>B42/'- 3 -'!D42*100</f>
        <v>34.969971448498164</v>
      </c>
      <c r="D42" s="20">
        <f>B42/'- 6 -'!B42</f>
        <v>7096.4507973551144</v>
      </c>
      <c r="E42" s="20">
        <v>0</v>
      </c>
      <c r="F42" s="70">
        <f>E42/'- 3 -'!D42*100</f>
        <v>0</v>
      </c>
      <c r="G42" s="20" t="str">
        <f>IF('- 6 -'!C42=0,"",E42/'- 6 -'!C42)</f>
        <v/>
      </c>
      <c r="H42" s="20">
        <v>0</v>
      </c>
      <c r="I42" s="70">
        <f>H42/'- 3 -'!D42*100</f>
        <v>0</v>
      </c>
      <c r="J42" s="20" t="str">
        <f>IF('- 6 -'!D42=0,"",H42/'- 6 -'!D42)</f>
        <v/>
      </c>
    </row>
    <row r="43" spans="1:10" ht="14.1" customHeight="1" x14ac:dyDescent="0.2">
      <c r="A43" s="284" t="s">
        <v>141</v>
      </c>
      <c r="B43" s="285">
        <v>6407477</v>
      </c>
      <c r="C43" s="291">
        <f>B43/'- 3 -'!D43*100</f>
        <v>47.633681069745919</v>
      </c>
      <c r="D43" s="285">
        <f>B43/'- 6 -'!B43</f>
        <v>6709.4</v>
      </c>
      <c r="E43" s="285">
        <v>0</v>
      </c>
      <c r="F43" s="291">
        <f>E43/'- 3 -'!D43*100</f>
        <v>0</v>
      </c>
      <c r="G43" s="285" t="str">
        <f>IF('- 6 -'!C43=0,"",E43/'- 6 -'!C43)</f>
        <v/>
      </c>
      <c r="H43" s="285">
        <v>0</v>
      </c>
      <c r="I43" s="291">
        <f>H43/'- 3 -'!D43*100</f>
        <v>0</v>
      </c>
      <c r="J43" s="285" t="str">
        <f>IF('- 6 -'!D43=0,"",H43/'- 6 -'!D43)</f>
        <v/>
      </c>
    </row>
    <row r="44" spans="1:10" ht="14.1" customHeight="1" x14ac:dyDescent="0.2">
      <c r="A44" s="19" t="s">
        <v>142</v>
      </c>
      <c r="B44" s="20">
        <v>5148065</v>
      </c>
      <c r="C44" s="70">
        <f>B44/'- 3 -'!D44*100</f>
        <v>46.962461976895817</v>
      </c>
      <c r="D44" s="20">
        <f>B44/'- 6 -'!B44</f>
        <v>7758.9525244913339</v>
      </c>
      <c r="E44" s="20">
        <v>0</v>
      </c>
      <c r="F44" s="70">
        <f>E44/'- 3 -'!D44*100</f>
        <v>0</v>
      </c>
      <c r="G44" s="20" t="str">
        <f>IF('- 6 -'!C44=0,"",E44/'- 6 -'!C44)</f>
        <v/>
      </c>
      <c r="H44" s="20">
        <v>363513</v>
      </c>
      <c r="I44" s="70">
        <f>H44/'- 3 -'!D44*100</f>
        <v>3.3160936081046621</v>
      </c>
      <c r="J44" s="20">
        <f>IF('- 6 -'!D44=0,"",H44/'- 6 -'!D44)</f>
        <v>11918.459016393443</v>
      </c>
    </row>
    <row r="45" spans="1:10" ht="14.1" customHeight="1" x14ac:dyDescent="0.2">
      <c r="A45" s="284" t="s">
        <v>143</v>
      </c>
      <c r="B45" s="285">
        <v>5280478</v>
      </c>
      <c r="C45" s="291">
        <f>B45/'- 3 -'!D45*100</f>
        <v>26.463291295422721</v>
      </c>
      <c r="D45" s="285">
        <f>B45/'- 6 -'!B45</f>
        <v>7121.3459204315577</v>
      </c>
      <c r="E45" s="285">
        <v>0</v>
      </c>
      <c r="F45" s="291">
        <f>E45/'- 3 -'!D45*100</f>
        <v>0</v>
      </c>
      <c r="G45" s="285" t="str">
        <f>IF('- 6 -'!C45=0,"",E45/'- 6 -'!C45)</f>
        <v/>
      </c>
      <c r="H45" s="285">
        <v>0</v>
      </c>
      <c r="I45" s="291">
        <f>H45/'- 3 -'!D45*100</f>
        <v>0</v>
      </c>
      <c r="J45" s="285" t="str">
        <f>IF('- 6 -'!D45=0,"",H45/'- 6 -'!D45)</f>
        <v/>
      </c>
    </row>
    <row r="46" spans="1:10" ht="14.1" customHeight="1" x14ac:dyDescent="0.2">
      <c r="A46" s="19" t="s">
        <v>144</v>
      </c>
      <c r="B46" s="20">
        <v>135837260</v>
      </c>
      <c r="C46" s="70">
        <f>B46/'- 3 -'!D46*100</f>
        <v>34.226020494618858</v>
      </c>
      <c r="D46" s="20">
        <f>B46/'- 6 -'!B46</f>
        <v>6184.5410672008738</v>
      </c>
      <c r="E46" s="20">
        <v>0</v>
      </c>
      <c r="F46" s="70">
        <f>E46/'- 3 -'!D46*100</f>
        <v>0</v>
      </c>
      <c r="G46" s="20" t="str">
        <f>IF('- 6 -'!C46=0,"",E46/'- 6 -'!C46)</f>
        <v/>
      </c>
      <c r="H46" s="20">
        <v>7581231</v>
      </c>
      <c r="I46" s="70">
        <f>H46/'- 3 -'!D46*100</f>
        <v>1.9101928850776277</v>
      </c>
      <c r="J46" s="20">
        <f>IF('- 6 -'!D46=0,"",H46/'- 6 -'!D46)</f>
        <v>5663.9753455360478</v>
      </c>
    </row>
    <row r="47" spans="1:10" ht="5.0999999999999996" customHeight="1" x14ac:dyDescent="0.2">
      <c r="A47" s="21"/>
      <c r="B47" s="22"/>
      <c r="C47"/>
      <c r="D47" s="22"/>
      <c r="E47" s="22"/>
      <c r="F47"/>
      <c r="G47" s="22"/>
      <c r="H47" s="22"/>
      <c r="I47"/>
      <c r="J47"/>
    </row>
    <row r="48" spans="1:10" ht="14.1" customHeight="1" x14ac:dyDescent="0.2">
      <c r="A48" s="286" t="s">
        <v>145</v>
      </c>
      <c r="B48" s="287">
        <f>SUM(B11:B46)</f>
        <v>810586631</v>
      </c>
      <c r="C48" s="294">
        <f>B48/'- 3 -'!D48*100</f>
        <v>34.392076707716988</v>
      </c>
      <c r="D48" s="287">
        <f>B48/'- 6 -'!B48</f>
        <v>6525.5581815112409</v>
      </c>
      <c r="E48" s="287">
        <f>SUM(E11:E46)</f>
        <v>42011854</v>
      </c>
      <c r="F48" s="294">
        <f>E48/'- 3 -'!D48*100</f>
        <v>1.7825052254055826</v>
      </c>
      <c r="G48" s="287">
        <f>E48/'- 6 -'!C48</f>
        <v>7515.5373881932019</v>
      </c>
      <c r="H48" s="287">
        <f>SUM(H11:H46)</f>
        <v>66860377</v>
      </c>
      <c r="I48" s="294">
        <f>H48/'- 3 -'!D48*100</f>
        <v>2.8367939052412976</v>
      </c>
      <c r="J48" s="287">
        <f>H48/'- 6 -'!D48</f>
        <v>5765.8138151086578</v>
      </c>
    </row>
    <row r="49" spans="1:10" ht="5.0999999999999996" customHeight="1" x14ac:dyDescent="0.2">
      <c r="A49" s="21" t="s">
        <v>7</v>
      </c>
      <c r="B49" s="22"/>
      <c r="C49"/>
      <c r="D49" s="22"/>
      <c r="E49" s="22"/>
      <c r="F49"/>
      <c r="I49"/>
      <c r="J49"/>
    </row>
    <row r="50" spans="1:10" ht="14.1" customHeight="1" x14ac:dyDescent="0.2">
      <c r="A50" s="19" t="s">
        <v>146</v>
      </c>
      <c r="B50" s="20">
        <v>1680144</v>
      </c>
      <c r="C50" s="70">
        <f>B50/'- 3 -'!D50*100</f>
        <v>51.902255423089152</v>
      </c>
      <c r="D50" s="20">
        <f>B50/'- 6 -'!B50</f>
        <v>10244.780487804877</v>
      </c>
      <c r="E50" s="20">
        <v>0</v>
      </c>
      <c r="F50" s="70">
        <f>E50/'- 3 -'!D50*100</f>
        <v>0</v>
      </c>
      <c r="G50" s="20" t="str">
        <f>IF('- 6 -'!C50=0,"",E50/'- 6 -'!C50)</f>
        <v/>
      </c>
      <c r="H50" s="20">
        <v>0</v>
      </c>
      <c r="I50" s="70">
        <f>H50/'- 3 -'!D50*100</f>
        <v>0</v>
      </c>
      <c r="J50" s="20" t="str">
        <f>IF('- 6 -'!D50=0,"",H50/'- 6 -'!D50)</f>
        <v/>
      </c>
    </row>
    <row r="51" spans="1:10" ht="14.1" customHeight="1" x14ac:dyDescent="0.2">
      <c r="A51" s="284" t="s">
        <v>607</v>
      </c>
      <c r="B51" s="285">
        <v>507397</v>
      </c>
      <c r="C51" s="291">
        <f>B51/'- 3 -'!D51*100</f>
        <v>1.6717383061065825</v>
      </c>
      <c r="D51" s="285">
        <f>B51/'- 6 -'!B51</f>
        <v>4059.1759999999999</v>
      </c>
      <c r="E51" s="285">
        <v>0</v>
      </c>
      <c r="F51" s="291">
        <f>E51/'- 3 -'!D51*100</f>
        <v>0</v>
      </c>
      <c r="G51" s="285" t="str">
        <f>IF('- 6 -'!C51=0,"",E51/'- 6 -'!C51)</f>
        <v/>
      </c>
      <c r="H51" s="285">
        <v>0</v>
      </c>
      <c r="I51" s="291">
        <f>H51/'- 3 -'!D51*100</f>
        <v>0</v>
      </c>
      <c r="J51" s="285" t="str">
        <f>IF('- 6 -'!D51=0,"",H51/'- 6 -'!D51)</f>
        <v/>
      </c>
    </row>
    <row r="52" spans="1:10" ht="50.1" customHeight="1" x14ac:dyDescent="0.2">
      <c r="A52" s="23"/>
      <c r="B52" s="23"/>
      <c r="C52" s="23"/>
      <c r="D52" s="23"/>
      <c r="E52" s="23"/>
      <c r="F52" s="23"/>
      <c r="G52" s="23"/>
      <c r="H52" s="108"/>
      <c r="I52" s="108"/>
      <c r="J52" s="108"/>
    </row>
    <row r="53" spans="1:10" ht="15" customHeight="1" x14ac:dyDescent="0.2">
      <c r="A53" s="85" t="s">
        <v>343</v>
      </c>
      <c r="B53" s="85"/>
      <c r="C53" s="85"/>
      <c r="D53" s="85"/>
      <c r="E53" s="85"/>
      <c r="F53" s="85"/>
      <c r="G53" s="85"/>
      <c r="I53" s="85"/>
      <c r="J53" s="85"/>
    </row>
  </sheetData>
  <mergeCells count="6">
    <mergeCell ref="B7:D7"/>
    <mergeCell ref="E7:G7"/>
    <mergeCell ref="H7:J7"/>
    <mergeCell ref="D8:D9"/>
    <mergeCell ref="G8:G9"/>
    <mergeCell ref="J8:J9"/>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J53"/>
  <sheetViews>
    <sheetView showGridLines="0" showZeros="0" workbookViewId="0"/>
  </sheetViews>
  <sheetFormatPr defaultColWidth="15.83203125" defaultRowHeight="12" x14ac:dyDescent="0.2"/>
  <cols>
    <col min="1" max="1" width="31.83203125" style="2" customWidth="1"/>
    <col min="2" max="2" width="14.83203125" style="2" customWidth="1"/>
    <col min="3" max="3" width="7.83203125" style="2" customWidth="1"/>
    <col min="4" max="4" width="9.83203125" style="2" customWidth="1"/>
    <col min="5" max="5" width="10.83203125" style="2" customWidth="1"/>
    <col min="6" max="7" width="13.83203125" style="2" customWidth="1"/>
    <col min="8" max="8" width="15.83203125" style="2" customWidth="1"/>
    <col min="9" max="9" width="13.83203125" style="2" customWidth="1"/>
    <col min="10" max="16384" width="15.83203125" style="2"/>
  </cols>
  <sheetData>
    <row r="1" spans="1:9" ht="6.95" customHeight="1" x14ac:dyDescent="0.2">
      <c r="A1" s="7"/>
      <c r="B1" s="89"/>
      <c r="C1" s="89"/>
      <c r="D1" s="89"/>
      <c r="E1" s="89"/>
      <c r="F1" s="89"/>
      <c r="G1" s="89"/>
      <c r="H1" s="89"/>
      <c r="I1" s="89"/>
    </row>
    <row r="2" spans="1:9" ht="15.95" customHeight="1" x14ac:dyDescent="0.2">
      <c r="A2" s="134"/>
      <c r="B2" s="90" t="s">
        <v>263</v>
      </c>
      <c r="C2" s="91"/>
      <c r="D2" s="91"/>
      <c r="E2" s="91"/>
      <c r="F2" s="91"/>
      <c r="G2" s="91"/>
      <c r="H2" s="185"/>
      <c r="I2" s="395" t="s">
        <v>400</v>
      </c>
    </row>
    <row r="3" spans="1:9" ht="15.95" customHeight="1" x14ac:dyDescent="0.2">
      <c r="A3" s="541"/>
      <c r="B3" s="74" t="str">
        <f>OPYEAR</f>
        <v>OPERATING FUND 2017/2018 ACTUAL</v>
      </c>
      <c r="C3" s="94"/>
      <c r="D3" s="94"/>
      <c r="E3" s="94"/>
      <c r="F3" s="94"/>
      <c r="G3" s="94"/>
      <c r="H3" s="186"/>
      <c r="I3" s="187"/>
    </row>
    <row r="4" spans="1:9" ht="15.95" customHeight="1" x14ac:dyDescent="0.2">
      <c r="B4" s="89"/>
      <c r="C4" s="89"/>
      <c r="D4" s="89"/>
      <c r="E4" s="89"/>
      <c r="F4" s="89"/>
      <c r="G4" s="89"/>
      <c r="H4" s="89"/>
      <c r="I4" s="89"/>
    </row>
    <row r="5" spans="1:9" ht="15.95" customHeight="1" x14ac:dyDescent="0.2">
      <c r="B5" s="188" t="s">
        <v>13</v>
      </c>
      <c r="C5" s="189"/>
      <c r="D5" s="189"/>
      <c r="E5" s="189"/>
      <c r="F5" s="189"/>
      <c r="G5" s="189"/>
      <c r="H5" s="189"/>
      <c r="I5" s="190"/>
    </row>
    <row r="6" spans="1:9" ht="15.95" customHeight="1" x14ac:dyDescent="0.2">
      <c r="B6" s="328" t="s">
        <v>245</v>
      </c>
      <c r="C6" s="329"/>
      <c r="D6" s="329"/>
      <c r="E6" s="329"/>
      <c r="F6" s="329"/>
      <c r="G6" s="329"/>
      <c r="H6" s="329"/>
      <c r="I6" s="330"/>
    </row>
    <row r="7" spans="1:9" ht="15.95" customHeight="1" x14ac:dyDescent="0.2">
      <c r="B7" s="179"/>
      <c r="C7" s="191"/>
      <c r="D7" s="191"/>
      <c r="E7" s="653" t="s">
        <v>479</v>
      </c>
      <c r="F7" s="656" t="s">
        <v>83</v>
      </c>
      <c r="G7" s="657"/>
      <c r="H7" s="657"/>
      <c r="I7" s="658"/>
    </row>
    <row r="8" spans="1:9" ht="15.95" customHeight="1" x14ac:dyDescent="0.2">
      <c r="A8" s="67"/>
      <c r="B8" s="192"/>
      <c r="C8" s="192"/>
      <c r="D8" s="651" t="s">
        <v>327</v>
      </c>
      <c r="E8" s="654"/>
      <c r="F8" s="192"/>
      <c r="G8" s="193"/>
      <c r="H8" s="659" t="s">
        <v>22</v>
      </c>
      <c r="I8" s="192"/>
    </row>
    <row r="9" spans="1:9" ht="15.95" customHeight="1" x14ac:dyDescent="0.2">
      <c r="A9" s="35" t="s">
        <v>42</v>
      </c>
      <c r="B9" s="101" t="s">
        <v>43</v>
      </c>
      <c r="C9" s="101" t="s">
        <v>44</v>
      </c>
      <c r="D9" s="652"/>
      <c r="E9" s="655"/>
      <c r="F9" s="101" t="s">
        <v>38</v>
      </c>
      <c r="G9" s="194" t="s">
        <v>21</v>
      </c>
      <c r="H9" s="660"/>
      <c r="I9" s="101" t="s">
        <v>24</v>
      </c>
    </row>
    <row r="10" spans="1:9" ht="5.0999999999999996" customHeight="1" x14ac:dyDescent="0.2">
      <c r="A10" s="6"/>
      <c r="B10" s="85"/>
      <c r="C10" s="85"/>
      <c r="D10" s="85"/>
      <c r="E10" s="85"/>
      <c r="F10" s="85"/>
      <c r="G10" s="85"/>
      <c r="H10" s="85"/>
      <c r="I10" s="85"/>
    </row>
    <row r="11" spans="1:9" ht="14.1" customHeight="1" x14ac:dyDescent="0.2">
      <c r="A11" s="331" t="s">
        <v>110</v>
      </c>
      <c r="B11" s="285">
        <v>0</v>
      </c>
      <c r="C11" s="291">
        <f>B11/'- 3 -'!D11*100</f>
        <v>0</v>
      </c>
      <c r="D11" s="332" t="str">
        <f>IF(E11=0,"",B11/E11)</f>
        <v/>
      </c>
      <c r="E11" s="333">
        <f>SUM('- 6 -'!E11:H11)</f>
        <v>0</v>
      </c>
      <c r="F11" s="291" t="str">
        <f>IF(E11=0,"",'- 6 -'!E11/E11*100)</f>
        <v/>
      </c>
      <c r="G11" s="291" t="str">
        <f>IF(E11=0,"",'- 6 -'!F11/E11*100)</f>
        <v/>
      </c>
      <c r="H11" s="291" t="str">
        <f>IF(E11=0,"",'- 6 -'!G11/E11*100)</f>
        <v/>
      </c>
      <c r="I11" s="291" t="str">
        <f>IF(E11=0,"",'- 6 -'!H11/E11*100)</f>
        <v/>
      </c>
    </row>
    <row r="12" spans="1:9" ht="14.1" customHeight="1" x14ac:dyDescent="0.2">
      <c r="A12" s="19" t="s">
        <v>111</v>
      </c>
      <c r="B12" s="20">
        <v>0</v>
      </c>
      <c r="C12" s="70">
        <f>B12/'- 3 -'!D12*100</f>
        <v>0</v>
      </c>
      <c r="D12" s="195" t="str">
        <f t="shared" ref="D12:D46" si="0">IF(E12=0,"",B12/E12)</f>
        <v/>
      </c>
      <c r="E12" s="196">
        <f>SUM('- 6 -'!E12:H12)</f>
        <v>0</v>
      </c>
      <c r="F12" s="70" t="str">
        <f>IF(E12=0,"",'- 6 -'!E12/E12*100)</f>
        <v/>
      </c>
      <c r="G12" s="70" t="str">
        <f>IF(E12=0,"",'- 6 -'!F12/E12*100)</f>
        <v/>
      </c>
      <c r="H12" s="70" t="str">
        <f>IF(E12=0,"",'- 6 -'!G12/E12*100)</f>
        <v/>
      </c>
      <c r="I12" s="70" t="str">
        <f>IF(E12=0,"",'- 6 -'!H12/E12*100)</f>
        <v/>
      </c>
    </row>
    <row r="13" spans="1:9" ht="14.1" customHeight="1" x14ac:dyDescent="0.2">
      <c r="A13" s="331" t="s">
        <v>112</v>
      </c>
      <c r="B13" s="285">
        <v>7313251</v>
      </c>
      <c r="C13" s="291">
        <f>B13/'- 3 -'!D13*100</f>
        <v>7.3899635512385293</v>
      </c>
      <c r="D13" s="332">
        <f t="shared" si="0"/>
        <v>5286.0505963136975</v>
      </c>
      <c r="E13" s="333">
        <f>SUM('- 6 -'!E13:H13)</f>
        <v>1383.5</v>
      </c>
      <c r="F13" s="291">
        <f>IF(E13=0,"",'- 6 -'!E13/E13*100)</f>
        <v>68.196602818937478</v>
      </c>
      <c r="G13" s="291">
        <f>IF(E13=0,"",'- 6 -'!F13/E13*100)</f>
        <v>0</v>
      </c>
      <c r="H13" s="291">
        <f>IF(E13=0,"",'- 6 -'!G13/E13*100)</f>
        <v>31.803397181062522</v>
      </c>
      <c r="I13" s="291">
        <f>IF(E13=0,"",'- 6 -'!H13/E13*100)</f>
        <v>0</v>
      </c>
    </row>
    <row r="14" spans="1:9" ht="14.1" customHeight="1" x14ac:dyDescent="0.2">
      <c r="A14" s="19" t="s">
        <v>359</v>
      </c>
      <c r="B14" s="20">
        <v>0</v>
      </c>
      <c r="C14" s="70">
        <f>B14/'- 3 -'!D14*100</f>
        <v>0</v>
      </c>
      <c r="D14" s="195" t="str">
        <f t="shared" si="0"/>
        <v/>
      </c>
      <c r="E14" s="196">
        <f>SUM('- 6 -'!E14:H14)</f>
        <v>0</v>
      </c>
      <c r="F14" s="70" t="str">
        <f>IF(E14=0,"",'- 6 -'!E14/E14*100)</f>
        <v/>
      </c>
      <c r="G14" s="70" t="str">
        <f>IF(E14=0,"",'- 6 -'!F14/E14*100)</f>
        <v/>
      </c>
      <c r="H14" s="70" t="str">
        <f>IF(E14=0,"",'- 6 -'!G14/E14*100)</f>
        <v/>
      </c>
      <c r="I14" s="70" t="str">
        <f>IF(E14=0,"",'- 6 -'!H14/E14*100)</f>
        <v/>
      </c>
    </row>
    <row r="15" spans="1:9" ht="14.1" customHeight="1" x14ac:dyDescent="0.2">
      <c r="A15" s="331" t="s">
        <v>113</v>
      </c>
      <c r="B15" s="285">
        <v>0</v>
      </c>
      <c r="C15" s="291">
        <f>B15/'- 3 -'!D15*100</f>
        <v>0</v>
      </c>
      <c r="D15" s="332" t="str">
        <f t="shared" si="0"/>
        <v/>
      </c>
      <c r="E15" s="333">
        <f>SUM('- 6 -'!E15:H15)</f>
        <v>0</v>
      </c>
      <c r="F15" s="291" t="str">
        <f>IF(E15=0,"",'- 6 -'!E15/E15*100)</f>
        <v/>
      </c>
      <c r="G15" s="291" t="str">
        <f>IF(E15=0,"",'- 6 -'!F15/E15*100)</f>
        <v/>
      </c>
      <c r="H15" s="291" t="str">
        <f>IF(E15=0,"",'- 6 -'!G15/E15*100)</f>
        <v/>
      </c>
      <c r="I15" s="291" t="str">
        <f>IF(E15=0,"",'- 6 -'!H15/E15*100)</f>
        <v/>
      </c>
    </row>
    <row r="16" spans="1:9" ht="14.1" customHeight="1" x14ac:dyDescent="0.2">
      <c r="A16" s="19" t="s">
        <v>114</v>
      </c>
      <c r="B16" s="20">
        <v>2531145</v>
      </c>
      <c r="C16" s="70">
        <f>B16/'- 3 -'!D16*100</f>
        <v>17.497389022030102</v>
      </c>
      <c r="D16" s="195">
        <f t="shared" si="0"/>
        <v>6840.9324324324325</v>
      </c>
      <c r="E16" s="196">
        <f>SUM('- 6 -'!E16:H16)</f>
        <v>370</v>
      </c>
      <c r="F16" s="70">
        <f>IF(E16=0,"",'- 6 -'!E16/E16*100)</f>
        <v>69.594594594594597</v>
      </c>
      <c r="G16" s="70">
        <f>IF(E16=0,"",'- 6 -'!F16/E16*100)</f>
        <v>0</v>
      </c>
      <c r="H16" s="70">
        <f>IF(E16=0,"",'- 6 -'!G16/E16*100)</f>
        <v>30.405405405405407</v>
      </c>
      <c r="I16" s="70">
        <f>IF(E16=0,"",'- 6 -'!H16/E16*100)</f>
        <v>0</v>
      </c>
    </row>
    <row r="17" spans="1:9" ht="14.1" customHeight="1" x14ac:dyDescent="0.2">
      <c r="A17" s="331" t="s">
        <v>115</v>
      </c>
      <c r="B17" s="285">
        <v>0</v>
      </c>
      <c r="C17" s="291">
        <f>B17/'- 3 -'!D17*100</f>
        <v>0</v>
      </c>
      <c r="D17" s="332" t="str">
        <f t="shared" si="0"/>
        <v/>
      </c>
      <c r="E17" s="333">
        <f>SUM('- 6 -'!E17:H17)</f>
        <v>0</v>
      </c>
      <c r="F17" s="291" t="str">
        <f>IF(E17=0,"",'- 6 -'!E17/E17*100)</f>
        <v/>
      </c>
      <c r="G17" s="291" t="str">
        <f>IF(E17=0,"",'- 6 -'!F17/E17*100)</f>
        <v/>
      </c>
      <c r="H17" s="291" t="str">
        <f>IF(E17=0,"",'- 6 -'!G17/E17*100)</f>
        <v/>
      </c>
      <c r="I17" s="291" t="str">
        <f>IF(E17=0,"",'- 6 -'!H17/E17*100)</f>
        <v/>
      </c>
    </row>
    <row r="18" spans="1:9" ht="14.1" customHeight="1" x14ac:dyDescent="0.2">
      <c r="A18" s="19" t="s">
        <v>116</v>
      </c>
      <c r="B18" s="20">
        <v>0</v>
      </c>
      <c r="C18" s="70">
        <f>B18/'- 3 -'!D18*100</f>
        <v>0</v>
      </c>
      <c r="D18" s="195" t="str">
        <f t="shared" si="0"/>
        <v/>
      </c>
      <c r="E18" s="196">
        <f>SUM('- 6 -'!E18:H18)</f>
        <v>0</v>
      </c>
      <c r="F18" s="70" t="str">
        <f>IF(E18=0,"",'- 6 -'!E18/E18*100)</f>
        <v/>
      </c>
      <c r="G18" s="70" t="str">
        <f>IF(E18=0,"",'- 6 -'!F18/E18*100)</f>
        <v/>
      </c>
      <c r="H18" s="70" t="str">
        <f>IF(E18=0,"",'- 6 -'!G18/E18*100)</f>
        <v/>
      </c>
      <c r="I18" s="70" t="str">
        <f>IF(E18=0,"",'- 6 -'!H18/E18*100)</f>
        <v/>
      </c>
    </row>
    <row r="19" spans="1:9" ht="14.1" customHeight="1" x14ac:dyDescent="0.2">
      <c r="A19" s="331" t="s">
        <v>117</v>
      </c>
      <c r="B19" s="285">
        <v>0</v>
      </c>
      <c r="C19" s="291">
        <f>B19/'- 3 -'!D19*100</f>
        <v>0</v>
      </c>
      <c r="D19" s="332" t="str">
        <f t="shared" si="0"/>
        <v/>
      </c>
      <c r="E19" s="333">
        <f>SUM('- 6 -'!E19:H19)</f>
        <v>0</v>
      </c>
      <c r="F19" s="291" t="str">
        <f>IF(E19=0,"",'- 6 -'!E19/E19*100)</f>
        <v/>
      </c>
      <c r="G19" s="291" t="str">
        <f>IF(E19=0,"",'- 6 -'!F19/E19*100)</f>
        <v/>
      </c>
      <c r="H19" s="291" t="str">
        <f>IF(E19=0,"",'- 6 -'!G19/E19*100)</f>
        <v/>
      </c>
      <c r="I19" s="291" t="str">
        <f>IF(E19=0,"",'- 6 -'!H19/E19*100)</f>
        <v/>
      </c>
    </row>
    <row r="20" spans="1:9" ht="14.1" customHeight="1" x14ac:dyDescent="0.2">
      <c r="A20" s="19" t="s">
        <v>118</v>
      </c>
      <c r="B20" s="20">
        <v>0</v>
      </c>
      <c r="C20" s="70">
        <f>B20/'- 3 -'!D20*100</f>
        <v>0</v>
      </c>
      <c r="D20" s="195" t="str">
        <f t="shared" si="0"/>
        <v/>
      </c>
      <c r="E20" s="196">
        <f>SUM('- 6 -'!E20:H20)</f>
        <v>0</v>
      </c>
      <c r="F20" s="70" t="str">
        <f>IF(E20=0,"",'- 6 -'!E20/E20*100)</f>
        <v/>
      </c>
      <c r="G20" s="70" t="str">
        <f>IF(E20=0,"",'- 6 -'!F20/E20*100)</f>
        <v/>
      </c>
      <c r="H20" s="70" t="str">
        <f>IF(E20=0,"",'- 6 -'!G20/E20*100)</f>
        <v/>
      </c>
      <c r="I20" s="70" t="str">
        <f>IF(E20=0,"",'- 6 -'!H20/E20*100)</f>
        <v/>
      </c>
    </row>
    <row r="21" spans="1:9" ht="14.1" customHeight="1" x14ac:dyDescent="0.2">
      <c r="A21" s="331" t="s">
        <v>119</v>
      </c>
      <c r="B21" s="285">
        <v>4222751</v>
      </c>
      <c r="C21" s="291">
        <f>B21/'- 3 -'!D21*100</f>
        <v>11.47005628128681</v>
      </c>
      <c r="D21" s="332">
        <f t="shared" si="0"/>
        <v>5881.2688022284119</v>
      </c>
      <c r="E21" s="333">
        <f>SUM('- 6 -'!E21:H21)</f>
        <v>718</v>
      </c>
      <c r="F21" s="291">
        <f>IF(E21=0,"",'- 6 -'!E21/E21*100)</f>
        <v>63.579387186629518</v>
      </c>
      <c r="G21" s="291">
        <f>IF(E21=0,"",'- 6 -'!F21/E21*100)</f>
        <v>0</v>
      </c>
      <c r="H21" s="291">
        <f>IF(E21=0,"",'- 6 -'!G21/E21*100)</f>
        <v>36.420612813370475</v>
      </c>
      <c r="I21" s="291">
        <f>IF(E21=0,"",'- 6 -'!H21/E21*100)</f>
        <v>0</v>
      </c>
    </row>
    <row r="22" spans="1:9" ht="14.1" customHeight="1" x14ac:dyDescent="0.2">
      <c r="A22" s="19" t="s">
        <v>120</v>
      </c>
      <c r="B22" s="20">
        <v>4315686</v>
      </c>
      <c r="C22" s="70">
        <f>B22/'- 3 -'!D22*100</f>
        <v>20.926578586644254</v>
      </c>
      <c r="D22" s="195">
        <f t="shared" si="0"/>
        <v>6828.6170886075952</v>
      </c>
      <c r="E22" s="196">
        <f>SUM('- 6 -'!E22:H22)</f>
        <v>632</v>
      </c>
      <c r="F22" s="70">
        <f>IF(E22=0,"",'- 6 -'!E22/E22*100)</f>
        <v>76.50316455696202</v>
      </c>
      <c r="G22" s="70">
        <f>IF(E22=0,"",'- 6 -'!F22/E22*100)</f>
        <v>0</v>
      </c>
      <c r="H22" s="70">
        <f>IF(E22=0,"",'- 6 -'!G22/E22*100)</f>
        <v>23.496835443037973</v>
      </c>
      <c r="I22" s="70">
        <f>IF(E22=0,"",'- 6 -'!H22/E22*100)</f>
        <v>0</v>
      </c>
    </row>
    <row r="23" spans="1:9" ht="14.1" customHeight="1" x14ac:dyDescent="0.2">
      <c r="A23" s="331" t="s">
        <v>121</v>
      </c>
      <c r="B23" s="285">
        <v>0</v>
      </c>
      <c r="C23" s="291">
        <f>B23/'- 3 -'!D23*100</f>
        <v>0</v>
      </c>
      <c r="D23" s="332" t="str">
        <f t="shared" si="0"/>
        <v/>
      </c>
      <c r="E23" s="333">
        <f>SUM('- 6 -'!E23:H23)</f>
        <v>0</v>
      </c>
      <c r="F23" s="291" t="str">
        <f>IF(E23=0,"",'- 6 -'!E23/E23*100)</f>
        <v/>
      </c>
      <c r="G23" s="291" t="str">
        <f>IF(E23=0,"",'- 6 -'!F23/E23*100)</f>
        <v/>
      </c>
      <c r="H23" s="291" t="str">
        <f>IF(E23=0,"",'- 6 -'!G23/E23*100)</f>
        <v/>
      </c>
      <c r="I23" s="291" t="str">
        <f>IF(E23=0,"",'- 6 -'!H23/E23*100)</f>
        <v/>
      </c>
    </row>
    <row r="24" spans="1:9" ht="14.1" customHeight="1" x14ac:dyDescent="0.2">
      <c r="A24" s="19" t="s">
        <v>122</v>
      </c>
      <c r="B24" s="20">
        <v>4396490</v>
      </c>
      <c r="C24" s="70">
        <f>B24/'- 3 -'!D24*100</f>
        <v>7.5969700176900163</v>
      </c>
      <c r="D24" s="195">
        <f t="shared" si="0"/>
        <v>6717.3262032085559</v>
      </c>
      <c r="E24" s="196">
        <f>SUM('- 6 -'!E24:H24)</f>
        <v>654.5</v>
      </c>
      <c r="F24" s="70">
        <f>IF(E24=0,"",'- 6 -'!E24/E24*100)</f>
        <v>72.11611917494271</v>
      </c>
      <c r="G24" s="70">
        <f>IF(E24=0,"",'- 6 -'!F24/E24*100)</f>
        <v>0</v>
      </c>
      <c r="H24" s="70">
        <f>IF(E24=0,"",'- 6 -'!G24/E24*100)</f>
        <v>14.973262032085561</v>
      </c>
      <c r="I24" s="70">
        <f>IF(E24=0,"",'- 6 -'!H24/E24*100)</f>
        <v>12.910618792971734</v>
      </c>
    </row>
    <row r="25" spans="1:9" ht="14.1" customHeight="1" x14ac:dyDescent="0.2">
      <c r="A25" s="331" t="s">
        <v>123</v>
      </c>
      <c r="B25" s="285">
        <v>4500416</v>
      </c>
      <c r="C25" s="291">
        <f>B25/'- 3 -'!D25*100</f>
        <v>2.4060147931960278</v>
      </c>
      <c r="D25" s="332">
        <f t="shared" si="0"/>
        <v>7860.9886462882096</v>
      </c>
      <c r="E25" s="333">
        <f>SUM('- 6 -'!E25:H25)</f>
        <v>572.5</v>
      </c>
      <c r="F25" s="291">
        <f>IF(E25=0,"",'- 6 -'!E25/E25*100)</f>
        <v>53.624454148471614</v>
      </c>
      <c r="G25" s="291">
        <f>IF(E25=0,"",'- 6 -'!F25/E25*100)</f>
        <v>0</v>
      </c>
      <c r="H25" s="291">
        <f>IF(E25=0,"",'- 6 -'!G25/E25*100)</f>
        <v>46.375545851528379</v>
      </c>
      <c r="I25" s="291">
        <f>IF(E25=0,"",'- 6 -'!H25/E25*100)</f>
        <v>0</v>
      </c>
    </row>
    <row r="26" spans="1:9" ht="14.1" customHeight="1" x14ac:dyDescent="0.2">
      <c r="A26" s="19" t="s">
        <v>124</v>
      </c>
      <c r="B26" s="20">
        <v>2369476</v>
      </c>
      <c r="C26" s="70">
        <f>B26/'- 3 -'!D26*100</f>
        <v>5.8097650107079009</v>
      </c>
      <c r="D26" s="195">
        <f t="shared" si="0"/>
        <v>5145.4419109663413</v>
      </c>
      <c r="E26" s="196">
        <f>SUM('- 6 -'!E26:H26)</f>
        <v>460.5</v>
      </c>
      <c r="F26" s="70">
        <f>IF(E26=0,"",'- 6 -'!E26/E26*100)</f>
        <v>67.752442996742673</v>
      </c>
      <c r="G26" s="70">
        <f>IF(E26=0,"",'- 6 -'!F26/E26*100)</f>
        <v>0</v>
      </c>
      <c r="H26" s="70">
        <f>IF(E26=0,"",'- 6 -'!G26/E26*100)</f>
        <v>17.155266015200869</v>
      </c>
      <c r="I26" s="70">
        <f>IF(E26=0,"",'- 6 -'!H26/E26*100)</f>
        <v>15.092290988056462</v>
      </c>
    </row>
    <row r="27" spans="1:9" ht="14.1" customHeight="1" x14ac:dyDescent="0.2">
      <c r="A27" s="331" t="s">
        <v>125</v>
      </c>
      <c r="B27" s="285">
        <v>2482941</v>
      </c>
      <c r="C27" s="291">
        <f>B27/'- 3 -'!D27*100</f>
        <v>6.06399155329159</v>
      </c>
      <c r="D27" s="332">
        <f t="shared" si="0"/>
        <v>6916.2701949860721</v>
      </c>
      <c r="E27" s="333">
        <f>SUM('- 6 -'!E27:H27)</f>
        <v>359</v>
      </c>
      <c r="F27" s="291">
        <f>IF(E27=0,"",'- 6 -'!E27/E27*100)</f>
        <v>35.376044568245121</v>
      </c>
      <c r="G27" s="291">
        <f>IF(E27=0,"",'- 6 -'!F27/E27*100)</f>
        <v>0</v>
      </c>
      <c r="H27" s="291">
        <f>IF(E27=0,"",'- 6 -'!G27/E27*100)</f>
        <v>64.623955431754879</v>
      </c>
      <c r="I27" s="291">
        <f>IF(E27=0,"",'- 6 -'!H27/E27*100)</f>
        <v>0</v>
      </c>
    </row>
    <row r="28" spans="1:9" ht="14.1" customHeight="1" x14ac:dyDescent="0.2">
      <c r="A28" s="19" t="s">
        <v>126</v>
      </c>
      <c r="B28" s="20">
        <v>0</v>
      </c>
      <c r="C28" s="70">
        <f>B28/'- 3 -'!D28*100</f>
        <v>0</v>
      </c>
      <c r="D28" s="195" t="str">
        <f t="shared" si="0"/>
        <v/>
      </c>
      <c r="E28" s="196">
        <f>SUM('- 6 -'!E28:H28)</f>
        <v>0</v>
      </c>
      <c r="F28" s="70" t="str">
        <f>IF(E28=0,"",'- 6 -'!E28/E28*100)</f>
        <v/>
      </c>
      <c r="G28" s="70" t="str">
        <f>IF(E28=0,"",'- 6 -'!F28/E28*100)</f>
        <v/>
      </c>
      <c r="H28" s="70" t="str">
        <f>IF(E28=0,"",'- 6 -'!G28/E28*100)</f>
        <v/>
      </c>
      <c r="I28" s="70" t="str">
        <f>IF(E28=0,"",'- 6 -'!H28/E28*100)</f>
        <v/>
      </c>
    </row>
    <row r="29" spans="1:9" ht="14.1" customHeight="1" x14ac:dyDescent="0.2">
      <c r="A29" s="331" t="s">
        <v>127</v>
      </c>
      <c r="B29" s="285">
        <v>24435822</v>
      </c>
      <c r="C29" s="291">
        <f>B29/'- 3 -'!D29*100</f>
        <v>15.005979345392607</v>
      </c>
      <c r="D29" s="332">
        <f t="shared" si="0"/>
        <v>5713.4424466319069</v>
      </c>
      <c r="E29" s="333">
        <f>SUM('- 6 -'!E29:H29)</f>
        <v>4276.8999999999996</v>
      </c>
      <c r="F29" s="291">
        <f>IF(E29=0,"",'- 6 -'!E29/E29*100)</f>
        <v>60.882882461596019</v>
      </c>
      <c r="G29" s="291">
        <f>IF(E29=0,"",'- 6 -'!F29/E29*100)</f>
        <v>0</v>
      </c>
      <c r="H29" s="291">
        <f>IF(E29=0,"",'- 6 -'!G29/E29*100)</f>
        <v>39.117117538403988</v>
      </c>
      <c r="I29" s="291">
        <f>IF(E29=0,"",'- 6 -'!H29/E29*100)</f>
        <v>0</v>
      </c>
    </row>
    <row r="30" spans="1:9" ht="14.1" customHeight="1" x14ac:dyDescent="0.2">
      <c r="A30" s="19" t="s">
        <v>128</v>
      </c>
      <c r="B30" s="20">
        <v>0</v>
      </c>
      <c r="C30" s="70">
        <f>B30/'- 3 -'!D30*100</f>
        <v>0</v>
      </c>
      <c r="D30" s="195" t="str">
        <f t="shared" si="0"/>
        <v/>
      </c>
      <c r="E30" s="196">
        <f>SUM('- 6 -'!E30:H30)</f>
        <v>0</v>
      </c>
      <c r="F30" s="70" t="str">
        <f>IF(E30=0,"",'- 6 -'!E30/E30*100)</f>
        <v/>
      </c>
      <c r="G30" s="70" t="str">
        <f>IF(E30=0,"",'- 6 -'!F30/E30*100)</f>
        <v/>
      </c>
      <c r="H30" s="70" t="str">
        <f>IF(E30=0,"",'- 6 -'!G30/E30*100)</f>
        <v/>
      </c>
      <c r="I30" s="70" t="str">
        <f>IF(E30=0,"",'- 6 -'!H30/E30*100)</f>
        <v/>
      </c>
    </row>
    <row r="31" spans="1:9" ht="14.1" customHeight="1" x14ac:dyDescent="0.2">
      <c r="A31" s="331" t="s">
        <v>129</v>
      </c>
      <c r="B31" s="285">
        <v>3314651</v>
      </c>
      <c r="C31" s="291">
        <f>B31/'- 3 -'!D31*100</f>
        <v>8.7153304658323201</v>
      </c>
      <c r="D31" s="332">
        <f t="shared" si="0"/>
        <v>4461.1722745625839</v>
      </c>
      <c r="E31" s="333">
        <f>SUM('- 6 -'!E31:H31)</f>
        <v>743</v>
      </c>
      <c r="F31" s="291">
        <f>IF(E31=0,"",'- 6 -'!E31/E31*100)</f>
        <v>61.507402422611037</v>
      </c>
      <c r="G31" s="291">
        <f>IF(E31=0,"",'- 6 -'!F31/E31*100)</f>
        <v>0</v>
      </c>
      <c r="H31" s="291">
        <f>IF(E31=0,"",'- 6 -'!G31/E31*100)</f>
        <v>38.492597577388963</v>
      </c>
      <c r="I31" s="291">
        <f>IF(E31=0,"",'- 6 -'!H31/E31*100)</f>
        <v>0</v>
      </c>
    </row>
    <row r="32" spans="1:9" ht="14.1" customHeight="1" x14ac:dyDescent="0.2">
      <c r="A32" s="19" t="s">
        <v>130</v>
      </c>
      <c r="B32" s="20">
        <v>1344240</v>
      </c>
      <c r="C32" s="70">
        <f>B32/'- 3 -'!D32*100</f>
        <v>4.2816111705637772</v>
      </c>
      <c r="D32" s="195">
        <f t="shared" si="0"/>
        <v>7954.082840236686</v>
      </c>
      <c r="E32" s="196">
        <f>SUM('- 6 -'!E32:H32)</f>
        <v>169</v>
      </c>
      <c r="F32" s="70">
        <f>IF(E32=0,"",'- 6 -'!E32/E32*100)</f>
        <v>65.680473372781066</v>
      </c>
      <c r="G32" s="70">
        <f>IF(E32=0,"",'- 6 -'!F32/E32*100)</f>
        <v>0</v>
      </c>
      <c r="H32" s="70">
        <f>IF(E32=0,"",'- 6 -'!G32/E32*100)</f>
        <v>34.319526627218934</v>
      </c>
      <c r="I32" s="70">
        <f>IF(E32=0,"",'- 6 -'!H32/E32*100)</f>
        <v>0</v>
      </c>
    </row>
    <row r="33" spans="1:10" ht="14.1" customHeight="1" x14ac:dyDescent="0.2">
      <c r="A33" s="331" t="s">
        <v>131</v>
      </c>
      <c r="B33" s="285">
        <v>2718402</v>
      </c>
      <c r="C33" s="291">
        <f>B33/'- 3 -'!D33*100</f>
        <v>9.5889769739498121</v>
      </c>
      <c r="D33" s="332">
        <f t="shared" si="0"/>
        <v>5777.6875664187037</v>
      </c>
      <c r="E33" s="333">
        <f>SUM('- 6 -'!E33:H33)</f>
        <v>470.5</v>
      </c>
      <c r="F33" s="291">
        <f>IF(E33=0,"",'- 6 -'!E33/E33*100)</f>
        <v>52.178533475026569</v>
      </c>
      <c r="G33" s="291">
        <f>IF(E33=0,"",'- 6 -'!F33/E33*100)</f>
        <v>25.398512221041447</v>
      </c>
      <c r="H33" s="291">
        <f>IF(E33=0,"",'- 6 -'!G33/E33*100)</f>
        <v>22.422954303931988</v>
      </c>
      <c r="I33" s="291">
        <f>IF(E33=0,"",'- 6 -'!H33/E33*100)</f>
        <v>0</v>
      </c>
    </row>
    <row r="34" spans="1:10" ht="14.1" customHeight="1" x14ac:dyDescent="0.2">
      <c r="A34" s="19" t="s">
        <v>132</v>
      </c>
      <c r="B34" s="20">
        <v>1577131</v>
      </c>
      <c r="C34" s="70">
        <f>B34/'- 3 -'!D34*100</f>
        <v>5.1301253770711162</v>
      </c>
      <c r="D34" s="195">
        <f t="shared" si="0"/>
        <v>7546.0813397129186</v>
      </c>
      <c r="E34" s="196">
        <f>SUM('- 6 -'!E34:H34)</f>
        <v>209</v>
      </c>
      <c r="F34" s="70">
        <f>IF(E34=0,"",'- 6 -'!E34/E34*100)</f>
        <v>26.315789473684209</v>
      </c>
      <c r="G34" s="70">
        <f>IF(E34=0,"",'- 6 -'!F34/E34*100)</f>
        <v>73.68421052631578</v>
      </c>
      <c r="H34" s="70">
        <f>IF(E34=0,"",'- 6 -'!G34/E34*100)</f>
        <v>0</v>
      </c>
      <c r="I34" s="70">
        <f>IF(E34=0,"",'- 6 -'!H34/E34*100)</f>
        <v>0</v>
      </c>
    </row>
    <row r="35" spans="1:10" ht="14.1" customHeight="1" x14ac:dyDescent="0.2">
      <c r="A35" s="331" t="s">
        <v>133</v>
      </c>
      <c r="B35" s="285">
        <v>27397577</v>
      </c>
      <c r="C35" s="291">
        <f>B35/'- 3 -'!D35*100</f>
        <v>14.547569883533695</v>
      </c>
      <c r="D35" s="332">
        <f t="shared" si="0"/>
        <v>5850.4328421951741</v>
      </c>
      <c r="E35" s="333">
        <f>SUM('- 6 -'!E35:H35)</f>
        <v>4683</v>
      </c>
      <c r="F35" s="291">
        <f>IF(E35=0,"",'- 6 -'!E35/E35*100)</f>
        <v>55.167627589152261</v>
      </c>
      <c r="G35" s="291">
        <f>IF(E35=0,"",'- 6 -'!F35/E35*100)</f>
        <v>0</v>
      </c>
      <c r="H35" s="291">
        <f>IF(E35=0,"",'- 6 -'!G35/E35*100)</f>
        <v>36.664531283365363</v>
      </c>
      <c r="I35" s="291">
        <f>IF(E35=0,"",'- 6 -'!H35/E35*100)</f>
        <v>8.167841127482383</v>
      </c>
    </row>
    <row r="36" spans="1:10" ht="14.1" customHeight="1" x14ac:dyDescent="0.2">
      <c r="A36" s="19" t="s">
        <v>134</v>
      </c>
      <c r="B36" s="20">
        <v>0</v>
      </c>
      <c r="C36" s="70">
        <f>B36/'- 3 -'!D36*100</f>
        <v>0</v>
      </c>
      <c r="D36" s="195" t="str">
        <f t="shared" si="0"/>
        <v/>
      </c>
      <c r="E36" s="196">
        <f>SUM('- 6 -'!E36:H36)</f>
        <v>0</v>
      </c>
      <c r="F36" s="70" t="str">
        <f>IF(E36=0,"",'- 6 -'!E36/E36*100)</f>
        <v/>
      </c>
      <c r="G36" s="70" t="str">
        <f>IF(E36=0,"",'- 6 -'!F36/E36*100)</f>
        <v/>
      </c>
      <c r="H36" s="70" t="str">
        <f>IF(E36=0,"",'- 6 -'!G36/E36*100)</f>
        <v/>
      </c>
      <c r="I36" s="70" t="str">
        <f>IF(E36=0,"",'- 6 -'!H36/E36*100)</f>
        <v/>
      </c>
    </row>
    <row r="37" spans="1:10" ht="14.1" customHeight="1" x14ac:dyDescent="0.2">
      <c r="A37" s="331" t="s">
        <v>135</v>
      </c>
      <c r="B37" s="285">
        <v>7963284</v>
      </c>
      <c r="C37" s="291">
        <f>B37/'- 3 -'!D37*100</f>
        <v>15.193471165363693</v>
      </c>
      <c r="D37" s="332">
        <f t="shared" si="0"/>
        <v>6092.7957153787302</v>
      </c>
      <c r="E37" s="333">
        <f>SUM('- 6 -'!E37:H37)</f>
        <v>1307</v>
      </c>
      <c r="F37" s="291">
        <f>IF(E37=0,"",'- 6 -'!E37/E37*100)</f>
        <v>57.689364957918897</v>
      </c>
      <c r="G37" s="291">
        <f>IF(E37=0,"",'- 6 -'!F37/E37*100)</f>
        <v>0</v>
      </c>
      <c r="H37" s="291">
        <f>IF(E37=0,"",'- 6 -'!G37/E37*100)</f>
        <v>42.310635042081103</v>
      </c>
      <c r="I37" s="291">
        <f>IF(E37=0,"",'- 6 -'!H37/E37*100)</f>
        <v>0</v>
      </c>
    </row>
    <row r="38" spans="1:10" ht="14.1" customHeight="1" x14ac:dyDescent="0.2">
      <c r="A38" s="19" t="s">
        <v>136</v>
      </c>
      <c r="B38" s="20">
        <v>22850279</v>
      </c>
      <c r="C38" s="70">
        <f>B38/'- 3 -'!D38*100</f>
        <v>16.222653793974118</v>
      </c>
      <c r="D38" s="195">
        <f t="shared" si="0"/>
        <v>5957.7303540699795</v>
      </c>
      <c r="E38" s="196">
        <f>SUM('- 6 -'!E38:H38)</f>
        <v>3835.4</v>
      </c>
      <c r="F38" s="70">
        <f>IF(E38=0,"",'- 6 -'!E38/E38*100)</f>
        <v>62.989518694269172</v>
      </c>
      <c r="G38" s="70">
        <f>IF(E38=0,"",'- 6 -'!F38/E38*100)</f>
        <v>0</v>
      </c>
      <c r="H38" s="70">
        <f>IF(E38=0,"",'- 6 -'!G38/E38*100)</f>
        <v>31.900192939458726</v>
      </c>
      <c r="I38" s="70">
        <f>IF(E38=0,"",'- 6 -'!H38/E38*100)</f>
        <v>5.1102883662720959</v>
      </c>
    </row>
    <row r="39" spans="1:10" ht="14.1" customHeight="1" x14ac:dyDescent="0.2">
      <c r="A39" s="331" t="s">
        <v>137</v>
      </c>
      <c r="B39" s="285">
        <v>0</v>
      </c>
      <c r="C39" s="291">
        <f>B39/'- 3 -'!D39*100</f>
        <v>0</v>
      </c>
      <c r="D39" s="332" t="str">
        <f t="shared" si="0"/>
        <v/>
      </c>
      <c r="E39" s="333">
        <f>SUM('- 6 -'!E39:H39)</f>
        <v>0</v>
      </c>
      <c r="F39" s="291" t="str">
        <f>IF(E39=0,"",'- 6 -'!E39/E39*100)</f>
        <v/>
      </c>
      <c r="G39" s="291" t="str">
        <f>IF(E39=0,"",'- 6 -'!F39/E39*100)</f>
        <v/>
      </c>
      <c r="H39" s="291" t="str">
        <f>IF(E39=0,"",'- 6 -'!G39/E39*100)</f>
        <v/>
      </c>
      <c r="I39" s="291" t="str">
        <f>IF(E39=0,"",'- 6 -'!H39/E39*100)</f>
        <v/>
      </c>
    </row>
    <row r="40" spans="1:10" ht="14.1" customHeight="1" x14ac:dyDescent="0.2">
      <c r="A40" s="19" t="s">
        <v>138</v>
      </c>
      <c r="B40" s="20">
        <v>8766389</v>
      </c>
      <c r="C40" s="70">
        <f>B40/'- 3 -'!D40*100</f>
        <v>8.275548742664709</v>
      </c>
      <c r="D40" s="195">
        <f t="shared" si="0"/>
        <v>5597.2347082109573</v>
      </c>
      <c r="E40" s="196">
        <f>SUM('- 6 -'!E40:H40)</f>
        <v>1566.1999999999998</v>
      </c>
      <c r="F40" s="70">
        <f>IF(E40=0,"",'- 6 -'!E40/E40*100)</f>
        <v>60.777678457412854</v>
      </c>
      <c r="G40" s="70">
        <f>IF(E40=0,"",'- 6 -'!F40/E40*100)</f>
        <v>0</v>
      </c>
      <c r="H40" s="70">
        <f>IF(E40=0,"",'- 6 -'!G40/E40*100)</f>
        <v>39.22232154258716</v>
      </c>
      <c r="I40" s="70">
        <f>IF(E40=0,"",'- 6 -'!H40/E40*100)</f>
        <v>0</v>
      </c>
    </row>
    <row r="41" spans="1:10" ht="14.1" customHeight="1" x14ac:dyDescent="0.2">
      <c r="A41" s="331" t="s">
        <v>139</v>
      </c>
      <c r="B41" s="285">
        <v>15165365</v>
      </c>
      <c r="C41" s="291">
        <f>B41/'- 3 -'!D41*100</f>
        <v>23.354375429712476</v>
      </c>
      <c r="D41" s="332">
        <f t="shared" si="0"/>
        <v>6370.6637261079604</v>
      </c>
      <c r="E41" s="333">
        <f>SUM('- 6 -'!E41:H41)</f>
        <v>2380.5</v>
      </c>
      <c r="F41" s="291">
        <f>IF(E41=0,"",'- 6 -'!E41/E41*100)</f>
        <v>67.4438143247217</v>
      </c>
      <c r="G41" s="291">
        <f>IF(E41=0,"",'- 6 -'!F41/E41*100)</f>
        <v>0</v>
      </c>
      <c r="H41" s="291">
        <f>IF(E41=0,"",'- 6 -'!G41/E41*100)</f>
        <v>29.363579080025204</v>
      </c>
      <c r="I41" s="291">
        <f>IF(E41=0,"",'- 6 -'!H41/E41*100)</f>
        <v>3.192606595253098</v>
      </c>
    </row>
    <row r="42" spans="1:10" ht="14.1" customHeight="1" x14ac:dyDescent="0.2">
      <c r="A42" s="19" t="s">
        <v>140</v>
      </c>
      <c r="B42" s="20">
        <v>1837882</v>
      </c>
      <c r="C42" s="70">
        <f>B42/'- 3 -'!D42*100</f>
        <v>8.8066277243061037</v>
      </c>
      <c r="D42" s="195">
        <f t="shared" si="0"/>
        <v>6844.9981378026068</v>
      </c>
      <c r="E42" s="196">
        <f>SUM('- 6 -'!E42:H42)</f>
        <v>268.5</v>
      </c>
      <c r="F42" s="70">
        <f>IF(E42=0,"",'- 6 -'!E42/E42*100)</f>
        <v>75.828677839851025</v>
      </c>
      <c r="G42" s="70">
        <f>IF(E42=0,"",'- 6 -'!F42/E42*100)</f>
        <v>0</v>
      </c>
      <c r="H42" s="70">
        <f>IF(E42=0,"",'- 6 -'!G42/E42*100)</f>
        <v>24.171322160148978</v>
      </c>
      <c r="I42" s="70">
        <f>IF(E42=0,"",'- 6 -'!H42/E42*100)</f>
        <v>0</v>
      </c>
    </row>
    <row r="43" spans="1:10" ht="14.1" customHeight="1" x14ac:dyDescent="0.2">
      <c r="A43" s="331" t="s">
        <v>141</v>
      </c>
      <c r="B43" s="285">
        <v>0</v>
      </c>
      <c r="C43" s="291">
        <f>B43/'- 3 -'!D43*100</f>
        <v>0</v>
      </c>
      <c r="D43" s="332" t="str">
        <f t="shared" si="0"/>
        <v/>
      </c>
      <c r="E43" s="333">
        <f>SUM('- 6 -'!E43:H43)</f>
        <v>0</v>
      </c>
      <c r="F43" s="291" t="str">
        <f>IF(E43=0,"",'- 6 -'!E43/E43*100)</f>
        <v/>
      </c>
      <c r="G43" s="291" t="str">
        <f>IF(E43=0,"",'- 6 -'!F43/E43*100)</f>
        <v/>
      </c>
      <c r="H43" s="291" t="str">
        <f>IF(E43=0,"",'- 6 -'!G43/E43*100)</f>
        <v/>
      </c>
      <c r="I43" s="291" t="str">
        <f>IF(E43=0,"",'- 6 -'!H43/E43*100)</f>
        <v/>
      </c>
    </row>
    <row r="44" spans="1:10" ht="14.1" customHeight="1" x14ac:dyDescent="0.2">
      <c r="A44" s="19" t="s">
        <v>142</v>
      </c>
      <c r="B44" s="20">
        <v>0</v>
      </c>
      <c r="C44" s="70">
        <f>B44/'- 3 -'!D44*100</f>
        <v>0</v>
      </c>
      <c r="D44" s="195" t="str">
        <f t="shared" si="0"/>
        <v/>
      </c>
      <c r="E44" s="196">
        <f>SUM('- 6 -'!E44:H44)</f>
        <v>0</v>
      </c>
      <c r="F44" s="70" t="str">
        <f>IF(E44=0,"",'- 6 -'!E44/E44*100)</f>
        <v/>
      </c>
      <c r="G44" s="70" t="str">
        <f>IF(E44=0,"",'- 6 -'!F44/E44*100)</f>
        <v/>
      </c>
      <c r="H44" s="70" t="str">
        <f>IF(E44=0,"",'- 6 -'!G44/E44*100)</f>
        <v/>
      </c>
      <c r="I44" s="70" t="str">
        <f>IF(E44=0,"",'- 6 -'!H44/E44*100)</f>
        <v/>
      </c>
    </row>
    <row r="45" spans="1:10" ht="14.1" customHeight="1" x14ac:dyDescent="0.2">
      <c r="A45" s="331" t="s">
        <v>143</v>
      </c>
      <c r="B45" s="285">
        <v>5395930</v>
      </c>
      <c r="C45" s="291">
        <f>B45/'- 3 -'!D45*100</f>
        <v>27.041882837067082</v>
      </c>
      <c r="D45" s="332">
        <f t="shared" si="0"/>
        <v>5700.9297411516109</v>
      </c>
      <c r="E45" s="333">
        <f>SUM('- 6 -'!E45:H45)</f>
        <v>946.5</v>
      </c>
      <c r="F45" s="291">
        <f>IF(E45=0,"",'- 6 -'!E45/E45*100)</f>
        <v>73.586899101954572</v>
      </c>
      <c r="G45" s="291">
        <f>IF(E45=0,"",'- 6 -'!F45/E45*100)</f>
        <v>0</v>
      </c>
      <c r="H45" s="291">
        <f>IF(E45=0,"",'- 6 -'!G45/E45*100)</f>
        <v>26.413100898045432</v>
      </c>
      <c r="I45" s="291">
        <f>IF(E45=0,"",'- 6 -'!H45/E45*100)</f>
        <v>0</v>
      </c>
    </row>
    <row r="46" spans="1:10" ht="14.1" customHeight="1" x14ac:dyDescent="0.2">
      <c r="A46" s="19" t="s">
        <v>144</v>
      </c>
      <c r="B46" s="20">
        <v>32325388</v>
      </c>
      <c r="C46" s="70">
        <f>B46/'- 3 -'!D46*100</f>
        <v>8.1448152898881094</v>
      </c>
      <c r="D46" s="195">
        <f t="shared" si="0"/>
        <v>5436.9502985451181</v>
      </c>
      <c r="E46" s="196">
        <f>SUM('- 6 -'!E46:H46)</f>
        <v>5945.5</v>
      </c>
      <c r="F46" s="70">
        <f>IF(E46=0,"",'- 6 -'!E46/E46*100)</f>
        <v>52.350517197880755</v>
      </c>
      <c r="G46" s="70">
        <f>IF(E46=0,"",'- 6 -'!F46/E46*100)</f>
        <v>0</v>
      </c>
      <c r="H46" s="70">
        <f>IF(E46=0,"",'- 6 -'!G46/E46*100)</f>
        <v>43.738962240349842</v>
      </c>
      <c r="I46" s="70">
        <f>IF(E46=0,"",'- 6 -'!H46/E46*100)</f>
        <v>3.9105205617694052</v>
      </c>
    </row>
    <row r="47" spans="1:10" ht="5.0999999999999996" customHeight="1" x14ac:dyDescent="0.2">
      <c r="A47"/>
      <c r="B47" s="22"/>
      <c r="C47"/>
      <c r="D47"/>
      <c r="E47"/>
      <c r="F47"/>
      <c r="G47"/>
      <c r="H47"/>
      <c r="I47"/>
      <c r="J47"/>
    </row>
    <row r="48" spans="1:10" ht="14.1" customHeight="1" x14ac:dyDescent="0.2">
      <c r="A48" s="286" t="s">
        <v>145</v>
      </c>
      <c r="B48" s="287">
        <f>SUM(B11:B46)</f>
        <v>187224496</v>
      </c>
      <c r="C48" s="294">
        <f>B48/'- 3 -'!D48*100</f>
        <v>7.9436780496268167</v>
      </c>
      <c r="D48" s="334">
        <f>B48/E48</f>
        <v>5859.738224155738</v>
      </c>
      <c r="E48" s="335">
        <f>SUM(E11:E46)</f>
        <v>31951.000000000004</v>
      </c>
      <c r="F48" s="294">
        <f>IF(E48=0,"",'- 6 -'!E48/E48*100)</f>
        <v>59.95054927858282</v>
      </c>
      <c r="G48" s="294">
        <f>IF(E48=0,"",'- 6 -'!F48/E48*100)</f>
        <v>0.85599824731620278</v>
      </c>
      <c r="H48" s="294">
        <f>IF(E48=0,"",'- 6 -'!G48/E48*100)</f>
        <v>35.935338487058303</v>
      </c>
      <c r="I48" s="294">
        <f>IF(E48=0,"",'- 6 -'!H48/E48*100)</f>
        <v>3.2581139870426585</v>
      </c>
    </row>
    <row r="49" spans="1:9" ht="5.0999999999999996" customHeight="1" x14ac:dyDescent="0.2">
      <c r="A49" s="21" t="s">
        <v>7</v>
      </c>
      <c r="B49" s="22"/>
      <c r="C49"/>
      <c r="D49" s="22"/>
      <c r="E49" s="197"/>
      <c r="F49"/>
      <c r="G49"/>
      <c r="H49"/>
      <c r="I49"/>
    </row>
    <row r="50" spans="1:9" ht="14.1" customHeight="1" x14ac:dyDescent="0.2">
      <c r="A50" s="19" t="s">
        <v>146</v>
      </c>
      <c r="B50" s="20">
        <v>0</v>
      </c>
      <c r="C50" s="70">
        <f>B50/'- 3 -'!D50*100</f>
        <v>0</v>
      </c>
      <c r="D50" s="195" t="str">
        <f>IF(E50=0,"",B50/E50)</f>
        <v/>
      </c>
      <c r="E50" s="196">
        <f>SUM('- 6 -'!E50:H50)</f>
        <v>0</v>
      </c>
      <c r="F50" s="70" t="str">
        <f>IF(E50=0,"",'- 6 -'!E50/E50*100)</f>
        <v/>
      </c>
      <c r="G50" s="70" t="str">
        <f>IF(E50=0,"",'- 6 -'!F50/E50*100)</f>
        <v/>
      </c>
      <c r="H50" s="70" t="str">
        <f>IF(E50=0,"",'- 6 -'!G50/E50*100)</f>
        <v/>
      </c>
      <c r="I50" s="70" t="str">
        <f>IF(E50=0,"",'- 6 -'!H50/E50*100)</f>
        <v/>
      </c>
    </row>
    <row r="51" spans="1:9" ht="14.1" customHeight="1" x14ac:dyDescent="0.2">
      <c r="A51" s="331" t="s">
        <v>607</v>
      </c>
      <c r="B51" s="285">
        <v>0</v>
      </c>
      <c r="C51" s="291">
        <f>B51/'- 3 -'!D51*100</f>
        <v>0</v>
      </c>
      <c r="D51" s="332" t="str">
        <f>IF(E51=0,"",B51/E51)</f>
        <v/>
      </c>
      <c r="E51" s="333">
        <f>SUM('- 6 -'!E51:H51)</f>
        <v>0</v>
      </c>
      <c r="F51" s="291" t="str">
        <f>IF(E51=0,"",'- 6 -'!E51/E51*100)</f>
        <v/>
      </c>
      <c r="G51" s="291" t="str">
        <f>IF(E51=0,"",'- 6 -'!F51/E51*100)</f>
        <v/>
      </c>
      <c r="H51" s="291" t="str">
        <f>IF(E51=0,"",'- 6 -'!G51/E51*100)</f>
        <v/>
      </c>
      <c r="I51" s="291" t="str">
        <f>IF(E51=0,"",'- 6 -'!H51/E51*100)</f>
        <v/>
      </c>
    </row>
    <row r="52" spans="1:9" ht="50.1" customHeight="1" x14ac:dyDescent="0.2">
      <c r="A52" s="23"/>
      <c r="B52" s="108"/>
      <c r="C52" s="108"/>
      <c r="D52" s="108"/>
      <c r="E52" s="108"/>
      <c r="F52" s="108"/>
      <c r="G52" s="108"/>
      <c r="H52" s="108"/>
      <c r="I52" s="108"/>
    </row>
    <row r="53" spans="1:9" ht="15" customHeight="1" x14ac:dyDescent="0.2">
      <c r="A53" s="85" t="s">
        <v>344</v>
      </c>
      <c r="C53" s="85"/>
      <c r="D53" s="85"/>
      <c r="E53" s="85"/>
      <c r="F53" s="85"/>
      <c r="G53" s="85"/>
      <c r="H53" s="85"/>
      <c r="I53" s="85"/>
    </row>
  </sheetData>
  <mergeCells count="4">
    <mergeCell ref="D8:D9"/>
    <mergeCell ref="E7:E9"/>
    <mergeCell ref="F7:I7"/>
    <mergeCell ref="H8:H9"/>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I55"/>
  <sheetViews>
    <sheetView showGridLines="0" showZeros="0" workbookViewId="0"/>
  </sheetViews>
  <sheetFormatPr defaultColWidth="15.83203125" defaultRowHeight="12" x14ac:dyDescent="0.2"/>
  <cols>
    <col min="1" max="1" width="32.83203125" style="2" customWidth="1"/>
    <col min="2" max="2" width="15.83203125" style="2" customWidth="1"/>
    <col min="3" max="3" width="7.83203125" style="2" customWidth="1"/>
    <col min="4" max="4" width="9.83203125" style="2" customWidth="1"/>
    <col min="5" max="5" width="14.83203125" style="2" customWidth="1"/>
    <col min="6" max="6" width="7.83203125" style="2" customWidth="1"/>
    <col min="7" max="7" width="9.83203125" style="2" customWidth="1"/>
    <col min="8" max="8" width="15.83203125" style="2"/>
    <col min="9" max="9" width="7.83203125" style="2" customWidth="1"/>
    <col min="10" max="16384" width="15.83203125" style="2"/>
  </cols>
  <sheetData>
    <row r="1" spans="1:9" ht="6.95" customHeight="1" x14ac:dyDescent="0.2">
      <c r="A1" s="7"/>
      <c r="B1" s="8"/>
      <c r="C1" s="8"/>
      <c r="D1" s="8"/>
      <c r="E1" s="8"/>
      <c r="F1" s="8"/>
      <c r="G1" s="8"/>
      <c r="H1" s="8"/>
      <c r="I1" s="8"/>
    </row>
    <row r="2" spans="1:9" ht="15.95" customHeight="1" x14ac:dyDescent="0.2">
      <c r="A2" s="134"/>
      <c r="B2" s="9" t="s">
        <v>263</v>
      </c>
      <c r="C2" s="10"/>
      <c r="D2" s="10"/>
      <c r="E2" s="10"/>
      <c r="F2" s="10"/>
      <c r="G2" s="73"/>
      <c r="H2" s="73"/>
      <c r="I2" s="395" t="s">
        <v>401</v>
      </c>
    </row>
    <row r="3" spans="1:9" ht="15.95" customHeight="1" x14ac:dyDescent="0.2">
      <c r="A3" s="541"/>
      <c r="B3" s="11" t="str">
        <f>OPYEAR</f>
        <v>OPERATING FUND 2017/2018 ACTUAL</v>
      </c>
      <c r="C3" s="12"/>
      <c r="D3" s="12"/>
      <c r="E3" s="12"/>
      <c r="F3" s="12"/>
      <c r="G3" s="75"/>
      <c r="H3" s="75"/>
      <c r="I3" s="75"/>
    </row>
    <row r="4" spans="1:9" ht="15.95" customHeight="1" x14ac:dyDescent="0.2">
      <c r="B4" s="8"/>
      <c r="C4" s="8"/>
      <c r="D4" s="66"/>
      <c r="E4" s="8"/>
      <c r="F4" s="8"/>
      <c r="G4" s="8"/>
      <c r="H4" s="8"/>
      <c r="I4" s="8"/>
    </row>
    <row r="5" spans="1:9" ht="15.95" customHeight="1" x14ac:dyDescent="0.2">
      <c r="B5" s="393" t="s">
        <v>610</v>
      </c>
      <c r="C5" s="165"/>
      <c r="D5" s="166"/>
      <c r="E5" s="166"/>
      <c r="F5" s="166"/>
      <c r="G5" s="166"/>
      <c r="H5" s="547"/>
      <c r="I5" s="547"/>
    </row>
    <row r="6" spans="1:9" ht="15.95" customHeight="1" x14ac:dyDescent="0.2">
      <c r="B6" s="638" t="s">
        <v>480</v>
      </c>
      <c r="C6" s="646"/>
      <c r="D6" s="639"/>
      <c r="E6" s="642" t="s">
        <v>481</v>
      </c>
      <c r="F6" s="646"/>
      <c r="G6" s="663"/>
      <c r="H6" s="665" t="s">
        <v>482</v>
      </c>
      <c r="I6" s="666"/>
    </row>
    <row r="7" spans="1:9" ht="15.95" customHeight="1" x14ac:dyDescent="0.2">
      <c r="B7" s="640"/>
      <c r="C7" s="647"/>
      <c r="D7" s="641"/>
      <c r="E7" s="640"/>
      <c r="F7" s="647"/>
      <c r="G7" s="664"/>
      <c r="H7" s="667"/>
      <c r="I7" s="668"/>
    </row>
    <row r="8" spans="1:9" ht="15.95" customHeight="1" x14ac:dyDescent="0.2">
      <c r="A8" s="67"/>
      <c r="B8" s="137"/>
      <c r="C8" s="138"/>
      <c r="D8" s="591" t="s">
        <v>476</v>
      </c>
      <c r="E8" s="137"/>
      <c r="F8" s="139"/>
      <c r="G8" s="591" t="s">
        <v>476</v>
      </c>
      <c r="H8" s="137"/>
      <c r="I8" s="139"/>
    </row>
    <row r="9" spans="1:9" ht="15.95" customHeight="1" x14ac:dyDescent="0.2">
      <c r="A9" s="35" t="s">
        <v>42</v>
      </c>
      <c r="B9" s="77" t="s">
        <v>43</v>
      </c>
      <c r="C9" s="77" t="s">
        <v>44</v>
      </c>
      <c r="D9" s="593"/>
      <c r="E9" s="77" t="s">
        <v>43</v>
      </c>
      <c r="F9" s="77" t="s">
        <v>44</v>
      </c>
      <c r="G9" s="593"/>
      <c r="H9" s="77" t="s">
        <v>43</v>
      </c>
      <c r="I9" s="77" t="s">
        <v>44</v>
      </c>
    </row>
    <row r="10" spans="1:9" ht="5.0999999999999996" customHeight="1" x14ac:dyDescent="0.2">
      <c r="A10" s="6"/>
    </row>
    <row r="11" spans="1:9" ht="14.1" customHeight="1" x14ac:dyDescent="0.2">
      <c r="A11" s="284" t="s">
        <v>110</v>
      </c>
      <c r="B11" s="285">
        <v>127770</v>
      </c>
      <c r="C11" s="291">
        <f>B11/'- 3 -'!$D11*100</f>
        <v>0.64564254697975521</v>
      </c>
      <c r="D11" s="285">
        <f>B11/'- 7 -'!$E11</f>
        <v>71.054387721054383</v>
      </c>
      <c r="E11" s="285">
        <v>184656</v>
      </c>
      <c r="F11" s="291">
        <f>E11/'- 3 -'!$D11*100</f>
        <v>0.93309673753693112</v>
      </c>
      <c r="G11" s="285">
        <f>E11/'- 7 -'!$E11</f>
        <v>102.68935602268935</v>
      </c>
      <c r="H11" s="285">
        <v>176614</v>
      </c>
      <c r="I11" s="291">
        <f>H11/'- 3 -'!$D11*100</f>
        <v>0.89245920632607412</v>
      </c>
    </row>
    <row r="12" spans="1:9" ht="14.1" customHeight="1" x14ac:dyDescent="0.2">
      <c r="A12" s="19" t="s">
        <v>111</v>
      </c>
      <c r="B12" s="20">
        <v>176562</v>
      </c>
      <c r="C12" s="70">
        <f>B12/'- 3 -'!$D12*100</f>
        <v>0.51861276182400051</v>
      </c>
      <c r="D12" s="20">
        <f>B12/'- 7 -'!$E12</f>
        <v>85.275054334701764</v>
      </c>
      <c r="E12" s="20">
        <v>727410</v>
      </c>
      <c r="F12" s="70">
        <f>E12/'- 3 -'!$D12*100</f>
        <v>2.1366098542064331</v>
      </c>
      <c r="G12" s="20">
        <f>E12/'- 7 -'!$E12</f>
        <v>351.32093697174594</v>
      </c>
      <c r="H12" s="20">
        <v>0</v>
      </c>
      <c r="I12" s="70">
        <f>H12/'- 3 -'!$D12*100</f>
        <v>0</v>
      </c>
    </row>
    <row r="13" spans="1:9" ht="14.1" customHeight="1" x14ac:dyDescent="0.2">
      <c r="A13" s="284" t="s">
        <v>112</v>
      </c>
      <c r="B13" s="285">
        <v>241735</v>
      </c>
      <c r="C13" s="291">
        <f>B13/'- 3 -'!$D13*100</f>
        <v>0.2442706860544846</v>
      </c>
      <c r="D13" s="285">
        <f>B13/'- 7 -'!$E13</f>
        <v>28.666964831765426</v>
      </c>
      <c r="E13" s="285">
        <v>2487243</v>
      </c>
      <c r="F13" s="291">
        <f>E13/'- 3 -'!$D13*100</f>
        <v>2.5133330051263347</v>
      </c>
      <c r="G13" s="285">
        <f>E13/'- 7 -'!$E13</f>
        <v>294.95814676838165</v>
      </c>
      <c r="H13" s="285">
        <v>1203714</v>
      </c>
      <c r="I13" s="291">
        <f>H13/'- 3 -'!$D13*100</f>
        <v>1.2163403917239453</v>
      </c>
    </row>
    <row r="14" spans="1:9" ht="14.1" customHeight="1" x14ac:dyDescent="0.2">
      <c r="A14" s="19" t="s">
        <v>359</v>
      </c>
      <c r="B14" s="20">
        <v>405973</v>
      </c>
      <c r="C14" s="70">
        <f>B14/'- 3 -'!$D14*100</f>
        <v>0.46100026427518953</v>
      </c>
      <c r="D14" s="20">
        <f>B14/'- 7 -'!$E14</f>
        <v>72.396667391870352</v>
      </c>
      <c r="E14" s="20">
        <v>1048906</v>
      </c>
      <c r="F14" s="70">
        <f>E14/'- 3 -'!$D14*100</f>
        <v>1.1910790697899414</v>
      </c>
      <c r="G14" s="20">
        <f>E14/'- 7 -'!$E14</f>
        <v>187.05012108523758</v>
      </c>
      <c r="H14" s="20">
        <v>508191</v>
      </c>
      <c r="I14" s="70">
        <f>H14/'- 3 -'!$D14*100</f>
        <v>0.57707331596503419</v>
      </c>
    </row>
    <row r="15" spans="1:9" ht="14.1" customHeight="1" x14ac:dyDescent="0.2">
      <c r="A15" s="284" t="s">
        <v>113</v>
      </c>
      <c r="B15" s="285">
        <v>232615</v>
      </c>
      <c r="C15" s="291">
        <f>B15/'- 3 -'!$D15*100</f>
        <v>1.1641552196282929</v>
      </c>
      <c r="D15" s="285">
        <f>B15/'- 7 -'!$E15</f>
        <v>168.58602696042905</v>
      </c>
      <c r="E15" s="285">
        <v>271755</v>
      </c>
      <c r="F15" s="291">
        <f>E15/'- 3 -'!$D15*100</f>
        <v>1.360036978312176</v>
      </c>
      <c r="G15" s="285">
        <f>E15/'- 7 -'!$E15</f>
        <v>196.95245687780837</v>
      </c>
      <c r="H15" s="285">
        <v>0</v>
      </c>
      <c r="I15" s="291">
        <f>H15/'- 3 -'!$D15*100</f>
        <v>0</v>
      </c>
    </row>
    <row r="16" spans="1:9" ht="14.1" customHeight="1" x14ac:dyDescent="0.2">
      <c r="A16" s="19" t="s">
        <v>114</v>
      </c>
      <c r="B16" s="20">
        <v>225135</v>
      </c>
      <c r="C16" s="70">
        <f>B16/'- 3 -'!$D16*100</f>
        <v>1.5563212212159898</v>
      </c>
      <c r="D16" s="20">
        <f>B16/'- 7 -'!$E16</f>
        <v>246.61518238580348</v>
      </c>
      <c r="E16" s="20">
        <v>259248</v>
      </c>
      <c r="F16" s="70">
        <f>E16/'- 3 -'!$D16*100</f>
        <v>1.7921387787674194</v>
      </c>
      <c r="G16" s="20">
        <f>E16/'- 7 -'!$E16</f>
        <v>283.98291160039435</v>
      </c>
      <c r="H16" s="20">
        <v>135338</v>
      </c>
      <c r="I16" s="70">
        <f>H16/'- 3 -'!$D16*100</f>
        <v>0.93556933145414811</v>
      </c>
    </row>
    <row r="17" spans="1:9" ht="14.1" customHeight="1" x14ac:dyDescent="0.2">
      <c r="A17" s="284" t="s">
        <v>115</v>
      </c>
      <c r="B17" s="285">
        <v>140369</v>
      </c>
      <c r="C17" s="291">
        <f>B17/'- 3 -'!$D17*100</f>
        <v>0.76543876225429186</v>
      </c>
      <c r="D17" s="285">
        <f>B17/'- 7 -'!$E17</f>
        <v>100.49429813346971</v>
      </c>
      <c r="E17" s="285">
        <v>280796</v>
      </c>
      <c r="F17" s="291">
        <f>E17/'- 3 -'!$D17*100</f>
        <v>1.5311938012378525</v>
      </c>
      <c r="G17" s="285">
        <f>E17/'- 7 -'!$E17</f>
        <v>201.0301201738686</v>
      </c>
      <c r="H17" s="285">
        <v>207833</v>
      </c>
      <c r="I17" s="291">
        <f>H17/'- 3 -'!$D17*100</f>
        <v>1.1333231288646086</v>
      </c>
    </row>
    <row r="18" spans="1:9" ht="14.1" customHeight="1" x14ac:dyDescent="0.2">
      <c r="A18" s="19" t="s">
        <v>116</v>
      </c>
      <c r="B18" s="20">
        <v>0</v>
      </c>
      <c r="C18" s="70">
        <f>B18/'- 3 -'!$D18*100</f>
        <v>0</v>
      </c>
      <c r="D18" s="20">
        <f>B18/'- 7 -'!$E18</f>
        <v>0</v>
      </c>
      <c r="E18" s="20">
        <v>1574829</v>
      </c>
      <c r="F18" s="70">
        <f>E18/'- 3 -'!$D18*100</f>
        <v>1.1834270125662636</v>
      </c>
      <c r="G18" s="20">
        <f>E18/'- 7 -'!$E18</f>
        <v>258.50347170926278</v>
      </c>
      <c r="H18" s="20">
        <v>0</v>
      </c>
      <c r="I18" s="70">
        <f>H18/'- 3 -'!$D18*100</f>
        <v>0</v>
      </c>
    </row>
    <row r="19" spans="1:9" ht="14.1" customHeight="1" x14ac:dyDescent="0.2">
      <c r="A19" s="284" t="s">
        <v>117</v>
      </c>
      <c r="B19" s="285">
        <v>175278</v>
      </c>
      <c r="C19" s="291">
        <f>B19/'- 3 -'!$D19*100</f>
        <v>0.35607292264893808</v>
      </c>
      <c r="D19" s="285">
        <f>B19/'- 7 -'!$E19</f>
        <v>39.534012991699747</v>
      </c>
      <c r="E19" s="285">
        <v>898853</v>
      </c>
      <c r="F19" s="291">
        <f>E19/'- 3 -'!$D19*100</f>
        <v>1.8259976422697999</v>
      </c>
      <c r="G19" s="285">
        <f>E19/'- 7 -'!$E19</f>
        <v>202.73660230963549</v>
      </c>
      <c r="H19" s="285">
        <v>1731599</v>
      </c>
      <c r="I19" s="291">
        <f>H19/'- 3 -'!$D19*100</f>
        <v>3.5177005487624156</v>
      </c>
    </row>
    <row r="20" spans="1:9" ht="14.1" customHeight="1" x14ac:dyDescent="0.2">
      <c r="A20" s="19" t="s">
        <v>118</v>
      </c>
      <c r="B20" s="20">
        <v>473419</v>
      </c>
      <c r="C20" s="70">
        <f>B20/'- 3 -'!$D20*100</f>
        <v>0.55823277341751754</v>
      </c>
      <c r="D20" s="20">
        <f>B20/'- 7 -'!$E20</f>
        <v>60.749262158347236</v>
      </c>
      <c r="E20" s="20">
        <v>1601224</v>
      </c>
      <c r="F20" s="70">
        <f>E20/'- 3 -'!$D20*100</f>
        <v>1.8880858486513872</v>
      </c>
      <c r="G20" s="20">
        <f>E20/'- 7 -'!$E20</f>
        <v>205.46952393173362</v>
      </c>
      <c r="H20" s="20">
        <v>843560</v>
      </c>
      <c r="I20" s="70">
        <f>H20/'- 3 -'!$D20*100</f>
        <v>0.99468512743274162</v>
      </c>
    </row>
    <row r="21" spans="1:9" ht="14.1" customHeight="1" x14ac:dyDescent="0.2">
      <c r="A21" s="284" t="s">
        <v>119</v>
      </c>
      <c r="B21" s="285">
        <v>159361</v>
      </c>
      <c r="C21" s="291">
        <f>B21/'- 3 -'!$D21*100</f>
        <v>0.43286465127641849</v>
      </c>
      <c r="D21" s="285">
        <f>B21/'- 7 -'!$E21</f>
        <v>57.278772194666097</v>
      </c>
      <c r="E21" s="285">
        <v>633169</v>
      </c>
      <c r="F21" s="291">
        <f>E21/'- 3 -'!$D21*100</f>
        <v>1.7198466273682933</v>
      </c>
      <c r="G21" s="285">
        <f>E21/'- 7 -'!$E21</f>
        <v>227.57853497232406</v>
      </c>
      <c r="H21" s="285">
        <v>54079</v>
      </c>
      <c r="I21" s="291">
        <f>H21/'- 3 -'!$D21*100</f>
        <v>0.14689219744088852</v>
      </c>
    </row>
    <row r="22" spans="1:9" ht="14.1" customHeight="1" x14ac:dyDescent="0.2">
      <c r="A22" s="19" t="s">
        <v>120</v>
      </c>
      <c r="B22" s="20">
        <v>144585</v>
      </c>
      <c r="C22" s="70">
        <f>B22/'- 3 -'!$D22*100</f>
        <v>0.70108653988032477</v>
      </c>
      <c r="D22" s="20">
        <f>B22/'- 7 -'!$E22</f>
        <v>96.815990357573313</v>
      </c>
      <c r="E22" s="20">
        <v>238604</v>
      </c>
      <c r="F22" s="70">
        <f>E22/'- 3 -'!$D22*100</f>
        <v>1.1569806879109521</v>
      </c>
      <c r="G22" s="20">
        <f>E22/'- 7 -'!$E22</f>
        <v>159.77233159233961</v>
      </c>
      <c r="H22" s="20">
        <v>1206779</v>
      </c>
      <c r="I22" s="70">
        <f>H22/'- 3 -'!$D22*100</f>
        <v>5.8516202476760277</v>
      </c>
    </row>
    <row r="23" spans="1:9" ht="14.1" customHeight="1" x14ac:dyDescent="0.2">
      <c r="A23" s="284" t="s">
        <v>121</v>
      </c>
      <c r="B23" s="285">
        <v>141465</v>
      </c>
      <c r="C23" s="291">
        <f>B23/'- 3 -'!$D23*100</f>
        <v>0.85406600985721315</v>
      </c>
      <c r="D23" s="285">
        <f>B23/'- 7 -'!$E23</f>
        <v>135.69784172661869</v>
      </c>
      <c r="E23" s="285">
        <v>421581</v>
      </c>
      <c r="F23" s="291">
        <f>E23/'- 3 -'!$D23*100</f>
        <v>2.545209079995856</v>
      </c>
      <c r="G23" s="285">
        <f>E23/'- 7 -'!$E23</f>
        <v>404.39424460431655</v>
      </c>
      <c r="H23" s="285">
        <v>0</v>
      </c>
      <c r="I23" s="291">
        <f>H23/'- 3 -'!$D23*100</f>
        <v>0</v>
      </c>
    </row>
    <row r="24" spans="1:9" ht="14.1" customHeight="1" x14ac:dyDescent="0.2">
      <c r="A24" s="19" t="s">
        <v>122</v>
      </c>
      <c r="B24" s="20">
        <v>280850</v>
      </c>
      <c r="C24" s="70">
        <f>B24/'- 3 -'!$D24*100</f>
        <v>0.48529827873331705</v>
      </c>
      <c r="D24" s="20">
        <f>B24/'- 7 -'!$E24</f>
        <v>72.173823657903526</v>
      </c>
      <c r="E24" s="20">
        <v>1661267</v>
      </c>
      <c r="F24" s="70">
        <f>E24/'- 3 -'!$D24*100</f>
        <v>2.8706071412371781</v>
      </c>
      <c r="G24" s="20">
        <f>E24/'- 7 -'!$E24</f>
        <v>426.91825353994807</v>
      </c>
      <c r="H24" s="20">
        <v>295347</v>
      </c>
      <c r="I24" s="70">
        <f>H24/'- 3 -'!$D24*100</f>
        <v>0.51034855164340032</v>
      </c>
    </row>
    <row r="25" spans="1:9" ht="14.1" customHeight="1" x14ac:dyDescent="0.2">
      <c r="A25" s="284" t="s">
        <v>123</v>
      </c>
      <c r="B25" s="285">
        <v>1405137</v>
      </c>
      <c r="C25" s="291">
        <f>B25/'- 3 -'!$D25*100</f>
        <v>0.75121508955329619</v>
      </c>
      <c r="D25" s="285">
        <f>B25/'- 7 -'!$E25</f>
        <v>96.066576876534015</v>
      </c>
      <c r="E25" s="285">
        <v>3480574</v>
      </c>
      <c r="F25" s="291">
        <f>E25/'- 3 -'!$D25*100</f>
        <v>1.8607863212675164</v>
      </c>
      <c r="G25" s="285">
        <f>E25/'- 7 -'!$E25</f>
        <v>237.96030546876605</v>
      </c>
      <c r="H25" s="285">
        <v>9535565</v>
      </c>
      <c r="I25" s="291">
        <f>H25/'- 3 -'!$D25*100</f>
        <v>5.0979088269800572</v>
      </c>
    </row>
    <row r="26" spans="1:9" ht="14.1" customHeight="1" x14ac:dyDescent="0.2">
      <c r="A26" s="19" t="s">
        <v>124</v>
      </c>
      <c r="B26" s="20">
        <v>124242</v>
      </c>
      <c r="C26" s="70">
        <f>B26/'- 3 -'!$D26*100</f>
        <v>0.30463141405963645</v>
      </c>
      <c r="D26" s="20">
        <f>B26/'- 7 -'!$E26</f>
        <v>42.044670050761418</v>
      </c>
      <c r="E26" s="20">
        <v>657187</v>
      </c>
      <c r="F26" s="70">
        <f>E26/'- 3 -'!$D26*100</f>
        <v>1.6113697872829662</v>
      </c>
      <c r="G26" s="20">
        <f>E26/'- 7 -'!$E26</f>
        <v>222.39830795262267</v>
      </c>
      <c r="H26" s="20">
        <v>392481</v>
      </c>
      <c r="I26" s="70">
        <f>H26/'- 3 -'!$D26*100</f>
        <v>0.96233191691650288</v>
      </c>
    </row>
    <row r="27" spans="1:9" ht="14.1" customHeight="1" x14ac:dyDescent="0.2">
      <c r="A27" s="284" t="s">
        <v>125</v>
      </c>
      <c r="B27" s="285">
        <v>204149</v>
      </c>
      <c r="C27" s="291">
        <f>B27/'- 3 -'!$D27*100</f>
        <v>0.49858527110105505</v>
      </c>
      <c r="D27" s="285">
        <f>B27/'- 7 -'!$E27</f>
        <v>67.355900887525152</v>
      </c>
      <c r="E27" s="285">
        <v>506752</v>
      </c>
      <c r="F27" s="291">
        <f>E27/'- 3 -'!$D27*100</f>
        <v>1.2376209694928797</v>
      </c>
      <c r="G27" s="285">
        <f>E27/'- 7 -'!$E27</f>
        <v>167.19522254115938</v>
      </c>
      <c r="H27" s="285">
        <v>2251778</v>
      </c>
      <c r="I27" s="291">
        <f>H27/'- 3 -'!$D27*100</f>
        <v>5.4994310263062358</v>
      </c>
    </row>
    <row r="28" spans="1:9" ht="14.1" customHeight="1" x14ac:dyDescent="0.2">
      <c r="A28" s="19" t="s">
        <v>126</v>
      </c>
      <c r="B28" s="20">
        <v>145912</v>
      </c>
      <c r="C28" s="70">
        <f>B28/'- 3 -'!$D28*100</f>
        <v>0.50494237018866095</v>
      </c>
      <c r="D28" s="20">
        <f>B28/'- 7 -'!$E28</f>
        <v>74.845857912285197</v>
      </c>
      <c r="E28" s="20">
        <v>419843</v>
      </c>
      <c r="F28" s="70">
        <f>E28/'- 3 -'!$D28*100</f>
        <v>1.4529066802395825</v>
      </c>
      <c r="G28" s="20">
        <f>E28/'- 7 -'!$E28</f>
        <v>215.35932290330854</v>
      </c>
      <c r="H28" s="20">
        <v>0</v>
      </c>
      <c r="I28" s="70">
        <f>H28/'- 3 -'!$D28*100</f>
        <v>0</v>
      </c>
    </row>
    <row r="29" spans="1:9" ht="14.1" customHeight="1" x14ac:dyDescent="0.2">
      <c r="A29" s="284" t="s">
        <v>127</v>
      </c>
      <c r="B29" s="285">
        <v>613132</v>
      </c>
      <c r="C29" s="291">
        <f>B29/'- 3 -'!$D29*100</f>
        <v>0.37652288218498475</v>
      </c>
      <c r="D29" s="285">
        <f>B29/'- 7 -'!$E29</f>
        <v>45.780376169462926</v>
      </c>
      <c r="E29" s="285">
        <v>2857885</v>
      </c>
      <c r="F29" s="291">
        <f>E29/'- 3 -'!$D29*100</f>
        <v>1.7550202846258804</v>
      </c>
      <c r="G29" s="285">
        <f>E29/'- 7 -'!$E29</f>
        <v>213.38806382486243</v>
      </c>
      <c r="H29" s="285">
        <v>525772</v>
      </c>
      <c r="I29" s="291">
        <f>H29/'- 3 -'!$D29*100</f>
        <v>0.32287531691734211</v>
      </c>
    </row>
    <row r="30" spans="1:9" ht="14.1" customHeight="1" x14ac:dyDescent="0.2">
      <c r="A30" s="19" t="s">
        <v>128</v>
      </c>
      <c r="B30" s="20">
        <v>148986</v>
      </c>
      <c r="C30" s="70">
        <f>B30/'- 3 -'!$D30*100</f>
        <v>1.0136003938309612</v>
      </c>
      <c r="D30" s="20">
        <f>B30/'- 7 -'!$E30</f>
        <v>147.92096902303416</v>
      </c>
      <c r="E30" s="20">
        <v>154424</v>
      </c>
      <c r="F30" s="70">
        <f>E30/'- 3 -'!$D30*100</f>
        <v>1.0505968830423822</v>
      </c>
      <c r="G30" s="20">
        <f>E30/'- 7 -'!$E30</f>
        <v>153.32009531374106</v>
      </c>
      <c r="H30" s="20">
        <v>0</v>
      </c>
      <c r="I30" s="70">
        <f>H30/'- 3 -'!$D30*100</f>
        <v>0</v>
      </c>
    </row>
    <row r="31" spans="1:9" ht="14.1" customHeight="1" x14ac:dyDescent="0.2">
      <c r="A31" s="284" t="s">
        <v>129</v>
      </c>
      <c r="B31" s="285">
        <v>172412</v>
      </c>
      <c r="C31" s="291">
        <f>B31/'- 3 -'!$D31*100</f>
        <v>0.4533290401538751</v>
      </c>
      <c r="D31" s="285">
        <f>B31/'- 7 -'!$E31</f>
        <v>52.081923634606092</v>
      </c>
      <c r="E31" s="285">
        <v>577621</v>
      </c>
      <c r="F31" s="291">
        <f>E31/'- 3 -'!$D31*100</f>
        <v>1.5187595614152232</v>
      </c>
      <c r="G31" s="285">
        <f>E31/'- 7 -'!$E31</f>
        <v>174.48676897051715</v>
      </c>
      <c r="H31" s="285">
        <v>1917053</v>
      </c>
      <c r="I31" s="291">
        <f>H31/'- 3 -'!$D31*100</f>
        <v>5.0405760411926464</v>
      </c>
    </row>
    <row r="32" spans="1:9" ht="14.1" customHeight="1" x14ac:dyDescent="0.2">
      <c r="A32" s="19" t="s">
        <v>130</v>
      </c>
      <c r="B32" s="20">
        <v>155469</v>
      </c>
      <c r="C32" s="70">
        <f>B32/'- 3 -'!$D32*100</f>
        <v>0.4951926791914984</v>
      </c>
      <c r="D32" s="20">
        <f>B32/'- 7 -'!$E32</f>
        <v>71.104047564600961</v>
      </c>
      <c r="E32" s="20">
        <v>405922</v>
      </c>
      <c r="F32" s="70">
        <f>E32/'- 3 -'!$D32*100</f>
        <v>1.2929240087912792</v>
      </c>
      <c r="G32" s="20">
        <f>E32/'- 7 -'!$E32</f>
        <v>185.64921106791675</v>
      </c>
      <c r="H32" s="20">
        <v>0</v>
      </c>
      <c r="I32" s="70">
        <f>H32/'- 3 -'!$D32*100</f>
        <v>0</v>
      </c>
    </row>
    <row r="33" spans="1:9" ht="14.1" customHeight="1" x14ac:dyDescent="0.2">
      <c r="A33" s="284" t="s">
        <v>131</v>
      </c>
      <c r="B33" s="285">
        <v>208997</v>
      </c>
      <c r="C33" s="291">
        <f>B33/'- 3 -'!$D33*100</f>
        <v>0.73722261116074406</v>
      </c>
      <c r="D33" s="285">
        <f>B33/'- 7 -'!$E33</f>
        <v>99.778955409147329</v>
      </c>
      <c r="E33" s="285">
        <v>342411</v>
      </c>
      <c r="F33" s="291">
        <f>E33/'- 3 -'!$D33*100</f>
        <v>1.2078313636567104</v>
      </c>
      <c r="G33" s="285">
        <f>E33/'- 7 -'!$E33</f>
        <v>163.47321684331138</v>
      </c>
      <c r="H33" s="285">
        <v>0</v>
      </c>
      <c r="I33" s="291">
        <f>H33/'- 3 -'!$D33*100</f>
        <v>0</v>
      </c>
    </row>
    <row r="34" spans="1:9" ht="14.1" customHeight="1" x14ac:dyDescent="0.2">
      <c r="A34" s="19" t="s">
        <v>132</v>
      </c>
      <c r="B34" s="20">
        <v>233047</v>
      </c>
      <c r="C34" s="70">
        <f>B34/'- 3 -'!$D34*100</f>
        <v>0.75806025545772193</v>
      </c>
      <c r="D34" s="20">
        <f>B34/'- 7 -'!$E34</f>
        <v>111.13246416343192</v>
      </c>
      <c r="E34" s="20">
        <v>468425</v>
      </c>
      <c r="F34" s="70">
        <f>E34/'- 3 -'!$D34*100</f>
        <v>1.5237028374653327</v>
      </c>
      <c r="G34" s="20">
        <f>E34/'- 7 -'!$E34</f>
        <v>223.37650570810007</v>
      </c>
      <c r="H34" s="20">
        <v>852946</v>
      </c>
      <c r="I34" s="70">
        <f>H34/'- 3 -'!$D34*100</f>
        <v>2.7744809529907788</v>
      </c>
    </row>
    <row r="35" spans="1:9" ht="14.1" customHeight="1" x14ac:dyDescent="0.2">
      <c r="A35" s="284" t="s">
        <v>133</v>
      </c>
      <c r="B35" s="285">
        <v>1132010</v>
      </c>
      <c r="C35" s="291">
        <f>B35/'- 3 -'!$D35*100</f>
        <v>0.6010748535850079</v>
      </c>
      <c r="D35" s="285">
        <f>B35/'- 7 -'!$E35</f>
        <v>71.379658238224351</v>
      </c>
      <c r="E35" s="285">
        <v>3322118</v>
      </c>
      <c r="F35" s="291">
        <f>E35/'- 3 -'!$D35*100</f>
        <v>1.7639787549952026</v>
      </c>
      <c r="G35" s="285">
        <f>E35/'- 7 -'!$E35</f>
        <v>209.47840343022889</v>
      </c>
      <c r="H35" s="285">
        <v>2534900</v>
      </c>
      <c r="I35" s="291">
        <f>H35/'- 3 -'!$D35*100</f>
        <v>1.3459816135481457</v>
      </c>
    </row>
    <row r="36" spans="1:9" ht="14.1" customHeight="1" x14ac:dyDescent="0.2">
      <c r="A36" s="19" t="s">
        <v>134</v>
      </c>
      <c r="B36" s="20">
        <v>215265</v>
      </c>
      <c r="C36" s="70">
        <f>B36/'- 3 -'!$D36*100</f>
        <v>0.90967553490265263</v>
      </c>
      <c r="D36" s="20">
        <f>B36/'- 7 -'!$E36</f>
        <v>127.31547196593328</v>
      </c>
      <c r="E36" s="20">
        <v>296781</v>
      </c>
      <c r="F36" s="70">
        <f>E36/'- 3 -'!$D36*100</f>
        <v>1.2541491414021979</v>
      </c>
      <c r="G36" s="20">
        <f>E36/'- 7 -'!$E36</f>
        <v>175.52696948190206</v>
      </c>
      <c r="H36" s="20">
        <v>2961</v>
      </c>
      <c r="I36" s="70">
        <f>H36/'- 3 -'!$D36*100</f>
        <v>1.2512713440860124E-2</v>
      </c>
    </row>
    <row r="37" spans="1:9" ht="14.1" customHeight="1" x14ac:dyDescent="0.2">
      <c r="A37" s="284" t="s">
        <v>135</v>
      </c>
      <c r="B37" s="285">
        <v>326017</v>
      </c>
      <c r="C37" s="291">
        <f>B37/'- 3 -'!$D37*100</f>
        <v>0.62202100150118655</v>
      </c>
      <c r="D37" s="285">
        <f>B37/'- 7 -'!$E37</f>
        <v>77.715613825983311</v>
      </c>
      <c r="E37" s="285">
        <v>703307</v>
      </c>
      <c r="F37" s="291">
        <f>E37/'- 3 -'!$D37*100</f>
        <v>1.341867830520479</v>
      </c>
      <c r="G37" s="285">
        <f>E37/'- 7 -'!$E37</f>
        <v>167.65363528009536</v>
      </c>
      <c r="H37" s="285">
        <v>0</v>
      </c>
      <c r="I37" s="291">
        <f>H37/'- 3 -'!$D37*100</f>
        <v>0</v>
      </c>
    </row>
    <row r="38" spans="1:9" ht="14.1" customHeight="1" x14ac:dyDescent="0.2">
      <c r="A38" s="19" t="s">
        <v>136</v>
      </c>
      <c r="B38" s="20">
        <v>551563</v>
      </c>
      <c r="C38" s="70">
        <f>B38/'- 3 -'!$D38*100</f>
        <v>0.39158452264699894</v>
      </c>
      <c r="D38" s="20">
        <f>B38/'- 7 -'!$E38</f>
        <v>49.828623568098863</v>
      </c>
      <c r="E38" s="20">
        <v>2110672</v>
      </c>
      <c r="F38" s="70">
        <f>E38/'- 3 -'!$D38*100</f>
        <v>1.4984806587540982</v>
      </c>
      <c r="G38" s="20">
        <f>E38/'- 7 -'!$E38</f>
        <v>190.67972391862102</v>
      </c>
      <c r="H38" s="20">
        <v>793186</v>
      </c>
      <c r="I38" s="70">
        <f>H38/'- 3 -'!$D38*100</f>
        <v>0.56312581007116602</v>
      </c>
    </row>
    <row r="39" spans="1:9" ht="14.1" customHeight="1" x14ac:dyDescent="0.2">
      <c r="A39" s="284" t="s">
        <v>137</v>
      </c>
      <c r="B39" s="285">
        <v>248817</v>
      </c>
      <c r="C39" s="291">
        <f>B39/'- 3 -'!$D39*100</f>
        <v>1.1162139819038548</v>
      </c>
      <c r="D39" s="285">
        <f>B39/'- 7 -'!$E39</f>
        <v>164.45274289491078</v>
      </c>
      <c r="E39" s="285">
        <v>339423</v>
      </c>
      <c r="F39" s="291">
        <f>E39/'- 3 -'!$D39*100</f>
        <v>1.5226801158271019</v>
      </c>
      <c r="G39" s="285">
        <f>E39/'- 7 -'!$E39</f>
        <v>224.33773959021812</v>
      </c>
      <c r="H39" s="285">
        <v>0</v>
      </c>
      <c r="I39" s="291">
        <f>H39/'- 3 -'!$D39*100</f>
        <v>0</v>
      </c>
    </row>
    <row r="40" spans="1:9" ht="14.1" customHeight="1" x14ac:dyDescent="0.2">
      <c r="A40" s="19" t="s">
        <v>138</v>
      </c>
      <c r="B40" s="20">
        <v>301163</v>
      </c>
      <c r="C40" s="70">
        <f>B40/'- 3 -'!$D40*100</f>
        <v>0.28430053537290345</v>
      </c>
      <c r="D40" s="20">
        <f>B40/'- 7 -'!$E40</f>
        <v>37.056637669033236</v>
      </c>
      <c r="E40" s="20">
        <v>2715327</v>
      </c>
      <c r="F40" s="70">
        <f>E40/'- 3 -'!$D40*100</f>
        <v>2.5632927013361528</v>
      </c>
      <c r="G40" s="20">
        <f>E40/'- 7 -'!$E40</f>
        <v>334.10773830763742</v>
      </c>
      <c r="H40" s="20">
        <v>1511</v>
      </c>
      <c r="I40" s="70">
        <f>H40/'- 3 -'!$D40*100</f>
        <v>1.4263973627187175E-3</v>
      </c>
    </row>
    <row r="41" spans="1:9" ht="14.1" customHeight="1" x14ac:dyDescent="0.2">
      <c r="A41" s="284" t="s">
        <v>139</v>
      </c>
      <c r="B41" s="285">
        <v>369593</v>
      </c>
      <c r="C41" s="291">
        <f>B41/'- 3 -'!$D41*100</f>
        <v>0.56916623359831586</v>
      </c>
      <c r="D41" s="285">
        <f>B41/'- 7 -'!$E41</f>
        <v>83.138679563603645</v>
      </c>
      <c r="E41" s="285">
        <v>1720204</v>
      </c>
      <c r="F41" s="291">
        <f>E41/'- 3 -'!$D41*100</f>
        <v>2.6490816430526478</v>
      </c>
      <c r="G41" s="285">
        <f>E41/'- 7 -'!$E41</f>
        <v>386.95399842537398</v>
      </c>
      <c r="H41" s="285">
        <v>657117</v>
      </c>
      <c r="I41" s="291">
        <f>H41/'- 3 -'!$D41*100</f>
        <v>1.0119477585436534</v>
      </c>
    </row>
    <row r="42" spans="1:9" ht="14.1" customHeight="1" x14ac:dyDescent="0.2">
      <c r="A42" s="19" t="s">
        <v>140</v>
      </c>
      <c r="B42" s="20">
        <v>159403</v>
      </c>
      <c r="C42" s="70">
        <f>B42/'- 3 -'!$D42*100</f>
        <v>0.76381556549199892</v>
      </c>
      <c r="D42" s="20">
        <f>B42/'- 7 -'!$E42</f>
        <v>112.89164305949008</v>
      </c>
      <c r="E42" s="20">
        <v>329990</v>
      </c>
      <c r="F42" s="70">
        <f>E42/'- 3 -'!$D42*100</f>
        <v>1.5812217991926421</v>
      </c>
      <c r="G42" s="20">
        <f>E42/'- 7 -'!$E42</f>
        <v>233.70396600566573</v>
      </c>
      <c r="H42" s="20">
        <v>0</v>
      </c>
      <c r="I42" s="70">
        <f>H42/'- 3 -'!$D42*100</f>
        <v>0</v>
      </c>
    </row>
    <row r="43" spans="1:9" ht="14.1" customHeight="1" x14ac:dyDescent="0.2">
      <c r="A43" s="284" t="s">
        <v>141</v>
      </c>
      <c r="B43" s="285">
        <v>157272</v>
      </c>
      <c r="C43" s="291">
        <f>B43/'- 3 -'!$D43*100</f>
        <v>1.169172248172109</v>
      </c>
      <c r="D43" s="285">
        <f>B43/'- 7 -'!$E43</f>
        <v>162.30340557275542</v>
      </c>
      <c r="E43" s="285">
        <v>333867</v>
      </c>
      <c r="F43" s="291">
        <f>E43/'- 3 -'!$D43*100</f>
        <v>2.481993177300966</v>
      </c>
      <c r="G43" s="285">
        <f>E43/'- 7 -'!$E43</f>
        <v>344.54798761609908</v>
      </c>
      <c r="H43" s="285">
        <v>0</v>
      </c>
      <c r="I43" s="291">
        <f>H43/'- 3 -'!$D43*100</f>
        <v>0</v>
      </c>
    </row>
    <row r="44" spans="1:9" ht="14.1" customHeight="1" x14ac:dyDescent="0.2">
      <c r="A44" s="19" t="s">
        <v>142</v>
      </c>
      <c r="B44" s="20">
        <v>96869</v>
      </c>
      <c r="C44" s="70">
        <f>B44/'- 3 -'!$D44*100</f>
        <v>0.88367313335008801</v>
      </c>
      <c r="D44" s="20">
        <f>B44/'- 7 -'!$E44</f>
        <v>139.58069164265129</v>
      </c>
      <c r="E44" s="20">
        <v>178007</v>
      </c>
      <c r="F44" s="70">
        <f>E44/'- 3 -'!$D44*100</f>
        <v>1.6238425445524278</v>
      </c>
      <c r="G44" s="20">
        <f>E44/'- 7 -'!$E44</f>
        <v>256.49423631123921</v>
      </c>
      <c r="H44" s="20">
        <v>0</v>
      </c>
      <c r="I44" s="70">
        <f>H44/'- 3 -'!$D44*100</f>
        <v>0</v>
      </c>
    </row>
    <row r="45" spans="1:9" ht="14.1" customHeight="1" x14ac:dyDescent="0.2">
      <c r="A45" s="284" t="s">
        <v>143</v>
      </c>
      <c r="B45" s="285">
        <v>149161</v>
      </c>
      <c r="C45" s="291">
        <f>B45/'- 3 -'!$D45*100</f>
        <v>0.7475253173891736</v>
      </c>
      <c r="D45" s="285">
        <f>B45/'- 7 -'!$E45</f>
        <v>86.320023148148152</v>
      </c>
      <c r="E45" s="285">
        <v>265617</v>
      </c>
      <c r="F45" s="291">
        <f>E45/'- 3 -'!$D45*100</f>
        <v>1.3311484384588472</v>
      </c>
      <c r="G45" s="285">
        <f>E45/'- 7 -'!$E45</f>
        <v>153.71354166666666</v>
      </c>
      <c r="H45" s="285">
        <v>259833</v>
      </c>
      <c r="I45" s="291">
        <f>H45/'- 3 -'!$D45*100</f>
        <v>1.3021617298970987</v>
      </c>
    </row>
    <row r="46" spans="1:9" ht="14.1" customHeight="1" x14ac:dyDescent="0.2">
      <c r="A46" s="19" t="s">
        <v>144</v>
      </c>
      <c r="B46" s="20">
        <v>710334</v>
      </c>
      <c r="C46" s="70">
        <f>B46/'- 3 -'!$D46*100</f>
        <v>0.17897818346766262</v>
      </c>
      <c r="D46" s="20">
        <f>B46/'- 7 -'!$E46</f>
        <v>23.757705081423858</v>
      </c>
      <c r="E46" s="20">
        <v>13174815</v>
      </c>
      <c r="F46" s="70">
        <f>E46/'- 3 -'!$D46*100</f>
        <v>3.3195714357225103</v>
      </c>
      <c r="G46" s="20">
        <f>E46/'- 7 -'!$E46</f>
        <v>440.64252770150273</v>
      </c>
      <c r="H46" s="20">
        <v>34251298</v>
      </c>
      <c r="I46" s="70">
        <f>H46/'- 3 -'!$D46*100</f>
        <v>8.6300741587050407</v>
      </c>
    </row>
    <row r="47" spans="1:9" ht="5.0999999999999996" customHeight="1" x14ac:dyDescent="0.2">
      <c r="A47" s="21"/>
      <c r="B47" s="22"/>
      <c r="C47"/>
      <c r="D47" s="22"/>
      <c r="E47" s="22"/>
      <c r="F47"/>
      <c r="G47" s="22"/>
      <c r="H47"/>
      <c r="I47"/>
    </row>
    <row r="48" spans="1:9" ht="14.1" customHeight="1" x14ac:dyDescent="0.2">
      <c r="A48" s="286" t="s">
        <v>145</v>
      </c>
      <c r="B48" s="287">
        <f>SUM(B11:B46)</f>
        <v>10754067</v>
      </c>
      <c r="C48" s="294">
        <f>B48/'- 3 -'!$D48*100</f>
        <v>0.45628028274738214</v>
      </c>
      <c r="D48" s="287">
        <f>B48/'- 7 -'!$E48</f>
        <v>60.627672014826572</v>
      </c>
      <c r="E48" s="287">
        <f>SUM(E11:E46)</f>
        <v>47650713</v>
      </c>
      <c r="F48" s="294">
        <f>E48/'- 3 -'!$D48*100</f>
        <v>2.0217542628992691</v>
      </c>
      <c r="G48" s="287">
        <f>E48/'- 7 -'!$E48</f>
        <v>268.63806958210625</v>
      </c>
      <c r="H48" s="287">
        <f>SUM(H11:H46)</f>
        <v>60339455</v>
      </c>
      <c r="I48" s="294">
        <f>H48/'- 3 -'!$D48*100</f>
        <v>2.5601201469381714</v>
      </c>
    </row>
    <row r="49" spans="1:9" ht="5.0999999999999996" customHeight="1" x14ac:dyDescent="0.2">
      <c r="A49" s="21" t="s">
        <v>7</v>
      </c>
      <c r="B49" s="22"/>
      <c r="C49"/>
      <c r="D49" s="22"/>
      <c r="E49" s="22"/>
      <c r="F49"/>
      <c r="H49"/>
      <c r="I49"/>
    </row>
    <row r="50" spans="1:9" ht="14.1" customHeight="1" x14ac:dyDescent="0.2">
      <c r="A50" s="19" t="s">
        <v>146</v>
      </c>
      <c r="B50" s="20">
        <v>80078</v>
      </c>
      <c r="C50" s="70">
        <f>B50/'- 3 -'!$D50*100</f>
        <v>2.4737336857853451</v>
      </c>
      <c r="D50" s="20">
        <f>B50/'- 7 -'!$E50</f>
        <v>488.28048780487802</v>
      </c>
      <c r="E50" s="20">
        <v>48504</v>
      </c>
      <c r="F50" s="70">
        <f>E50/'- 3 -'!$D50*100</f>
        <v>1.4983638289584202</v>
      </c>
      <c r="G50" s="20">
        <f>E50/'- 7 -'!$E50</f>
        <v>295.7560975609756</v>
      </c>
      <c r="H50" s="20">
        <v>0</v>
      </c>
      <c r="I50" s="70">
        <f>H50/'- 3 -'!$D50*100</f>
        <v>0</v>
      </c>
    </row>
    <row r="51" spans="1:9" ht="14.1" customHeight="1" x14ac:dyDescent="0.2">
      <c r="A51" s="284" t="s">
        <v>607</v>
      </c>
      <c r="B51" s="285">
        <v>0</v>
      </c>
      <c r="C51" s="291">
        <f>B51/'- 3 -'!$D51*100</f>
        <v>0</v>
      </c>
      <c r="D51" s="285">
        <f>B51/'- 7 -'!$E51</f>
        <v>0</v>
      </c>
      <c r="E51" s="285">
        <v>0</v>
      </c>
      <c r="F51" s="291">
        <f>E51/'- 3 -'!$D51*100</f>
        <v>0</v>
      </c>
      <c r="G51" s="285">
        <f>E51/'- 7 -'!$E51</f>
        <v>0</v>
      </c>
      <c r="H51" s="285">
        <v>0</v>
      </c>
      <c r="I51" s="291">
        <f>H51/'- 3 -'!$D51*100</f>
        <v>0</v>
      </c>
    </row>
    <row r="52" spans="1:9" ht="50.1" customHeight="1" x14ac:dyDescent="0.2">
      <c r="A52" s="23"/>
      <c r="B52" s="23"/>
      <c r="C52" s="23"/>
      <c r="D52" s="23"/>
      <c r="E52" s="23"/>
      <c r="F52" s="23"/>
      <c r="G52" s="23"/>
      <c r="H52" s="23"/>
      <c r="I52" s="23"/>
    </row>
    <row r="53" spans="1:9" ht="15" customHeight="1" x14ac:dyDescent="0.2">
      <c r="A53" s="661" t="s">
        <v>611</v>
      </c>
      <c r="B53" s="661"/>
      <c r="C53" s="661"/>
      <c r="D53" s="661"/>
      <c r="E53" s="661"/>
      <c r="F53" s="661"/>
      <c r="G53" s="661"/>
      <c r="H53" s="661"/>
      <c r="I53" s="661"/>
    </row>
    <row r="54" spans="1:9" x14ac:dyDescent="0.2">
      <c r="A54" s="662"/>
      <c r="B54" s="662"/>
      <c r="C54" s="662"/>
      <c r="D54" s="662"/>
      <c r="E54" s="662"/>
      <c r="F54" s="662"/>
      <c r="G54" s="662"/>
      <c r="H54" s="662"/>
      <c r="I54" s="662"/>
    </row>
    <row r="55" spans="1:9" x14ac:dyDescent="0.2">
      <c r="A55" s="662"/>
      <c r="B55" s="662"/>
      <c r="C55" s="662"/>
      <c r="D55" s="662"/>
      <c r="E55" s="662"/>
      <c r="F55" s="662"/>
      <c r="G55" s="662"/>
      <c r="H55" s="662"/>
      <c r="I55" s="662"/>
    </row>
  </sheetData>
  <mergeCells count="6">
    <mergeCell ref="A53:I55"/>
    <mergeCell ref="D8:D9"/>
    <mergeCell ref="G8:G9"/>
    <mergeCell ref="B6:D7"/>
    <mergeCell ref="E6:G7"/>
    <mergeCell ref="H6:I7"/>
  </mergeCells>
  <phoneticPr fontId="6" type="noConversion"/>
  <pageMargins left="0.5" right="0.5" top="0.6" bottom="0.2" header="0.3" footer="0.5"/>
  <pageSetup scale="96" orientation="portrait" r:id="rId1"/>
  <headerFooter alignWithMargins="0">
    <oddHeader>&amp;C&amp;"Arial,Regular"&amp;11&amp;A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J54"/>
  <sheetViews>
    <sheetView showGridLines="0" showZeros="0" workbookViewId="0"/>
  </sheetViews>
  <sheetFormatPr defaultColWidth="15.83203125" defaultRowHeight="12" x14ac:dyDescent="0.2"/>
  <cols>
    <col min="1" max="1" width="32.83203125" style="2" customWidth="1"/>
    <col min="2" max="2" width="15.5" style="2" customWidth="1"/>
    <col min="3" max="4" width="8" style="2" customWidth="1"/>
    <col min="5" max="5" width="17.33203125" style="2" customWidth="1"/>
    <col min="6" max="6" width="7.83203125" style="2" customWidth="1"/>
    <col min="7" max="7" width="10" style="2" customWidth="1"/>
    <col min="8" max="8" width="17.1640625" style="2" customWidth="1"/>
    <col min="9" max="9" width="8.5" style="2" customWidth="1"/>
    <col min="10" max="10" width="10" style="2" customWidth="1"/>
    <col min="11" max="16384" width="15.83203125" style="2"/>
  </cols>
  <sheetData>
    <row r="1" spans="1:10" ht="6.95" customHeight="1" x14ac:dyDescent="0.2">
      <c r="A1" s="7"/>
      <c r="B1" s="7"/>
      <c r="C1" s="8"/>
      <c r="D1" s="8"/>
      <c r="E1" s="8"/>
      <c r="F1" s="8"/>
      <c r="G1" s="8"/>
      <c r="H1" s="8"/>
      <c r="I1" s="8"/>
      <c r="J1" s="8"/>
    </row>
    <row r="2" spans="1:10" ht="15.95" customHeight="1" x14ac:dyDescent="0.2">
      <c r="A2" s="134"/>
      <c r="B2" s="134"/>
      <c r="C2" s="9" t="s">
        <v>263</v>
      </c>
      <c r="D2" s="9"/>
      <c r="E2" s="10"/>
      <c r="F2" s="10"/>
      <c r="G2" s="10"/>
      <c r="H2" s="73"/>
      <c r="I2" s="73"/>
      <c r="J2" s="395" t="s">
        <v>402</v>
      </c>
    </row>
    <row r="3" spans="1:10" ht="15.95" customHeight="1" x14ac:dyDescent="0.2">
      <c r="A3" s="541"/>
      <c r="B3" s="136"/>
      <c r="C3" s="11" t="str">
        <f>OPYEAR</f>
        <v>OPERATING FUND 2017/2018 ACTUAL</v>
      </c>
      <c r="D3" s="11"/>
      <c r="E3" s="12"/>
      <c r="F3" s="12"/>
      <c r="G3" s="12"/>
      <c r="H3" s="75"/>
      <c r="I3" s="75"/>
      <c r="J3" s="66"/>
    </row>
    <row r="4" spans="1:10" ht="15.95" customHeight="1" x14ac:dyDescent="0.2">
      <c r="C4" s="8"/>
      <c r="D4" s="8"/>
      <c r="E4" s="8"/>
      <c r="F4" s="8"/>
      <c r="G4" s="8"/>
      <c r="H4" s="8"/>
      <c r="I4" s="8"/>
      <c r="J4" s="8"/>
    </row>
    <row r="5" spans="1:10" ht="15.95" customHeight="1" x14ac:dyDescent="0.2">
      <c r="B5" s="488" t="s">
        <v>248</v>
      </c>
      <c r="C5" s="272"/>
      <c r="D5" s="272"/>
      <c r="E5" s="435"/>
      <c r="F5" s="435"/>
      <c r="G5" s="435"/>
      <c r="H5" s="435"/>
      <c r="I5" s="435"/>
      <c r="J5" s="436"/>
    </row>
    <row r="6" spans="1:10" ht="15.95" customHeight="1" x14ac:dyDescent="0.2">
      <c r="B6" s="665" t="s">
        <v>483</v>
      </c>
      <c r="C6" s="669"/>
      <c r="D6" s="666"/>
      <c r="E6" s="665" t="s">
        <v>484</v>
      </c>
      <c r="F6" s="669"/>
      <c r="G6" s="671"/>
      <c r="H6" s="673" t="s">
        <v>485</v>
      </c>
      <c r="I6" s="674"/>
      <c r="J6" s="675"/>
    </row>
    <row r="7" spans="1:10" ht="15.95" customHeight="1" x14ac:dyDescent="0.2">
      <c r="B7" s="667"/>
      <c r="C7" s="670"/>
      <c r="D7" s="668"/>
      <c r="E7" s="672"/>
      <c r="F7" s="647"/>
      <c r="G7" s="641"/>
      <c r="H7" s="676"/>
      <c r="I7" s="677"/>
      <c r="J7" s="678"/>
    </row>
    <row r="8" spans="1:10" ht="15.95" customHeight="1" x14ac:dyDescent="0.2">
      <c r="A8" s="67"/>
      <c r="B8" s="137"/>
      <c r="C8" s="139"/>
      <c r="D8" s="597" t="s">
        <v>476</v>
      </c>
      <c r="E8" s="137"/>
      <c r="F8" s="139"/>
      <c r="G8" s="591" t="s">
        <v>476</v>
      </c>
      <c r="H8" s="137"/>
      <c r="I8" s="139"/>
      <c r="J8" s="591" t="s">
        <v>476</v>
      </c>
    </row>
    <row r="9" spans="1:10" ht="15.95" customHeight="1" x14ac:dyDescent="0.2">
      <c r="A9" s="35" t="s">
        <v>42</v>
      </c>
      <c r="B9" s="77" t="s">
        <v>43</v>
      </c>
      <c r="C9" s="77" t="s">
        <v>44</v>
      </c>
      <c r="D9" s="593"/>
      <c r="E9" s="77" t="s">
        <v>43</v>
      </c>
      <c r="F9" s="77" t="s">
        <v>44</v>
      </c>
      <c r="G9" s="593"/>
      <c r="H9" s="77" t="s">
        <v>43</v>
      </c>
      <c r="I9" s="77" t="s">
        <v>44</v>
      </c>
      <c r="J9" s="593"/>
    </row>
    <row r="10" spans="1:10" ht="5.0999999999999996" customHeight="1" x14ac:dyDescent="0.2">
      <c r="A10" s="6"/>
    </row>
    <row r="11" spans="1:10" ht="14.1" customHeight="1" x14ac:dyDescent="0.2">
      <c r="A11" s="284" t="s">
        <v>110</v>
      </c>
      <c r="B11" s="285">
        <v>687648</v>
      </c>
      <c r="C11" s="291">
        <f>B11/'- 3 -'!$D11*100</f>
        <v>3.4747969487793275</v>
      </c>
      <c r="D11" s="285">
        <f>B11/'- 7 -'!$E11</f>
        <v>382.40907574240907</v>
      </c>
      <c r="E11" s="285">
        <v>972273</v>
      </c>
      <c r="F11" s="291">
        <f>E11/'- 3 -'!$D11*100</f>
        <v>4.9130532682135675</v>
      </c>
      <c r="G11" s="285">
        <f>E11/'- 7 -'!$E11</f>
        <v>540.69235902569233</v>
      </c>
      <c r="H11" s="285">
        <v>272051</v>
      </c>
      <c r="I11" s="291">
        <f>H11/'- 3 -'!$D11*100</f>
        <v>1.3747178566830194</v>
      </c>
      <c r="J11" s="285">
        <f>H11/'- 7 -'!$E11</f>
        <v>151.29073517962405</v>
      </c>
    </row>
    <row r="12" spans="1:10" ht="14.1" customHeight="1" x14ac:dyDescent="0.2">
      <c r="A12" s="19" t="s">
        <v>111</v>
      </c>
      <c r="B12" s="20">
        <v>2520515</v>
      </c>
      <c r="C12" s="70">
        <f>B12/'- 3 -'!$D12*100</f>
        <v>7.4034687269560875</v>
      </c>
      <c r="D12" s="20">
        <f>B12/'- 7 -'!$E12</f>
        <v>1217.3460516783387</v>
      </c>
      <c r="E12" s="20">
        <v>1356774</v>
      </c>
      <c r="F12" s="70">
        <f>E12/'- 3 -'!$D12*100</f>
        <v>3.9852307479015678</v>
      </c>
      <c r="G12" s="20">
        <f>E12/'- 7 -'!$E12</f>
        <v>655.28809466312487</v>
      </c>
      <c r="H12" s="20">
        <v>466605</v>
      </c>
      <c r="I12" s="70">
        <f>H12/'- 3 -'!$D12*100</f>
        <v>1.370551464816256</v>
      </c>
      <c r="J12" s="20">
        <f>H12/'- 7 -'!$E12</f>
        <v>225.35860903163487</v>
      </c>
    </row>
    <row r="13" spans="1:10" ht="14.1" customHeight="1" x14ac:dyDescent="0.2">
      <c r="A13" s="284" t="s">
        <v>112</v>
      </c>
      <c r="B13" s="285">
        <v>9664097</v>
      </c>
      <c r="C13" s="291">
        <f>B13/'- 3 -'!$D13*100</f>
        <v>9.7654688162123264</v>
      </c>
      <c r="D13" s="285">
        <f>B13/'- 7 -'!$E13</f>
        <v>1146.0497190302181</v>
      </c>
      <c r="E13" s="285">
        <v>4332677</v>
      </c>
      <c r="F13" s="291">
        <f>E13/'- 3 -'!$D13*100</f>
        <v>4.3781247367674778</v>
      </c>
      <c r="G13" s="285">
        <f>E13/'- 7 -'!$E13</f>
        <v>513.80519654331783</v>
      </c>
      <c r="H13" s="285">
        <v>2342104</v>
      </c>
      <c r="I13" s="291">
        <f>H13/'- 3 -'!$D13*100</f>
        <v>2.3666715655198982</v>
      </c>
      <c r="J13" s="285">
        <f>H13/'- 7 -'!$E13</f>
        <v>277.74634620695031</v>
      </c>
    </row>
    <row r="14" spans="1:10" ht="14.1" customHeight="1" x14ac:dyDescent="0.2">
      <c r="A14" s="19" t="s">
        <v>359</v>
      </c>
      <c r="B14" s="20">
        <v>3645073</v>
      </c>
      <c r="C14" s="70">
        <f>B14/'- 3 -'!$D14*100</f>
        <v>4.1391413130980572</v>
      </c>
      <c r="D14" s="20">
        <f>B14/'- 7 -'!$E14</f>
        <v>650.02139945288729</v>
      </c>
      <c r="E14" s="20">
        <v>3070733</v>
      </c>
      <c r="F14" s="70">
        <f>E14/'- 3 -'!$D14*100</f>
        <v>3.4869528873066566</v>
      </c>
      <c r="G14" s="20">
        <f>E14/'- 7 -'!$E14</f>
        <v>547.60005135868698</v>
      </c>
      <c r="H14" s="20">
        <v>1702365</v>
      </c>
      <c r="I14" s="70">
        <f>H14/'- 3 -'!$D14*100</f>
        <v>1.9331106130034088</v>
      </c>
      <c r="J14" s="20">
        <f>H14/'- 7 -'!$E14</f>
        <v>303.58066345437101</v>
      </c>
    </row>
    <row r="15" spans="1:10" ht="14.1" customHeight="1" x14ac:dyDescent="0.2">
      <c r="A15" s="284" t="s">
        <v>113</v>
      </c>
      <c r="B15" s="285">
        <v>1265360</v>
      </c>
      <c r="C15" s="291">
        <f>B15/'- 3 -'!$D15*100</f>
        <v>6.3326760901440444</v>
      </c>
      <c r="D15" s="285">
        <f>B15/'- 7 -'!$E15</f>
        <v>917.06044354254243</v>
      </c>
      <c r="E15" s="285">
        <v>1007585</v>
      </c>
      <c r="F15" s="291">
        <f>E15/'- 3 -'!$D15*100</f>
        <v>5.0426040322815542</v>
      </c>
      <c r="G15" s="285">
        <f>E15/'- 7 -'!$E15</f>
        <v>730.23988983910715</v>
      </c>
      <c r="H15" s="285">
        <v>491483</v>
      </c>
      <c r="I15" s="291">
        <f>H15/'- 3 -'!$D15*100</f>
        <v>2.4596973531740103</v>
      </c>
      <c r="J15" s="285">
        <f>H15/'- 7 -'!$E15</f>
        <v>356.19872445281925</v>
      </c>
    </row>
    <row r="16" spans="1:10" ht="14.1" customHeight="1" x14ac:dyDescent="0.2">
      <c r="A16" s="19" t="s">
        <v>114</v>
      </c>
      <c r="B16" s="20">
        <v>929632</v>
      </c>
      <c r="C16" s="70">
        <f>B16/'- 3 -'!$D16*100</f>
        <v>6.4263930953492938</v>
      </c>
      <c r="D16" s="20">
        <f>B16/'- 7 -'!$E16</f>
        <v>1018.3284039872933</v>
      </c>
      <c r="E16" s="20">
        <v>646770</v>
      </c>
      <c r="F16" s="70">
        <f>E16/'- 3 -'!$D16*100</f>
        <v>4.4710146189880104</v>
      </c>
      <c r="G16" s="20">
        <f>E16/'- 7 -'!$E16</f>
        <v>708.47847518895833</v>
      </c>
      <c r="H16" s="20">
        <v>370129</v>
      </c>
      <c r="I16" s="70">
        <f>H16/'- 3 -'!$D16*100</f>
        <v>2.5586408922977464</v>
      </c>
      <c r="J16" s="20">
        <f>H16/'- 7 -'!$E16</f>
        <v>405.44309343849272</v>
      </c>
    </row>
    <row r="17" spans="1:10" ht="14.1" customHeight="1" x14ac:dyDescent="0.2">
      <c r="A17" s="284" t="s">
        <v>115</v>
      </c>
      <c r="B17" s="285">
        <v>712717</v>
      </c>
      <c r="C17" s="291">
        <f>B17/'- 3 -'!$D17*100</f>
        <v>3.8864793388682122</v>
      </c>
      <c r="D17" s="285">
        <f>B17/'- 7 -'!$E17</f>
        <v>510.25507542827921</v>
      </c>
      <c r="E17" s="285">
        <v>869721</v>
      </c>
      <c r="F17" s="291">
        <f>E17/'- 3 -'!$D17*100</f>
        <v>4.7426295389050637</v>
      </c>
      <c r="G17" s="285">
        <f>E17/'- 7 -'!$E17</f>
        <v>622.65885962669392</v>
      </c>
      <c r="H17" s="285">
        <v>277872</v>
      </c>
      <c r="I17" s="291">
        <f>H17/'- 3 -'!$D17*100</f>
        <v>1.5152490916450541</v>
      </c>
      <c r="J17" s="285">
        <f>H17/'- 7 -'!$E17</f>
        <v>198.93674252109435</v>
      </c>
    </row>
    <row r="18" spans="1:10" ht="14.1" customHeight="1" x14ac:dyDescent="0.2">
      <c r="A18" s="19" t="s">
        <v>116</v>
      </c>
      <c r="B18" s="20">
        <v>10637479</v>
      </c>
      <c r="C18" s="70">
        <f>B18/'- 3 -'!$D18*100</f>
        <v>7.9936805800543205</v>
      </c>
      <c r="D18" s="20">
        <f>B18/'- 7 -'!$E18</f>
        <v>1746.1103724495658</v>
      </c>
      <c r="E18" s="20">
        <v>3742465</v>
      </c>
      <c r="F18" s="70">
        <f>E18/'- 3 -'!$D18*100</f>
        <v>2.8123270365124098</v>
      </c>
      <c r="G18" s="20">
        <f>E18/'- 7 -'!$E18</f>
        <v>614.31444001247519</v>
      </c>
      <c r="H18" s="20">
        <v>4359264</v>
      </c>
      <c r="I18" s="70">
        <f>H18/'- 3 -'!$D18*100</f>
        <v>3.2758291678065743</v>
      </c>
      <c r="J18" s="20">
        <f>H18/'- 7 -'!$E18</f>
        <v>715.56015167183727</v>
      </c>
    </row>
    <row r="19" spans="1:10" ht="14.1" customHeight="1" x14ac:dyDescent="0.2">
      <c r="A19" s="284" t="s">
        <v>117</v>
      </c>
      <c r="B19" s="285">
        <v>2572738</v>
      </c>
      <c r="C19" s="291">
        <f>B19/'- 3 -'!$D19*100</f>
        <v>5.2264536272092554</v>
      </c>
      <c r="D19" s="285">
        <f>B19/'- 7 -'!$E19</f>
        <v>580.28193792854563</v>
      </c>
      <c r="E19" s="285">
        <v>2813262</v>
      </c>
      <c r="F19" s="291">
        <f>E19/'- 3 -'!$D19*100</f>
        <v>5.7150721854265623</v>
      </c>
      <c r="G19" s="285">
        <f>E19/'- 7 -'!$E19</f>
        <v>634.53220858895702</v>
      </c>
      <c r="H19" s="285">
        <v>794487</v>
      </c>
      <c r="I19" s="291">
        <f>H19/'- 3 -'!$D19*100</f>
        <v>1.613980694077904</v>
      </c>
      <c r="J19" s="285">
        <f>H19/'- 7 -'!$E19</f>
        <v>179.19681522915914</v>
      </c>
    </row>
    <row r="20" spans="1:10" ht="14.1" customHeight="1" x14ac:dyDescent="0.2">
      <c r="A20" s="19" t="s">
        <v>118</v>
      </c>
      <c r="B20" s="20">
        <v>4277400</v>
      </c>
      <c r="C20" s="70">
        <f>B20/'- 3 -'!$D20*100</f>
        <v>5.0437030727877197</v>
      </c>
      <c r="D20" s="20">
        <f>B20/'- 7 -'!$E20</f>
        <v>548.87719748492236</v>
      </c>
      <c r="E20" s="20">
        <v>3322928</v>
      </c>
      <c r="F20" s="70">
        <f>E20/'- 3 -'!$D20*100</f>
        <v>3.9182358826044679</v>
      </c>
      <c r="G20" s="20">
        <f>E20/'- 7 -'!$E20</f>
        <v>426.39907609393043</v>
      </c>
      <c r="H20" s="20">
        <v>1597695</v>
      </c>
      <c r="I20" s="70">
        <f>H20/'- 3 -'!$D20*100</f>
        <v>1.8839246226393547</v>
      </c>
      <c r="J20" s="20">
        <f>H20/'- 7 -'!$E20</f>
        <v>205.01668163736687</v>
      </c>
    </row>
    <row r="21" spans="1:10" ht="14.1" customHeight="1" x14ac:dyDescent="0.2">
      <c r="A21" s="284" t="s">
        <v>119</v>
      </c>
      <c r="B21" s="285">
        <v>1884088</v>
      </c>
      <c r="C21" s="291">
        <f>B21/'- 3 -'!$D21*100</f>
        <v>5.1176579909393434</v>
      </c>
      <c r="D21" s="285">
        <f>B21/'- 7 -'!$E21</f>
        <v>677.19358780820937</v>
      </c>
      <c r="E21" s="285">
        <v>2204709</v>
      </c>
      <c r="F21" s="291">
        <f>E21/'- 3 -'!$D21*100</f>
        <v>5.98854545623447</v>
      </c>
      <c r="G21" s="285">
        <f>E21/'- 7 -'!$E21</f>
        <v>792.43368557256849</v>
      </c>
      <c r="H21" s="285">
        <v>1064131</v>
      </c>
      <c r="I21" s="291">
        <f>H21/'- 3 -'!$D21*100</f>
        <v>2.890448065884542</v>
      </c>
      <c r="J21" s="285">
        <f>H21/'- 7 -'!$E21</f>
        <v>382.47825461864716</v>
      </c>
    </row>
    <row r="22" spans="1:10" ht="14.1" customHeight="1" x14ac:dyDescent="0.2">
      <c r="A22" s="19" t="s">
        <v>120</v>
      </c>
      <c r="B22" s="20">
        <v>1247632</v>
      </c>
      <c r="C22" s="70">
        <f>B22/'- 3 -'!$D22*100</f>
        <v>6.0497147140019321</v>
      </c>
      <c r="D22" s="20">
        <f>B22/'- 7 -'!$E22</f>
        <v>835.43056113566354</v>
      </c>
      <c r="E22" s="20">
        <v>1302158</v>
      </c>
      <c r="F22" s="70">
        <f>E22/'- 3 -'!$D22*100</f>
        <v>6.3141089780923618</v>
      </c>
      <c r="G22" s="20">
        <f>E22/'- 7 -'!$E22</f>
        <v>871.94187759475017</v>
      </c>
      <c r="H22" s="20">
        <v>617154</v>
      </c>
      <c r="I22" s="70">
        <f>H22/'- 3 -'!$D22*100</f>
        <v>2.9925536012262817</v>
      </c>
      <c r="J22" s="20">
        <f>H22/'- 7 -'!$E22</f>
        <v>413.25431900361588</v>
      </c>
    </row>
    <row r="23" spans="1:10" ht="14.1" customHeight="1" x14ac:dyDescent="0.2">
      <c r="A23" s="284" t="s">
        <v>121</v>
      </c>
      <c r="B23" s="285">
        <v>1285006</v>
      </c>
      <c r="C23" s="291">
        <f>B23/'- 3 -'!$D23*100</f>
        <v>7.7579609589833387</v>
      </c>
      <c r="D23" s="285">
        <f>B23/'- 7 -'!$E23</f>
        <v>1232.6196642685852</v>
      </c>
      <c r="E23" s="285">
        <v>696683</v>
      </c>
      <c r="F23" s="291">
        <f>E23/'- 3 -'!$D23*100</f>
        <v>4.2060811504283944</v>
      </c>
      <c r="G23" s="285">
        <f>E23/'- 7 -'!$E23</f>
        <v>668.28105515587526</v>
      </c>
      <c r="H23" s="285">
        <v>318734</v>
      </c>
      <c r="I23" s="291">
        <f>H23/'- 3 -'!$D23*100</f>
        <v>1.9242913482898878</v>
      </c>
      <c r="J23" s="285">
        <f>H23/'- 7 -'!$E23</f>
        <v>305.74004796163069</v>
      </c>
    </row>
    <row r="24" spans="1:10" ht="14.1" customHeight="1" x14ac:dyDescent="0.2">
      <c r="A24" s="19" t="s">
        <v>122</v>
      </c>
      <c r="B24" s="20">
        <v>3125182</v>
      </c>
      <c r="C24" s="70">
        <f>B24/'- 3 -'!$D24*100</f>
        <v>5.4001974197199401</v>
      </c>
      <c r="D24" s="20">
        <f>B24/'- 7 -'!$E24</f>
        <v>803.12029398915524</v>
      </c>
      <c r="E24" s="20">
        <v>2692367</v>
      </c>
      <c r="F24" s="70">
        <f>E24/'- 3 -'!$D24*100</f>
        <v>4.6523093139340741</v>
      </c>
      <c r="G24" s="20">
        <f>E24/'- 7 -'!$E24</f>
        <v>691.89396859661292</v>
      </c>
      <c r="H24" s="20">
        <v>1360600</v>
      </c>
      <c r="I24" s="70">
        <f>H24/'- 3 -'!$D24*100</f>
        <v>2.3510658288928297</v>
      </c>
      <c r="J24" s="20">
        <f>H24/'- 7 -'!$E24</f>
        <v>349.65178732043273</v>
      </c>
    </row>
    <row r="25" spans="1:10" ht="14.1" customHeight="1" x14ac:dyDescent="0.2">
      <c r="A25" s="284" t="s">
        <v>123</v>
      </c>
      <c r="B25" s="285">
        <v>11729623</v>
      </c>
      <c r="C25" s="291">
        <f>B25/'- 3 -'!$D25*100</f>
        <v>6.2708972807430179</v>
      </c>
      <c r="D25" s="285">
        <f>B25/'- 7 -'!$E25</f>
        <v>801.93228821265222</v>
      </c>
      <c r="E25" s="285">
        <v>8425566</v>
      </c>
      <c r="F25" s="291">
        <f>E25/'- 3 -'!$D25*100</f>
        <v>4.5044805718070249</v>
      </c>
      <c r="G25" s="285">
        <f>E25/'- 7 -'!$E25</f>
        <v>576.04011841358613</v>
      </c>
      <c r="H25" s="285">
        <v>3717396</v>
      </c>
      <c r="I25" s="291">
        <f>H25/'- 3 -'!$D25*100</f>
        <v>1.9873962247418331</v>
      </c>
      <c r="J25" s="285">
        <f>H25/'- 7 -'!$E25</f>
        <v>254.15138069420993</v>
      </c>
    </row>
    <row r="26" spans="1:10" ht="14.1" customHeight="1" x14ac:dyDescent="0.2">
      <c r="A26" s="19" t="s">
        <v>124</v>
      </c>
      <c r="B26" s="20">
        <v>1428060</v>
      </c>
      <c r="C26" s="70">
        <f>B26/'- 3 -'!$D26*100</f>
        <v>3.5014885237037747</v>
      </c>
      <c r="D26" s="20">
        <f>B26/'- 7 -'!$E26</f>
        <v>483.26903553299491</v>
      </c>
      <c r="E26" s="20">
        <v>1982831</v>
      </c>
      <c r="F26" s="70">
        <f>E26/'- 3 -'!$D26*100</f>
        <v>4.8617424974749515</v>
      </c>
      <c r="G26" s="20">
        <f>E26/'- 7 -'!$E26</f>
        <v>671.00879864636215</v>
      </c>
      <c r="H26" s="20">
        <v>1335637</v>
      </c>
      <c r="I26" s="70">
        <f>H26/'- 3 -'!$D26*100</f>
        <v>3.274874744292354</v>
      </c>
      <c r="J26" s="20">
        <f>H26/'- 7 -'!$E26</f>
        <v>451.99221658206432</v>
      </c>
    </row>
    <row r="27" spans="1:10" ht="14.1" customHeight="1" x14ac:dyDescent="0.2">
      <c r="A27" s="284" t="s">
        <v>125</v>
      </c>
      <c r="B27" s="285">
        <v>2038481</v>
      </c>
      <c r="C27" s="291">
        <f>B27/'- 3 -'!$D27*100</f>
        <v>4.9785039457423252</v>
      </c>
      <c r="D27" s="285">
        <f>B27/'- 7 -'!$E27</f>
        <v>672.56623445181299</v>
      </c>
      <c r="E27" s="285">
        <v>2383033</v>
      </c>
      <c r="F27" s="291">
        <f>E27/'- 3 -'!$D27*100</f>
        <v>5.8199900775794173</v>
      </c>
      <c r="G27" s="285">
        <f>E27/'- 7 -'!$E27</f>
        <v>786.24599953809093</v>
      </c>
      <c r="H27" s="285">
        <v>1070459</v>
      </c>
      <c r="I27" s="291">
        <f>H27/'- 3 -'!$D27*100</f>
        <v>2.6143409505682826</v>
      </c>
      <c r="J27" s="285">
        <f>H27/'- 7 -'!$E27</f>
        <v>353.1818931670461</v>
      </c>
    </row>
    <row r="28" spans="1:10" ht="14.1" customHeight="1" x14ac:dyDescent="0.2">
      <c r="A28" s="19" t="s">
        <v>126</v>
      </c>
      <c r="B28" s="20">
        <v>1083453</v>
      </c>
      <c r="C28" s="70">
        <f>B28/'- 3 -'!$D28*100</f>
        <v>3.7493922762213887</v>
      </c>
      <c r="D28" s="20">
        <f>B28/'- 7 -'!$E28</f>
        <v>555.75942549371632</v>
      </c>
      <c r="E28" s="20">
        <v>1292594</v>
      </c>
      <c r="F28" s="70">
        <f>E28/'- 3 -'!$D28*100</f>
        <v>4.4731446217695732</v>
      </c>
      <c r="G28" s="20">
        <f>E28/'- 7 -'!$E28</f>
        <v>663.03872787894329</v>
      </c>
      <c r="H28" s="20">
        <v>541599</v>
      </c>
      <c r="I28" s="70">
        <f>H28/'- 3 -'!$D28*100</f>
        <v>1.8742549122197527</v>
      </c>
      <c r="J28" s="20">
        <f>H28/'- 7 -'!$E28</f>
        <v>277.81431136188769</v>
      </c>
    </row>
    <row r="29" spans="1:10" ht="14.1" customHeight="1" x14ac:dyDescent="0.2">
      <c r="A29" s="284" t="s">
        <v>127</v>
      </c>
      <c r="B29" s="285">
        <v>11791299</v>
      </c>
      <c r="C29" s="291">
        <f>B29/'- 3 -'!$D29*100</f>
        <v>7.2410082725822971</v>
      </c>
      <c r="D29" s="285">
        <f>B29/'- 7 -'!$E29</f>
        <v>880.41417467464112</v>
      </c>
      <c r="E29" s="285">
        <v>11011419</v>
      </c>
      <c r="F29" s="291">
        <f>E29/'- 3 -'!$D29*100</f>
        <v>6.7620858458317334</v>
      </c>
      <c r="G29" s="285">
        <f>E29/'- 7 -'!$E29</f>
        <v>822.18332101337273</v>
      </c>
      <c r="H29" s="285">
        <v>3667485</v>
      </c>
      <c r="I29" s="291">
        <f>H29/'- 3 -'!$D29*100</f>
        <v>2.2521936916849858</v>
      </c>
      <c r="J29" s="285">
        <f>H29/'- 7 -'!$E29</f>
        <v>273.83800371838811</v>
      </c>
    </row>
    <row r="30" spans="1:10" ht="14.1" customHeight="1" x14ac:dyDescent="0.2">
      <c r="A30" s="19" t="s">
        <v>128</v>
      </c>
      <c r="B30" s="20">
        <v>463354</v>
      </c>
      <c r="C30" s="70">
        <f>B30/'- 3 -'!$D30*100</f>
        <v>3.1523485218956897</v>
      </c>
      <c r="D30" s="20">
        <f>B30/'- 7 -'!$E30</f>
        <v>460.04169976171562</v>
      </c>
      <c r="E30" s="20">
        <v>583249</v>
      </c>
      <c r="F30" s="70">
        <f>E30/'- 3 -'!$D30*100</f>
        <v>3.9680333460963739</v>
      </c>
      <c r="G30" s="20">
        <f>E30/'- 7 -'!$E30</f>
        <v>579.07962668784751</v>
      </c>
      <c r="H30" s="20">
        <v>259480</v>
      </c>
      <c r="I30" s="70">
        <f>H30/'- 3 -'!$D30*100</f>
        <v>1.7653271461161306</v>
      </c>
      <c r="J30" s="20">
        <f>H30/'- 7 -'!$E30</f>
        <v>257.62509928514692</v>
      </c>
    </row>
    <row r="31" spans="1:10" ht="14.1" customHeight="1" x14ac:dyDescent="0.2">
      <c r="A31" s="284" t="s">
        <v>129</v>
      </c>
      <c r="B31" s="285">
        <v>2308232</v>
      </c>
      <c r="C31" s="291">
        <f>B31/'- 3 -'!$D31*100</f>
        <v>6.0691169814888717</v>
      </c>
      <c r="D31" s="285">
        <f>B31/'- 7 -'!$E31</f>
        <v>697.26679555340741</v>
      </c>
      <c r="E31" s="285">
        <v>1214142</v>
      </c>
      <c r="F31" s="291">
        <f>E31/'- 3 -'!$D31*100</f>
        <v>3.1923870001537376</v>
      </c>
      <c r="G31" s="285">
        <f>E31/'- 7 -'!$E31</f>
        <v>366.7659497341711</v>
      </c>
      <c r="H31" s="285">
        <v>1168787</v>
      </c>
      <c r="I31" s="291">
        <f>H31/'- 3 -'!$D31*100</f>
        <v>3.0731334759432474</v>
      </c>
      <c r="J31" s="285">
        <f>H31/'- 7 -'!$E31</f>
        <v>353.06518849685835</v>
      </c>
    </row>
    <row r="32" spans="1:10" ht="14.1" customHeight="1" x14ac:dyDescent="0.2">
      <c r="A32" s="19" t="s">
        <v>130</v>
      </c>
      <c r="B32" s="20">
        <v>1182868</v>
      </c>
      <c r="C32" s="70">
        <f>B32/'- 3 -'!$D32*100</f>
        <v>3.7676165283747198</v>
      </c>
      <c r="D32" s="20">
        <f>B32/'- 7 -'!$E32</f>
        <v>540.98696546992915</v>
      </c>
      <c r="E32" s="20">
        <v>2164899</v>
      </c>
      <c r="F32" s="70">
        <f>E32/'- 3 -'!$D32*100</f>
        <v>6.895536319066796</v>
      </c>
      <c r="G32" s="20">
        <f>E32/'- 7 -'!$E32</f>
        <v>990.12074091013039</v>
      </c>
      <c r="H32" s="20">
        <v>841472</v>
      </c>
      <c r="I32" s="70">
        <f>H32/'- 3 -'!$D32*100</f>
        <v>2.6802177549519746</v>
      </c>
      <c r="J32" s="20">
        <f>H32/'- 7 -'!$E32</f>
        <v>384.84884518637091</v>
      </c>
    </row>
    <row r="33" spans="1:10" ht="14.1" customHeight="1" x14ac:dyDescent="0.2">
      <c r="A33" s="284" t="s">
        <v>131</v>
      </c>
      <c r="B33" s="285">
        <v>1478190</v>
      </c>
      <c r="C33" s="291">
        <f>B33/'- 3 -'!$D33*100</f>
        <v>5.2142140393962606</v>
      </c>
      <c r="D33" s="285">
        <f>B33/'- 7 -'!$E33</f>
        <v>705.71469492981953</v>
      </c>
      <c r="E33" s="285">
        <v>1229822</v>
      </c>
      <c r="F33" s="291">
        <f>E33/'- 3 -'!$D33*100</f>
        <v>4.3381129207736402</v>
      </c>
      <c r="G33" s="285">
        <f>E33/'- 7 -'!$E33</f>
        <v>587.13931060823074</v>
      </c>
      <c r="H33" s="285">
        <v>431586</v>
      </c>
      <c r="I33" s="291">
        <f>H33/'- 3 -'!$D33*100</f>
        <v>1.5223900719169217</v>
      </c>
      <c r="J33" s="285">
        <f>H33/'- 7 -'!$E33</f>
        <v>206.04697794328274</v>
      </c>
    </row>
    <row r="34" spans="1:10" ht="14.1" customHeight="1" x14ac:dyDescent="0.2">
      <c r="A34" s="19" t="s">
        <v>132</v>
      </c>
      <c r="B34" s="20">
        <v>1294429</v>
      </c>
      <c r="C34" s="70">
        <f>B34/'- 3 -'!$D34*100</f>
        <v>4.2105462778404501</v>
      </c>
      <c r="D34" s="20">
        <f>B34/'- 7 -'!$E34</f>
        <v>617.27069841966215</v>
      </c>
      <c r="E34" s="20">
        <v>1344970</v>
      </c>
      <c r="F34" s="70">
        <f>E34/'- 3 -'!$D34*100</f>
        <v>4.3749471213230473</v>
      </c>
      <c r="G34" s="20">
        <f>E34/'- 7 -'!$E34</f>
        <v>641.37204223135689</v>
      </c>
      <c r="H34" s="20">
        <v>924205</v>
      </c>
      <c r="I34" s="70">
        <f>H34/'- 3 -'!$D34*100</f>
        <v>3.0062737490519247</v>
      </c>
      <c r="J34" s="20">
        <f>H34/'- 7 -'!$E34</f>
        <v>440.72302600833564</v>
      </c>
    </row>
    <row r="35" spans="1:10" ht="14.1" customHeight="1" x14ac:dyDescent="0.2">
      <c r="A35" s="284" t="s">
        <v>133</v>
      </c>
      <c r="B35" s="285">
        <v>15228413</v>
      </c>
      <c r="C35" s="291">
        <f>B35/'- 3 -'!$D35*100</f>
        <v>8.085985207115689</v>
      </c>
      <c r="D35" s="285">
        <f>B35/'- 7 -'!$E35</f>
        <v>960.2379090737121</v>
      </c>
      <c r="E35" s="285">
        <v>10486455</v>
      </c>
      <c r="F35" s="291">
        <f>E35/'- 3 -'!$D35*100</f>
        <v>5.5680995784054677</v>
      </c>
      <c r="G35" s="285">
        <f>E35/'- 7 -'!$E35</f>
        <v>661.23053155936691</v>
      </c>
      <c r="H35" s="285">
        <v>3328451</v>
      </c>
      <c r="I35" s="291">
        <f>H35/'- 3 -'!$D35*100</f>
        <v>1.7673414523633828</v>
      </c>
      <c r="J35" s="285">
        <f>H35/'- 7 -'!$E35</f>
        <v>209.87773504004036</v>
      </c>
    </row>
    <row r="36" spans="1:10" ht="14.1" customHeight="1" x14ac:dyDescent="0.2">
      <c r="A36" s="19" t="s">
        <v>134</v>
      </c>
      <c r="B36" s="20">
        <v>805769</v>
      </c>
      <c r="C36" s="70">
        <f>B36/'- 3 -'!$D36*100</f>
        <v>3.4050511977468494</v>
      </c>
      <c r="D36" s="20">
        <f>B36/'- 7 -'!$E36</f>
        <v>476.56079962148095</v>
      </c>
      <c r="E36" s="20">
        <v>1160952</v>
      </c>
      <c r="F36" s="70">
        <f>E36/'- 3 -'!$D36*100</f>
        <v>4.9059978705145033</v>
      </c>
      <c r="G36" s="20">
        <f>E36/'- 7 -'!$E36</f>
        <v>686.62881476224277</v>
      </c>
      <c r="H36" s="20">
        <v>552210</v>
      </c>
      <c r="I36" s="70">
        <f>H36/'- 3 -'!$D36*100</f>
        <v>2.3335513303537216</v>
      </c>
      <c r="J36" s="20">
        <f>H36/'- 7 -'!$E36</f>
        <v>326.59687721788504</v>
      </c>
    </row>
    <row r="37" spans="1:10" ht="14.1" customHeight="1" x14ac:dyDescent="0.2">
      <c r="A37" s="284" t="s">
        <v>135</v>
      </c>
      <c r="B37" s="285">
        <v>4036606</v>
      </c>
      <c r="C37" s="291">
        <f>B37/'- 3 -'!$D37*100</f>
        <v>7.7016036181723617</v>
      </c>
      <c r="D37" s="285">
        <f>B37/'- 7 -'!$E37</f>
        <v>962.24219308700833</v>
      </c>
      <c r="E37" s="285">
        <v>2179067</v>
      </c>
      <c r="F37" s="291">
        <f>E37/'- 3 -'!$D37*100</f>
        <v>4.1575299376357249</v>
      </c>
      <c r="G37" s="285">
        <f>E37/'- 7 -'!$E37</f>
        <v>519.44386174016688</v>
      </c>
      <c r="H37" s="285">
        <v>1555576</v>
      </c>
      <c r="I37" s="291">
        <f>H37/'- 3 -'!$D37*100</f>
        <v>2.967946277130364</v>
      </c>
      <c r="J37" s="285">
        <f>H37/'- 7 -'!$E37</f>
        <v>370.81668653158522</v>
      </c>
    </row>
    <row r="38" spans="1:10" ht="14.1" customHeight="1" x14ac:dyDescent="0.2">
      <c r="A38" s="19" t="s">
        <v>136</v>
      </c>
      <c r="B38" s="20">
        <v>13227511</v>
      </c>
      <c r="C38" s="70">
        <f>B38/'- 3 -'!$D38*100</f>
        <v>9.390928290590427</v>
      </c>
      <c r="D38" s="20">
        <f>B38/'- 7 -'!$E38</f>
        <v>1194.9834676399378</v>
      </c>
      <c r="E38" s="20">
        <v>5437988</v>
      </c>
      <c r="F38" s="70">
        <f>E38/'- 3 -'!$D38*100</f>
        <v>3.8607229548394448</v>
      </c>
      <c r="G38" s="20">
        <f>E38/'- 7 -'!$E38</f>
        <v>491.27199797636683</v>
      </c>
      <c r="H38" s="20">
        <v>4255813</v>
      </c>
      <c r="I38" s="70">
        <f>H38/'- 3 -'!$D38*100</f>
        <v>3.0214327322171588</v>
      </c>
      <c r="J38" s="20">
        <f>H38/'- 7 -'!$E38</f>
        <v>384.47340367867594</v>
      </c>
    </row>
    <row r="39" spans="1:10" ht="14.1" customHeight="1" x14ac:dyDescent="0.2">
      <c r="A39" s="284" t="s">
        <v>137</v>
      </c>
      <c r="B39" s="285">
        <v>1406647</v>
      </c>
      <c r="C39" s="291">
        <f>B39/'- 3 -'!$D39*100</f>
        <v>6.3103367093209517</v>
      </c>
      <c r="D39" s="285">
        <f>B39/'- 7 -'!$E39</f>
        <v>929.7072042300066</v>
      </c>
      <c r="E39" s="285">
        <v>711499</v>
      </c>
      <c r="F39" s="291">
        <f>E39/'- 3 -'!$D39*100</f>
        <v>3.1918443350358325</v>
      </c>
      <c r="G39" s="285">
        <f>E39/'- 7 -'!$E39</f>
        <v>470.25710508922668</v>
      </c>
      <c r="H39" s="285">
        <v>345376</v>
      </c>
      <c r="I39" s="291">
        <f>H39/'- 3 -'!$D39*100</f>
        <v>1.549385774340281</v>
      </c>
      <c r="J39" s="285">
        <f>H39/'- 7 -'!$E39</f>
        <v>228.27230667547917</v>
      </c>
    </row>
    <row r="40" spans="1:10" ht="14.1" customHeight="1" x14ac:dyDescent="0.2">
      <c r="A40" s="19" t="s">
        <v>138</v>
      </c>
      <c r="B40" s="20">
        <v>10804821</v>
      </c>
      <c r="C40" s="70">
        <f>B40/'- 3 -'!$D40*100</f>
        <v>10.199846577794716</v>
      </c>
      <c r="D40" s="20">
        <f>B40/'- 7 -'!$E40</f>
        <v>1329.4805035006339</v>
      </c>
      <c r="E40" s="20">
        <v>7186583</v>
      </c>
      <c r="F40" s="70">
        <f>E40/'- 3 -'!$D40*100</f>
        <v>6.7841979074514684</v>
      </c>
      <c r="G40" s="20">
        <f>E40/'- 7 -'!$E40</f>
        <v>884.27397226562982</v>
      </c>
      <c r="H40" s="20">
        <v>2613451</v>
      </c>
      <c r="I40" s="70">
        <f>H40/'- 3 -'!$D40*100</f>
        <v>2.4671208563829219</v>
      </c>
      <c r="J40" s="20">
        <f>H40/'- 7 -'!$E40</f>
        <v>321.57239359673196</v>
      </c>
    </row>
    <row r="41" spans="1:10" ht="14.1" customHeight="1" x14ac:dyDescent="0.2">
      <c r="A41" s="284" t="s">
        <v>139</v>
      </c>
      <c r="B41" s="285">
        <v>4906636</v>
      </c>
      <c r="C41" s="291">
        <f>B41/'- 3 -'!$D41*100</f>
        <v>7.5561266900561046</v>
      </c>
      <c r="D41" s="285">
        <f>B41/'- 7 -'!$E41</f>
        <v>1103.7309638960746</v>
      </c>
      <c r="E41" s="285">
        <v>4008738</v>
      </c>
      <c r="F41" s="291">
        <f>E41/'- 3 -'!$D41*100</f>
        <v>6.1733807429860557</v>
      </c>
      <c r="G41" s="285">
        <f>E41/'- 7 -'!$E41</f>
        <v>901.75188392756718</v>
      </c>
      <c r="H41" s="285">
        <v>1181543</v>
      </c>
      <c r="I41" s="291">
        <f>H41/'- 3 -'!$D41*100</f>
        <v>1.8195538853399682</v>
      </c>
      <c r="J41" s="285">
        <f>H41/'- 7 -'!$E41</f>
        <v>265.78405128781912</v>
      </c>
    </row>
    <row r="42" spans="1:10" ht="14.1" customHeight="1" x14ac:dyDescent="0.2">
      <c r="A42" s="19" t="s">
        <v>140</v>
      </c>
      <c r="B42" s="20">
        <v>1390520</v>
      </c>
      <c r="C42" s="70">
        <f>B42/'- 3 -'!$D42*100</f>
        <v>6.6629914125075071</v>
      </c>
      <c r="D42" s="20">
        <f>B42/'- 7 -'!$E42</f>
        <v>984.78753541076492</v>
      </c>
      <c r="E42" s="20">
        <v>734560</v>
      </c>
      <c r="F42" s="70">
        <f>E42/'- 3 -'!$D42*100</f>
        <v>3.5198105543045157</v>
      </c>
      <c r="G42" s="20">
        <f>E42/'- 7 -'!$E42</f>
        <v>520.22662889518415</v>
      </c>
      <c r="H42" s="20">
        <v>226843</v>
      </c>
      <c r="I42" s="70">
        <f>H42/'- 3 -'!$D42*100</f>
        <v>1.0869695948188021</v>
      </c>
      <c r="J42" s="20">
        <f>H42/'- 7 -'!$E42</f>
        <v>160.65368271954674</v>
      </c>
    </row>
    <row r="43" spans="1:10" ht="14.1" customHeight="1" x14ac:dyDescent="0.2">
      <c r="A43" s="284" t="s">
        <v>141</v>
      </c>
      <c r="B43" s="285">
        <v>308926</v>
      </c>
      <c r="C43" s="291">
        <f>B43/'- 3 -'!$D43*100</f>
        <v>2.2965798485351301</v>
      </c>
      <c r="D43" s="285">
        <f>B43/'- 7 -'!$E43</f>
        <v>318.80908152734776</v>
      </c>
      <c r="E43" s="285">
        <v>1380840</v>
      </c>
      <c r="F43" s="291">
        <f>E43/'- 3 -'!$D43*100</f>
        <v>10.265271676878115</v>
      </c>
      <c r="G43" s="285">
        <f>E43/'- 7 -'!$E43</f>
        <v>1425.015479876161</v>
      </c>
      <c r="H43" s="285">
        <v>235192</v>
      </c>
      <c r="I43" s="291">
        <f>H43/'- 3 -'!$D43*100</f>
        <v>1.7484355727153889</v>
      </c>
      <c r="J43" s="285">
        <f>H43/'- 7 -'!$E43</f>
        <v>242.71620227038184</v>
      </c>
    </row>
    <row r="44" spans="1:10" ht="14.1" customHeight="1" x14ac:dyDescent="0.2">
      <c r="A44" s="19" t="s">
        <v>142</v>
      </c>
      <c r="B44" s="20">
        <v>837778</v>
      </c>
      <c r="C44" s="70">
        <f>B44/'- 3 -'!$D44*100</f>
        <v>7.6425059648780325</v>
      </c>
      <c r="D44" s="20">
        <f>B44/'- 7 -'!$E44</f>
        <v>1207.1729106628243</v>
      </c>
      <c r="E44" s="20">
        <v>433883</v>
      </c>
      <c r="F44" s="70">
        <f>E44/'- 3 -'!$D44*100</f>
        <v>3.9580335310299093</v>
      </c>
      <c r="G44" s="20">
        <f>E44/'- 7 -'!$E44</f>
        <v>625.19164265129677</v>
      </c>
      <c r="H44" s="20">
        <v>49386</v>
      </c>
      <c r="I44" s="70">
        <f>H44/'- 3 -'!$D44*100</f>
        <v>0.45051648477456618</v>
      </c>
      <c r="J44" s="20">
        <f>H44/'- 7 -'!$E44</f>
        <v>71.161383285302591</v>
      </c>
    </row>
    <row r="45" spans="1:10" ht="14.1" customHeight="1" x14ac:dyDescent="0.2">
      <c r="A45" s="284" t="s">
        <v>143</v>
      </c>
      <c r="B45" s="285">
        <v>625610</v>
      </c>
      <c r="C45" s="291">
        <f>B45/'- 3 -'!$D45*100</f>
        <v>3.1352653428968758</v>
      </c>
      <c r="D45" s="285">
        <f>B45/'- 7 -'!$E45</f>
        <v>362.04282407407408</v>
      </c>
      <c r="E45" s="285">
        <v>915298</v>
      </c>
      <c r="F45" s="291">
        <f>E45/'- 3 -'!$D45*100</f>
        <v>4.5870463992308697</v>
      </c>
      <c r="G45" s="285">
        <f>E45/'- 7 -'!$E45</f>
        <v>529.68634259259261</v>
      </c>
      <c r="H45" s="285">
        <v>483186</v>
      </c>
      <c r="I45" s="291">
        <f>H45/'- 3 -'!$D45*100</f>
        <v>2.4215027252968619</v>
      </c>
      <c r="J45" s="285">
        <f>H45/'- 7 -'!$E45</f>
        <v>279.62152777777777</v>
      </c>
    </row>
    <row r="46" spans="1:10" ht="14.1" customHeight="1" x14ac:dyDescent="0.2">
      <c r="A46" s="19" t="s">
        <v>144</v>
      </c>
      <c r="B46" s="20">
        <v>19164672</v>
      </c>
      <c r="C46" s="70">
        <f>B46/'- 3 -'!$D46*100</f>
        <v>4.8287962864139642</v>
      </c>
      <c r="D46" s="20">
        <f>B46/'- 7 -'!$E46</f>
        <v>640.97822342478537</v>
      </c>
      <c r="E46" s="20">
        <v>21227205</v>
      </c>
      <c r="F46" s="70">
        <f>E46/'- 3 -'!$D46*100</f>
        <v>5.3484791534625762</v>
      </c>
      <c r="G46" s="20">
        <f>E46/'- 7 -'!$E46</f>
        <v>709.96133662886177</v>
      </c>
      <c r="H46" s="20">
        <v>6347613</v>
      </c>
      <c r="I46" s="70">
        <f>H46/'- 3 -'!$D46*100</f>
        <v>1.5993662757177896</v>
      </c>
      <c r="J46" s="20">
        <f>H46/'- 7 -'!$E46</f>
        <v>212.30113949918226</v>
      </c>
    </row>
    <row r="47" spans="1:10" ht="5.0999999999999996" customHeight="1" x14ac:dyDescent="0.2">
      <c r="A47" s="21"/>
      <c r="B47" s="22"/>
      <c r="C47"/>
      <c r="D47" s="22"/>
      <c r="E47" s="22"/>
      <c r="F47"/>
      <c r="G47" s="22"/>
      <c r="H47"/>
      <c r="I47"/>
      <c r="J47"/>
    </row>
    <row r="48" spans="1:10" ht="14.1" customHeight="1" x14ac:dyDescent="0.2">
      <c r="A48" s="286" t="s">
        <v>145</v>
      </c>
      <c r="B48" s="287">
        <f>SUM(B11:B46)</f>
        <v>151996465</v>
      </c>
      <c r="C48" s="294">
        <f>B48/'- 3 -'!$D48*100</f>
        <v>6.4490011106312224</v>
      </c>
      <c r="D48" s="287">
        <f>B48/'- 7 -'!$E48</f>
        <v>856.90295842801299</v>
      </c>
      <c r="E48" s="287">
        <f>SUM(E11:E46)</f>
        <v>116526698</v>
      </c>
      <c r="F48" s="294">
        <f>E48/'- 3 -'!$D48*100</f>
        <v>4.9440676453902332</v>
      </c>
      <c r="G48" s="287">
        <f>E48/'- 7 -'!$E48</f>
        <v>656.93680607669148</v>
      </c>
      <c r="H48" s="287">
        <f>SUM(H11:H46)</f>
        <v>51167420</v>
      </c>
      <c r="I48" s="294">
        <f>H48/'- 3 -'!$D48*100</f>
        <v>2.1709633076541235</v>
      </c>
      <c r="J48" s="287">
        <f>H48/'- 7 -'!$E48</f>
        <v>288.4640348256039</v>
      </c>
    </row>
    <row r="49" spans="1:10" ht="5.0999999999999996" customHeight="1" x14ac:dyDescent="0.2">
      <c r="A49" s="21" t="s">
        <v>7</v>
      </c>
      <c r="B49" s="22"/>
      <c r="C49"/>
      <c r="E49" s="22"/>
      <c r="F49"/>
      <c r="H49"/>
      <c r="I49"/>
      <c r="J49"/>
    </row>
    <row r="50" spans="1:10" ht="14.1" customHeight="1" x14ac:dyDescent="0.2">
      <c r="A50" s="19" t="s">
        <v>146</v>
      </c>
      <c r="B50" s="20">
        <v>149269</v>
      </c>
      <c r="C50" s="70">
        <f>B50/'- 3 -'!$D50*100</f>
        <v>4.6111510470228119</v>
      </c>
      <c r="D50" s="20">
        <f>B50/'- 7 -'!$E50</f>
        <v>910.17682926829264</v>
      </c>
      <c r="E50" s="20">
        <v>748</v>
      </c>
      <c r="F50" s="70">
        <f>E50/'- 3 -'!$D50*100</f>
        <v>2.3106880753358452E-2</v>
      </c>
      <c r="G50" s="20">
        <f>E50/'- 7 -'!$E50</f>
        <v>4.5609756097560972</v>
      </c>
      <c r="H50" s="20">
        <v>87423</v>
      </c>
      <c r="I50" s="70">
        <f>H50/'- 3 -'!$D50*100</f>
        <v>2.7006321338246737</v>
      </c>
      <c r="J50" s="20">
        <f>H50/'- 7 -'!$E50</f>
        <v>533.06707317073176</v>
      </c>
    </row>
    <row r="51" spans="1:10" ht="14.1" customHeight="1" x14ac:dyDescent="0.2">
      <c r="A51" s="284" t="s">
        <v>607</v>
      </c>
      <c r="B51" s="285">
        <v>0</v>
      </c>
      <c r="C51" s="291">
        <f>B51/'- 3 -'!$D51*100</f>
        <v>0</v>
      </c>
      <c r="D51" s="285">
        <f>B51/'- 7 -'!$E51</f>
        <v>0</v>
      </c>
      <c r="E51" s="285">
        <v>60843</v>
      </c>
      <c r="F51" s="291">
        <f>E51/'- 3 -'!$D51*100</f>
        <v>0.20046151979306698</v>
      </c>
      <c r="G51" s="285">
        <f>E51/'- 7 -'!$E51</f>
        <v>55.921875</v>
      </c>
      <c r="H51" s="285">
        <v>660725</v>
      </c>
      <c r="I51" s="291">
        <f>H51/'- 3 -'!$D51*100</f>
        <v>2.1769133288180096</v>
      </c>
      <c r="J51" s="285">
        <f>H51/'- 7 -'!$E51</f>
        <v>607.28400735294122</v>
      </c>
    </row>
    <row r="52" spans="1:10" ht="50.1" customHeight="1" x14ac:dyDescent="0.2">
      <c r="A52" s="23"/>
      <c r="B52" s="23"/>
      <c r="C52" s="23"/>
      <c r="D52" s="23"/>
      <c r="E52" s="23"/>
      <c r="F52" s="23"/>
      <c r="G52" s="23"/>
      <c r="H52" s="23"/>
      <c r="I52" s="23"/>
      <c r="J52" s="23"/>
    </row>
    <row r="53" spans="1:10" x14ac:dyDescent="0.2">
      <c r="A53" s="130" t="s">
        <v>345</v>
      </c>
      <c r="B53" s="130"/>
    </row>
    <row r="54" spans="1:10" x14ac:dyDescent="0.2">
      <c r="A54" s="130" t="s">
        <v>331</v>
      </c>
      <c r="B54" s="130"/>
    </row>
  </sheetData>
  <mergeCells count="6">
    <mergeCell ref="D8:D9"/>
    <mergeCell ref="G8:G9"/>
    <mergeCell ref="J8:J9"/>
    <mergeCell ref="B6:D7"/>
    <mergeCell ref="E6:G7"/>
    <mergeCell ref="H6:J7"/>
  </mergeCells>
  <phoneticPr fontId="6" type="noConversion"/>
  <pageMargins left="0.5" right="0.5" top="0.6" bottom="0.2" header="0.3" footer="0.5"/>
  <pageSetup scale="87" orientation="portrait" r:id="rId1"/>
  <headerFooter alignWithMargins="0">
    <oddHeader>&amp;C&amp;"Arial,Regular"&amp;11&amp;A</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1">
    <pageSetUpPr fitToPage="1"/>
  </sheetPr>
  <dimension ref="A1:F52"/>
  <sheetViews>
    <sheetView showGridLines="0" showZeros="0" workbookViewId="0"/>
  </sheetViews>
  <sheetFormatPr defaultColWidth="15.83203125" defaultRowHeight="12" x14ac:dyDescent="0.2"/>
  <cols>
    <col min="1" max="1" width="32.83203125" style="2" customWidth="1"/>
    <col min="2" max="2" width="23.83203125" style="2" customWidth="1"/>
    <col min="3" max="3" width="12.83203125" style="2" customWidth="1"/>
    <col min="4" max="4" width="22.83203125" style="2" customWidth="1"/>
    <col min="5" max="5" width="12.83203125" style="2" customWidth="1"/>
    <col min="6" max="6" width="27.83203125" style="2" customWidth="1"/>
    <col min="7" max="16384" width="15.83203125" style="2"/>
  </cols>
  <sheetData>
    <row r="1" spans="1:6" ht="6.95" customHeight="1" x14ac:dyDescent="0.2">
      <c r="A1" s="7"/>
      <c r="B1" s="8"/>
      <c r="C1" s="8"/>
      <c r="D1" s="8"/>
      <c r="E1" s="8"/>
    </row>
    <row r="2" spans="1:6" ht="15.95" customHeight="1" x14ac:dyDescent="0.2">
      <c r="A2" s="134"/>
      <c r="B2" s="9" t="s">
        <v>263</v>
      </c>
      <c r="C2" s="10"/>
      <c r="D2" s="10"/>
      <c r="E2" s="135"/>
      <c r="F2" s="395" t="s">
        <v>403</v>
      </c>
    </row>
    <row r="3" spans="1:6" ht="15.95" customHeight="1" x14ac:dyDescent="0.2">
      <c r="A3" s="541"/>
      <c r="B3" s="11" t="str">
        <f>OPYEAR</f>
        <v>OPERATING FUND 2017/2018 ACTUAL</v>
      </c>
      <c r="C3" s="12"/>
      <c r="D3" s="12"/>
      <c r="E3" s="66"/>
      <c r="F3" s="66"/>
    </row>
    <row r="4" spans="1:6" ht="15.95" customHeight="1" x14ac:dyDescent="0.2">
      <c r="B4" s="8"/>
      <c r="C4" s="8"/>
      <c r="D4" s="8"/>
      <c r="E4" s="8"/>
    </row>
    <row r="5" spans="1:6" ht="15.95" customHeight="1" x14ac:dyDescent="0.2">
      <c r="B5" s="154" t="s">
        <v>189</v>
      </c>
      <c r="C5" s="173"/>
      <c r="D5" s="39"/>
      <c r="E5" s="183"/>
    </row>
    <row r="6" spans="1:6" ht="15.95" customHeight="1" x14ac:dyDescent="0.2">
      <c r="B6" s="638" t="s">
        <v>486</v>
      </c>
      <c r="C6" s="639"/>
      <c r="D6" s="336"/>
      <c r="E6" s="337"/>
    </row>
    <row r="7" spans="1:6" ht="15.95" customHeight="1" x14ac:dyDescent="0.2">
      <c r="B7" s="640"/>
      <c r="C7" s="641"/>
      <c r="D7" s="643" t="s">
        <v>79</v>
      </c>
      <c r="E7" s="644"/>
    </row>
    <row r="8" spans="1:6" ht="15.95" customHeight="1" x14ac:dyDescent="0.2">
      <c r="A8" s="67"/>
      <c r="B8" s="139"/>
      <c r="C8" s="137"/>
      <c r="D8" s="139"/>
      <c r="E8" s="137"/>
    </row>
    <row r="9" spans="1:6" ht="15.95" customHeight="1" x14ac:dyDescent="0.2">
      <c r="A9" s="35" t="s">
        <v>42</v>
      </c>
      <c r="B9" s="77" t="s">
        <v>43</v>
      </c>
      <c r="C9" s="77" t="s">
        <v>44</v>
      </c>
      <c r="D9" s="77" t="s">
        <v>43</v>
      </c>
      <c r="E9" s="77" t="s">
        <v>44</v>
      </c>
    </row>
    <row r="10" spans="1:6" ht="5.0999999999999996" customHeight="1" x14ac:dyDescent="0.2">
      <c r="A10" s="6"/>
    </row>
    <row r="11" spans="1:6" ht="14.1" customHeight="1" x14ac:dyDescent="0.2">
      <c r="A11" s="284" t="s">
        <v>110</v>
      </c>
      <c r="B11" s="285">
        <v>0</v>
      </c>
      <c r="C11" s="291">
        <f>B11/'- 3 -'!$D11*100</f>
        <v>0</v>
      </c>
      <c r="D11" s="285">
        <v>0</v>
      </c>
      <c r="E11" s="291">
        <f>D11/'- 3 -'!$D11*100</f>
        <v>0</v>
      </c>
    </row>
    <row r="12" spans="1:6" ht="14.1" customHeight="1" x14ac:dyDescent="0.2">
      <c r="A12" s="19" t="s">
        <v>111</v>
      </c>
      <c r="B12" s="20">
        <v>139358</v>
      </c>
      <c r="C12" s="70">
        <f>B12/'- 3 -'!$D12*100</f>
        <v>0.4093340427853619</v>
      </c>
      <c r="D12" s="20">
        <v>415800</v>
      </c>
      <c r="E12" s="70">
        <f>D12/'- 3 -'!$D12*100</f>
        <v>1.2213227442282</v>
      </c>
    </row>
    <row r="13" spans="1:6" ht="14.1" customHeight="1" x14ac:dyDescent="0.2">
      <c r="A13" s="284" t="s">
        <v>112</v>
      </c>
      <c r="B13" s="285">
        <v>0</v>
      </c>
      <c r="C13" s="291">
        <f>B13/'- 3 -'!$D13*100</f>
        <v>0</v>
      </c>
      <c r="D13" s="285">
        <v>0</v>
      </c>
      <c r="E13" s="291">
        <f>D13/'- 3 -'!$D13*100</f>
        <v>0</v>
      </c>
    </row>
    <row r="14" spans="1:6" ht="14.1" customHeight="1" x14ac:dyDescent="0.2">
      <c r="A14" s="19" t="s">
        <v>359</v>
      </c>
      <c r="B14" s="20">
        <v>69653</v>
      </c>
      <c r="C14" s="70">
        <f>B14/'- 3 -'!$D14*100</f>
        <v>7.9094056519915801E-2</v>
      </c>
      <c r="D14" s="20">
        <v>181646</v>
      </c>
      <c r="E14" s="70">
        <f>D14/'- 3 -'!$D14*100</f>
        <v>0.20626705225355152</v>
      </c>
    </row>
    <row r="15" spans="1:6" ht="14.1" customHeight="1" x14ac:dyDescent="0.2">
      <c r="A15" s="284" t="s">
        <v>113</v>
      </c>
      <c r="B15" s="285">
        <v>0</v>
      </c>
      <c r="C15" s="291">
        <f>B15/'- 3 -'!$D15*100</f>
        <v>0</v>
      </c>
      <c r="D15" s="285">
        <v>0</v>
      </c>
      <c r="E15" s="291">
        <f>D15/'- 3 -'!$D15*100</f>
        <v>0</v>
      </c>
    </row>
    <row r="16" spans="1:6" ht="14.1" customHeight="1" x14ac:dyDescent="0.2">
      <c r="A16" s="19" t="s">
        <v>114</v>
      </c>
      <c r="B16" s="20">
        <v>23926</v>
      </c>
      <c r="C16" s="70">
        <f>B16/'- 3 -'!$D16*100</f>
        <v>0.16539650227114297</v>
      </c>
      <c r="D16" s="20">
        <v>72793</v>
      </c>
      <c r="E16" s="70">
        <f>D16/'- 3 -'!$D16*100</f>
        <v>0.50320603485009241</v>
      </c>
    </row>
    <row r="17" spans="1:5" ht="14.1" customHeight="1" x14ac:dyDescent="0.2">
      <c r="A17" s="284" t="s">
        <v>115</v>
      </c>
      <c r="B17" s="285">
        <v>0</v>
      </c>
      <c r="C17" s="291">
        <f>B17/'- 3 -'!$D17*100</f>
        <v>0</v>
      </c>
      <c r="D17" s="285">
        <v>0</v>
      </c>
      <c r="E17" s="291">
        <f>D17/'- 3 -'!$D17*100</f>
        <v>0</v>
      </c>
    </row>
    <row r="18" spans="1:5" ht="14.1" customHeight="1" x14ac:dyDescent="0.2">
      <c r="A18" s="19" t="s">
        <v>116</v>
      </c>
      <c r="B18" s="20">
        <v>202405</v>
      </c>
      <c r="C18" s="70">
        <f>B18/'- 3 -'!$D18*100</f>
        <v>0.15210003402177288</v>
      </c>
      <c r="D18" s="20">
        <v>1962274</v>
      </c>
      <c r="E18" s="70">
        <f>D18/'- 3 -'!$D18*100</f>
        <v>1.4745779114154314</v>
      </c>
    </row>
    <row r="19" spans="1:5" ht="14.1" customHeight="1" x14ac:dyDescent="0.2">
      <c r="A19" s="284" t="s">
        <v>117</v>
      </c>
      <c r="B19" s="285">
        <v>0</v>
      </c>
      <c r="C19" s="291">
        <f>B19/'- 3 -'!$D19*100</f>
        <v>0</v>
      </c>
      <c r="D19" s="285">
        <v>0</v>
      </c>
      <c r="E19" s="291">
        <f>D19/'- 3 -'!$D19*100</f>
        <v>0</v>
      </c>
    </row>
    <row r="20" spans="1:5" ht="14.1" customHeight="1" x14ac:dyDescent="0.2">
      <c r="A20" s="19" t="s">
        <v>118</v>
      </c>
      <c r="B20" s="20">
        <v>0</v>
      </c>
      <c r="C20" s="70">
        <f>B20/'- 3 -'!$D20*100</f>
        <v>0</v>
      </c>
      <c r="D20" s="20">
        <v>0</v>
      </c>
      <c r="E20" s="70">
        <f>D20/'- 3 -'!$D20*100</f>
        <v>0</v>
      </c>
    </row>
    <row r="21" spans="1:5" ht="14.1" customHeight="1" x14ac:dyDescent="0.2">
      <c r="A21" s="284" t="s">
        <v>119</v>
      </c>
      <c r="B21" s="285">
        <v>0</v>
      </c>
      <c r="C21" s="291">
        <f>B21/'- 3 -'!$D21*100</f>
        <v>0</v>
      </c>
      <c r="D21" s="285">
        <v>0</v>
      </c>
      <c r="E21" s="291">
        <f>D21/'- 3 -'!$D21*100</f>
        <v>0</v>
      </c>
    </row>
    <row r="22" spans="1:5" ht="14.1" customHeight="1" x14ac:dyDescent="0.2">
      <c r="A22" s="19" t="s">
        <v>120</v>
      </c>
      <c r="B22" s="20">
        <v>179310</v>
      </c>
      <c r="C22" s="70">
        <f>B22/'- 3 -'!$D22*100</f>
        <v>0.86946659380946179</v>
      </c>
      <c r="D22" s="20">
        <v>424871</v>
      </c>
      <c r="E22" s="70">
        <f>D22/'- 3 -'!$D22*100</f>
        <v>2.0601814799978801</v>
      </c>
    </row>
    <row r="23" spans="1:5" ht="14.1" customHeight="1" x14ac:dyDescent="0.2">
      <c r="A23" s="284" t="s">
        <v>121</v>
      </c>
      <c r="B23" s="285">
        <v>64396</v>
      </c>
      <c r="C23" s="291">
        <f>B23/'- 3 -'!$D23*100</f>
        <v>0.38877768190552503</v>
      </c>
      <c r="D23" s="285">
        <v>208430</v>
      </c>
      <c r="E23" s="291">
        <f>D23/'- 3 -'!$D23*100</f>
        <v>1.2583535039376448</v>
      </c>
    </row>
    <row r="24" spans="1:5" ht="14.1" customHeight="1" x14ac:dyDescent="0.2">
      <c r="A24" s="19" t="s">
        <v>122</v>
      </c>
      <c r="B24" s="20">
        <v>82291</v>
      </c>
      <c r="C24" s="70">
        <f>B24/'- 3 -'!$D24*100</f>
        <v>0.14219576519581056</v>
      </c>
      <c r="D24" s="20">
        <v>275164</v>
      </c>
      <c r="E24" s="70">
        <f>D24/'- 3 -'!$D24*100</f>
        <v>0.47547308374354441</v>
      </c>
    </row>
    <row r="25" spans="1:5" ht="14.1" customHeight="1" x14ac:dyDescent="0.2">
      <c r="A25" s="284" t="s">
        <v>123</v>
      </c>
      <c r="B25" s="285">
        <v>135802</v>
      </c>
      <c r="C25" s="291">
        <f>B25/'- 3 -'!$D25*100</f>
        <v>7.2602537397788783E-2</v>
      </c>
      <c r="D25" s="285">
        <v>1109495</v>
      </c>
      <c r="E25" s="291">
        <f>D25/'- 3 -'!$D25*100</f>
        <v>0.59315880642523422</v>
      </c>
    </row>
    <row r="26" spans="1:5" ht="14.1" customHeight="1" x14ac:dyDescent="0.2">
      <c r="A26" s="19" t="s">
        <v>124</v>
      </c>
      <c r="B26" s="20">
        <v>0</v>
      </c>
      <c r="C26" s="70">
        <f>B26/'- 3 -'!$D26*100</f>
        <v>0</v>
      </c>
      <c r="D26" s="20">
        <v>0</v>
      </c>
      <c r="E26" s="70">
        <f>D26/'- 3 -'!$D26*100</f>
        <v>0</v>
      </c>
    </row>
    <row r="27" spans="1:5" ht="14.1" customHeight="1" x14ac:dyDescent="0.2">
      <c r="A27" s="284" t="s">
        <v>125</v>
      </c>
      <c r="B27" s="285">
        <v>0</v>
      </c>
      <c r="C27" s="291">
        <f>B27/'- 3 -'!$D27*100</f>
        <v>0</v>
      </c>
      <c r="D27" s="285">
        <v>0</v>
      </c>
      <c r="E27" s="291">
        <f>D27/'- 3 -'!$D27*100</f>
        <v>0</v>
      </c>
    </row>
    <row r="28" spans="1:5" ht="14.1" customHeight="1" x14ac:dyDescent="0.2">
      <c r="A28" s="19" t="s">
        <v>126</v>
      </c>
      <c r="B28" s="20">
        <v>0</v>
      </c>
      <c r="C28" s="70">
        <f>B28/'- 3 -'!$D28*100</f>
        <v>0</v>
      </c>
      <c r="D28" s="20">
        <v>107496</v>
      </c>
      <c r="E28" s="70">
        <f>D28/'- 3 -'!$D28*100</f>
        <v>0.37200014409918508</v>
      </c>
    </row>
    <row r="29" spans="1:5" ht="14.1" customHeight="1" x14ac:dyDescent="0.2">
      <c r="A29" s="284" t="s">
        <v>127</v>
      </c>
      <c r="B29" s="285">
        <v>0</v>
      </c>
      <c r="C29" s="291">
        <f>B29/'- 3 -'!$D29*100</f>
        <v>0</v>
      </c>
      <c r="D29" s="285">
        <v>0</v>
      </c>
      <c r="E29" s="291">
        <f>D29/'- 3 -'!$D29*100</f>
        <v>0</v>
      </c>
    </row>
    <row r="30" spans="1:5" ht="14.1" customHeight="1" x14ac:dyDescent="0.2">
      <c r="A30" s="19" t="s">
        <v>128</v>
      </c>
      <c r="B30" s="20">
        <v>0</v>
      </c>
      <c r="C30" s="70">
        <f>B30/'- 3 -'!$D30*100</f>
        <v>0</v>
      </c>
      <c r="D30" s="20">
        <v>0</v>
      </c>
      <c r="E30" s="70">
        <f>D30/'- 3 -'!$D30*100</f>
        <v>0</v>
      </c>
    </row>
    <row r="31" spans="1:5" ht="14.1" customHeight="1" x14ac:dyDescent="0.2">
      <c r="A31" s="284" t="s">
        <v>129</v>
      </c>
      <c r="B31" s="285">
        <v>0</v>
      </c>
      <c r="C31" s="291">
        <f>B31/'- 3 -'!$D31*100</f>
        <v>0</v>
      </c>
      <c r="D31" s="285">
        <v>0</v>
      </c>
      <c r="E31" s="291">
        <f>D31/'- 3 -'!$D31*100</f>
        <v>0</v>
      </c>
    </row>
    <row r="32" spans="1:5" ht="14.1" customHeight="1" x14ac:dyDescent="0.2">
      <c r="A32" s="19" t="s">
        <v>130</v>
      </c>
      <c r="B32" s="20">
        <v>66550</v>
      </c>
      <c r="C32" s="70">
        <f>B32/'- 3 -'!$D32*100</f>
        <v>0.2119719866995621</v>
      </c>
      <c r="D32" s="20">
        <v>212875</v>
      </c>
      <c r="E32" s="70">
        <f>D32/'- 3 -'!$D32*100</f>
        <v>0.67803961936392598</v>
      </c>
    </row>
    <row r="33" spans="1:6" ht="14.1" customHeight="1" x14ac:dyDescent="0.2">
      <c r="A33" s="284" t="s">
        <v>131</v>
      </c>
      <c r="B33" s="285">
        <v>0</v>
      </c>
      <c r="C33" s="291">
        <f>B33/'- 3 -'!$D33*100</f>
        <v>0</v>
      </c>
      <c r="D33" s="285">
        <v>0</v>
      </c>
      <c r="E33" s="291">
        <f>D33/'- 3 -'!$D33*100</f>
        <v>0</v>
      </c>
    </row>
    <row r="34" spans="1:6" ht="14.1" customHeight="1" x14ac:dyDescent="0.2">
      <c r="A34" s="19" t="s">
        <v>132</v>
      </c>
      <c r="B34" s="20">
        <v>0</v>
      </c>
      <c r="C34" s="70">
        <f>B34/'- 3 -'!$D34*100</f>
        <v>0</v>
      </c>
      <c r="D34" s="20">
        <v>0</v>
      </c>
      <c r="E34" s="70">
        <f>D34/'- 3 -'!$D34*100</f>
        <v>0</v>
      </c>
    </row>
    <row r="35" spans="1:6" ht="14.1" customHeight="1" x14ac:dyDescent="0.2">
      <c r="A35" s="284" t="s">
        <v>133</v>
      </c>
      <c r="B35" s="285">
        <v>313018</v>
      </c>
      <c r="C35" s="291">
        <f>B35/'- 3 -'!$D35*100</f>
        <v>0.16620634845935284</v>
      </c>
      <c r="D35" s="285">
        <v>1180597</v>
      </c>
      <c r="E35" s="291">
        <f>D35/'- 3 -'!$D35*100</f>
        <v>0.626873586733244</v>
      </c>
    </row>
    <row r="36" spans="1:6" ht="14.1" customHeight="1" x14ac:dyDescent="0.2">
      <c r="A36" s="19" t="s">
        <v>134</v>
      </c>
      <c r="B36" s="20">
        <v>32175</v>
      </c>
      <c r="C36" s="70">
        <f>B36/'- 3 -'!$D36*100</f>
        <v>0.13596641504886001</v>
      </c>
      <c r="D36" s="20">
        <v>90036</v>
      </c>
      <c r="E36" s="70">
        <f>D36/'- 3 -'!$D36*100</f>
        <v>0.38047776675490785</v>
      </c>
    </row>
    <row r="37" spans="1:6" ht="14.1" customHeight="1" x14ac:dyDescent="0.2">
      <c r="A37" s="284" t="s">
        <v>135</v>
      </c>
      <c r="B37" s="285">
        <v>115952</v>
      </c>
      <c r="C37" s="291">
        <f>B37/'- 3 -'!$D37*100</f>
        <v>0.22122950387883328</v>
      </c>
      <c r="D37" s="285">
        <v>197763</v>
      </c>
      <c r="E37" s="291">
        <f>D37/'- 3 -'!$D37*100</f>
        <v>0.37732001496817391</v>
      </c>
    </row>
    <row r="38" spans="1:6" ht="14.1" customHeight="1" x14ac:dyDescent="0.2">
      <c r="A38" s="19" t="s">
        <v>136</v>
      </c>
      <c r="B38" s="20">
        <v>222187</v>
      </c>
      <c r="C38" s="70">
        <f>B38/'- 3 -'!$D38*100</f>
        <v>0.15774261568192349</v>
      </c>
      <c r="D38" s="20">
        <v>701688</v>
      </c>
      <c r="E38" s="70">
        <f>D38/'- 3 -'!$D38*100</f>
        <v>0.49816641168303072</v>
      </c>
    </row>
    <row r="39" spans="1:6" ht="14.1" customHeight="1" x14ac:dyDescent="0.2">
      <c r="A39" s="284" t="s">
        <v>137</v>
      </c>
      <c r="B39" s="285">
        <v>0</v>
      </c>
      <c r="C39" s="291">
        <f>B39/'- 3 -'!$D39*100</f>
        <v>0</v>
      </c>
      <c r="D39" s="285">
        <v>0</v>
      </c>
      <c r="E39" s="291">
        <f>D39/'- 3 -'!$D39*100</f>
        <v>0</v>
      </c>
    </row>
    <row r="40" spans="1:6" ht="14.1" customHeight="1" x14ac:dyDescent="0.2">
      <c r="A40" s="19" t="s">
        <v>138</v>
      </c>
      <c r="B40" s="20">
        <v>0</v>
      </c>
      <c r="C40" s="70">
        <f>B40/'- 3 -'!$D40*100</f>
        <v>0</v>
      </c>
      <c r="D40" s="20">
        <v>0</v>
      </c>
      <c r="E40" s="70">
        <f>D40/'- 3 -'!$D40*100</f>
        <v>0</v>
      </c>
    </row>
    <row r="41" spans="1:6" ht="14.1" customHeight="1" x14ac:dyDescent="0.2">
      <c r="A41" s="284" t="s">
        <v>139</v>
      </c>
      <c r="B41" s="285">
        <v>345228</v>
      </c>
      <c r="C41" s="291">
        <f>B41/'- 3 -'!$D41*100</f>
        <v>0.5316445941689355</v>
      </c>
      <c r="D41" s="285">
        <v>665757</v>
      </c>
      <c r="E41" s="291">
        <f>D41/'- 3 -'!$D41*100</f>
        <v>1.0252531952220791</v>
      </c>
    </row>
    <row r="42" spans="1:6" ht="14.1" customHeight="1" x14ac:dyDescent="0.2">
      <c r="A42" s="19" t="s">
        <v>140</v>
      </c>
      <c r="B42" s="20">
        <v>0</v>
      </c>
      <c r="C42" s="70">
        <f>B42/'- 3 -'!$D42*100</f>
        <v>0</v>
      </c>
      <c r="D42" s="20">
        <v>0</v>
      </c>
      <c r="E42" s="70">
        <f>D42/'- 3 -'!$D42*100</f>
        <v>0</v>
      </c>
    </row>
    <row r="43" spans="1:6" ht="14.1" customHeight="1" x14ac:dyDescent="0.2">
      <c r="A43" s="284" t="s">
        <v>141</v>
      </c>
      <c r="B43" s="285">
        <v>0</v>
      </c>
      <c r="C43" s="291">
        <f>B43/'- 3 -'!$D43*100</f>
        <v>0</v>
      </c>
      <c r="D43" s="285">
        <v>218884</v>
      </c>
      <c r="E43" s="291">
        <f>D43/'- 3 -'!$D43*100</f>
        <v>1.627200635643369</v>
      </c>
    </row>
    <row r="44" spans="1:6" ht="14.1" customHeight="1" x14ac:dyDescent="0.2">
      <c r="A44" s="19" t="s">
        <v>142</v>
      </c>
      <c r="B44" s="20">
        <v>0</v>
      </c>
      <c r="C44" s="70">
        <f>B44/'- 3 -'!$D44*100</f>
        <v>0</v>
      </c>
      <c r="D44" s="20">
        <v>0</v>
      </c>
      <c r="E44" s="70">
        <f>D44/'- 3 -'!$D44*100</f>
        <v>0</v>
      </c>
    </row>
    <row r="45" spans="1:6" ht="14.1" customHeight="1" x14ac:dyDescent="0.2">
      <c r="A45" s="284" t="s">
        <v>143</v>
      </c>
      <c r="B45" s="285">
        <v>162678</v>
      </c>
      <c r="C45" s="291">
        <f>B45/'- 3 -'!$D45*100</f>
        <v>0.81526621289905521</v>
      </c>
      <c r="D45" s="285">
        <v>229653</v>
      </c>
      <c r="E45" s="291">
        <f>D45/'- 3 -'!$D45*100</f>
        <v>1.150913655140257</v>
      </c>
    </row>
    <row r="46" spans="1:6" ht="14.1" customHeight="1" x14ac:dyDescent="0.2">
      <c r="A46" s="19" t="s">
        <v>144</v>
      </c>
      <c r="B46" s="20">
        <v>95274</v>
      </c>
      <c r="C46" s="70">
        <f>B46/'- 3 -'!$D46*100</f>
        <v>2.4005562808056619E-2</v>
      </c>
      <c r="D46" s="20">
        <v>702735</v>
      </c>
      <c r="E46" s="70">
        <f>D46/'- 3 -'!$D46*100</f>
        <v>0.1770635134445879</v>
      </c>
    </row>
    <row r="47" spans="1:6" ht="5.0999999999999996" customHeight="1" x14ac:dyDescent="0.2">
      <c r="A47"/>
      <c r="B47"/>
      <c r="C47"/>
      <c r="D47"/>
      <c r="E47"/>
      <c r="F47"/>
    </row>
    <row r="48" spans="1:6" ht="14.1" customHeight="1" x14ac:dyDescent="0.2">
      <c r="A48" s="286" t="s">
        <v>145</v>
      </c>
      <c r="B48" s="287">
        <f>SUM(B11:B46)</f>
        <v>2250203</v>
      </c>
      <c r="C48" s="294">
        <f>B48/'- 3 -'!$D48*100</f>
        <v>9.5473020679432946E-2</v>
      </c>
      <c r="D48" s="287">
        <f>SUM(D11:D46)</f>
        <v>8957957</v>
      </c>
      <c r="E48" s="294">
        <f>D48/'- 3 -'!$D48*100</f>
        <v>0.38007380396634044</v>
      </c>
    </row>
    <row r="49" spans="1:5" ht="5.0999999999999996" customHeight="1" x14ac:dyDescent="0.2">
      <c r="A49" s="21" t="s">
        <v>7</v>
      </c>
      <c r="B49"/>
      <c r="C49"/>
      <c r="D49"/>
      <c r="E49"/>
    </row>
    <row r="50" spans="1:5" ht="14.1" customHeight="1" x14ac:dyDescent="0.2">
      <c r="A50" s="19" t="s">
        <v>146</v>
      </c>
      <c r="B50" s="20">
        <v>0</v>
      </c>
      <c r="C50" s="70">
        <f>B50/'- 3 -'!$D50*100</f>
        <v>0</v>
      </c>
      <c r="D50" s="20">
        <v>0</v>
      </c>
      <c r="E50" s="70">
        <f>D50/'- 3 -'!$D50*100</f>
        <v>0</v>
      </c>
    </row>
    <row r="51" spans="1:5" ht="14.1" customHeight="1" x14ac:dyDescent="0.2">
      <c r="A51" s="284" t="s">
        <v>607</v>
      </c>
      <c r="B51" s="285">
        <v>933136</v>
      </c>
      <c r="C51" s="291">
        <f>B51/'- 3 -'!$D51*100</f>
        <v>3.0744351976993793</v>
      </c>
      <c r="D51" s="285">
        <v>1613403</v>
      </c>
      <c r="E51" s="291">
        <f>D51/'- 3 -'!$D51*100</f>
        <v>5.315734224457926</v>
      </c>
    </row>
    <row r="52" spans="1:5" ht="50.1" customHeight="1" x14ac:dyDescent="0.2"/>
  </sheetData>
  <mergeCells count="2">
    <mergeCell ref="B6:C7"/>
    <mergeCell ref="D7:E7"/>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ntry="1" codeName="Sheet1">
    <pageSetUpPr fitToPage="1"/>
  </sheetPr>
  <dimension ref="A1:G58"/>
  <sheetViews>
    <sheetView showGridLines="0" showZeros="0" workbookViewId="0"/>
  </sheetViews>
  <sheetFormatPr defaultColWidth="15.83203125" defaultRowHeight="12" x14ac:dyDescent="0.2"/>
  <cols>
    <col min="1" max="1" width="32.83203125" style="2" customWidth="1"/>
    <col min="2" max="2" width="18.83203125" style="2" customWidth="1"/>
    <col min="3" max="3" width="19.83203125" style="2" customWidth="1"/>
    <col min="4" max="4" width="21.83203125" style="2" customWidth="1"/>
    <col min="5" max="5" width="19.83203125" style="2" customWidth="1"/>
    <col min="6" max="6" width="20.83203125" style="2" customWidth="1"/>
    <col min="7" max="16384" width="15.83203125" style="2"/>
  </cols>
  <sheetData>
    <row r="1" spans="1:6" ht="6.95" customHeight="1" x14ac:dyDescent="0.2">
      <c r="A1" s="7"/>
      <c r="B1" s="8"/>
      <c r="C1" s="8"/>
      <c r="D1" s="8"/>
      <c r="E1" s="8"/>
      <c r="F1" s="8"/>
    </row>
    <row r="2" spans="1:6" ht="15.95" customHeight="1" x14ac:dyDescent="0.2">
      <c r="A2" s="9" t="s">
        <v>251</v>
      </c>
      <c r="B2" s="10"/>
      <c r="C2" s="10"/>
      <c r="D2" s="10"/>
      <c r="E2" s="10"/>
      <c r="F2" s="10"/>
    </row>
    <row r="3" spans="1:6" ht="15.95" customHeight="1" x14ac:dyDescent="0.2">
      <c r="A3" s="11" t="str">
        <f>"OPERATING FUND "&amp;FALLYR&amp;"/"&amp;SPRINGYR&amp;" ACTUAL"</f>
        <v>OPERATING FUND 2017/2018 ACTUAL</v>
      </c>
      <c r="B3" s="12"/>
      <c r="C3" s="13"/>
      <c r="D3" s="12"/>
      <c r="E3" s="12"/>
      <c r="F3" s="12"/>
    </row>
    <row r="4" spans="1:6" ht="15.95" customHeight="1" x14ac:dyDescent="0.2">
      <c r="B4" s="8"/>
      <c r="C4" s="8"/>
      <c r="D4" s="8"/>
      <c r="E4" s="8"/>
      <c r="F4" s="8"/>
    </row>
    <row r="5" spans="1:6" ht="15.95" customHeight="1" x14ac:dyDescent="0.2">
      <c r="B5" s="8"/>
      <c r="C5" s="8"/>
      <c r="D5" s="8"/>
      <c r="E5" s="8"/>
      <c r="F5" s="8"/>
    </row>
    <row r="6" spans="1:6" ht="15.95" customHeight="1" x14ac:dyDescent="0.2">
      <c r="B6" s="14"/>
      <c r="C6" s="591" t="s">
        <v>447</v>
      </c>
      <c r="D6" s="594" t="s">
        <v>448</v>
      </c>
      <c r="E6" s="591" t="s">
        <v>449</v>
      </c>
      <c r="F6" s="591" t="s">
        <v>450</v>
      </c>
    </row>
    <row r="7" spans="1:6" ht="15.95" customHeight="1" x14ac:dyDescent="0.2">
      <c r="B7" s="14"/>
      <c r="C7" s="592"/>
      <c r="D7" s="595"/>
      <c r="E7" s="597"/>
      <c r="F7" s="597"/>
    </row>
    <row r="8" spans="1:6" ht="15.95" customHeight="1" x14ac:dyDescent="0.2">
      <c r="A8" s="16"/>
      <c r="B8" s="589" t="s">
        <v>446</v>
      </c>
      <c r="C8" s="592"/>
      <c r="D8" s="595"/>
      <c r="E8" s="597"/>
      <c r="F8" s="597"/>
    </row>
    <row r="9" spans="1:6" x14ac:dyDescent="0.2">
      <c r="A9" s="17" t="s">
        <v>42</v>
      </c>
      <c r="B9" s="590"/>
      <c r="C9" s="593"/>
      <c r="D9" s="596"/>
      <c r="E9" s="598"/>
      <c r="F9" s="598"/>
    </row>
    <row r="10" spans="1:6" ht="5.0999999999999996" customHeight="1" x14ac:dyDescent="0.2">
      <c r="A10" s="18"/>
    </row>
    <row r="11" spans="1:6" ht="14.1" customHeight="1" x14ac:dyDescent="0.2">
      <c r="A11" s="284" t="s">
        <v>110</v>
      </c>
      <c r="B11" s="285">
        <v>19872907</v>
      </c>
      <c r="C11" s="285">
        <f>-Data!K11</f>
        <v>-83319</v>
      </c>
      <c r="D11" s="285">
        <f>B11+C11</f>
        <v>19789588</v>
      </c>
      <c r="E11" s="285">
        <f>-'- 15 -'!H11-'- 16 -'!B11</f>
        <v>-26306</v>
      </c>
      <c r="F11" s="285">
        <f>D11+E11</f>
        <v>19763282</v>
      </c>
    </row>
    <row r="12" spans="1:6" ht="14.1" customHeight="1" x14ac:dyDescent="0.2">
      <c r="A12" s="19" t="s">
        <v>111</v>
      </c>
      <c r="B12" s="20">
        <v>34541559</v>
      </c>
      <c r="C12" s="20">
        <f>-Data!K12</f>
        <v>-496504</v>
      </c>
      <c r="D12" s="20">
        <f t="shared" ref="D12:D46" si="0">B12+C12</f>
        <v>34045055</v>
      </c>
      <c r="E12" s="20">
        <f>-'- 15 -'!H12-'- 16 -'!B12</f>
        <v>-609770</v>
      </c>
      <c r="F12" s="20">
        <f t="shared" ref="F12:F46" si="1">D12+E12</f>
        <v>33435285</v>
      </c>
    </row>
    <row r="13" spans="1:6" ht="14.1" customHeight="1" x14ac:dyDescent="0.2">
      <c r="A13" s="284" t="s">
        <v>112</v>
      </c>
      <c r="B13" s="285">
        <v>99067236</v>
      </c>
      <c r="C13" s="285">
        <f>-Data!K13</f>
        <v>-105300</v>
      </c>
      <c r="D13" s="285">
        <f t="shared" si="0"/>
        <v>98961936</v>
      </c>
      <c r="E13" s="285">
        <f>-'- 15 -'!H13-'- 16 -'!B13</f>
        <v>-322020</v>
      </c>
      <c r="F13" s="285">
        <f t="shared" si="1"/>
        <v>98639916</v>
      </c>
    </row>
    <row r="14" spans="1:6" ht="14.1" customHeight="1" x14ac:dyDescent="0.2">
      <c r="A14" s="19" t="s">
        <v>359</v>
      </c>
      <c r="B14" s="20">
        <v>88977379</v>
      </c>
      <c r="C14" s="20">
        <f>-Data!K14</f>
        <v>-913872</v>
      </c>
      <c r="D14" s="20">
        <f t="shared" si="0"/>
        <v>88063507</v>
      </c>
      <c r="E14" s="20">
        <f>-'- 15 -'!H14-'- 16 -'!B14</f>
        <v>-1477200</v>
      </c>
      <c r="F14" s="20">
        <f t="shared" si="1"/>
        <v>86586307</v>
      </c>
    </row>
    <row r="15" spans="1:6" ht="14.1" customHeight="1" x14ac:dyDescent="0.2">
      <c r="A15" s="284" t="s">
        <v>113</v>
      </c>
      <c r="B15" s="285">
        <v>20058942</v>
      </c>
      <c r="C15" s="285">
        <f>-Data!K15</f>
        <v>-77500</v>
      </c>
      <c r="D15" s="285">
        <f t="shared" si="0"/>
        <v>19981442</v>
      </c>
      <c r="E15" s="285">
        <f>-'- 15 -'!H15-'- 16 -'!B15</f>
        <v>-51723</v>
      </c>
      <c r="F15" s="285">
        <f t="shared" si="1"/>
        <v>19929719</v>
      </c>
    </row>
    <row r="16" spans="1:6" ht="14.1" customHeight="1" x14ac:dyDescent="0.2">
      <c r="A16" s="19" t="s">
        <v>114</v>
      </c>
      <c r="B16" s="20">
        <v>14465844</v>
      </c>
      <c r="C16" s="20">
        <f>-Data!K16</f>
        <v>0</v>
      </c>
      <c r="D16" s="20">
        <f t="shared" si="0"/>
        <v>14465844</v>
      </c>
      <c r="E16" s="20">
        <f>-'- 15 -'!H16-'- 16 -'!B16</f>
        <v>-108129</v>
      </c>
      <c r="F16" s="20">
        <f t="shared" si="1"/>
        <v>14357715</v>
      </c>
    </row>
    <row r="17" spans="1:6" ht="14.1" customHeight="1" x14ac:dyDescent="0.2">
      <c r="A17" s="284" t="s">
        <v>115</v>
      </c>
      <c r="B17" s="285">
        <v>18410540</v>
      </c>
      <c r="C17" s="285">
        <f>-Data!K17</f>
        <v>-72169</v>
      </c>
      <c r="D17" s="285">
        <f t="shared" si="0"/>
        <v>18338371</v>
      </c>
      <c r="E17" s="285">
        <f>-'- 15 -'!H17-'- 16 -'!B17</f>
        <v>-267666</v>
      </c>
      <c r="F17" s="285">
        <f t="shared" si="1"/>
        <v>18070705</v>
      </c>
    </row>
    <row r="18" spans="1:6" ht="14.1" customHeight="1" x14ac:dyDescent="0.2">
      <c r="A18" s="19" t="s">
        <v>116</v>
      </c>
      <c r="B18" s="20">
        <v>137904452</v>
      </c>
      <c r="C18" s="20">
        <f>-Data!K18</f>
        <v>-4830846</v>
      </c>
      <c r="D18" s="20">
        <f t="shared" si="0"/>
        <v>133073606</v>
      </c>
      <c r="E18" s="20">
        <f>-'- 15 -'!H18-'- 16 -'!B18</f>
        <v>-4798664</v>
      </c>
      <c r="F18" s="20">
        <f t="shared" si="1"/>
        <v>128274942</v>
      </c>
    </row>
    <row r="19" spans="1:6" ht="14.1" customHeight="1" x14ac:dyDescent="0.2">
      <c r="A19" s="284" t="s">
        <v>117</v>
      </c>
      <c r="B19" s="285">
        <v>49698356</v>
      </c>
      <c r="C19" s="285">
        <f>-Data!K19</f>
        <v>-473046</v>
      </c>
      <c r="D19" s="285">
        <f t="shared" si="0"/>
        <v>49225310</v>
      </c>
      <c r="E19" s="285">
        <f>-'- 15 -'!H19-'- 16 -'!B19</f>
        <v>-56552</v>
      </c>
      <c r="F19" s="285">
        <f t="shared" si="1"/>
        <v>49168758</v>
      </c>
    </row>
    <row r="20" spans="1:6" ht="14.1" customHeight="1" x14ac:dyDescent="0.2">
      <c r="A20" s="19" t="s">
        <v>118</v>
      </c>
      <c r="B20" s="20">
        <v>86645314</v>
      </c>
      <c r="C20" s="20">
        <f>-Data!K20</f>
        <v>-1838577</v>
      </c>
      <c r="D20" s="20">
        <f t="shared" si="0"/>
        <v>84806737</v>
      </c>
      <c r="E20" s="20">
        <f>-'- 15 -'!H20-'- 16 -'!B20</f>
        <v>-184935</v>
      </c>
      <c r="F20" s="20">
        <f t="shared" si="1"/>
        <v>84621802</v>
      </c>
    </row>
    <row r="21" spans="1:6" ht="14.1" customHeight="1" x14ac:dyDescent="0.2">
      <c r="A21" s="284" t="s">
        <v>119</v>
      </c>
      <c r="B21" s="285">
        <v>37191740</v>
      </c>
      <c r="C21" s="285">
        <f>-Data!K21</f>
        <v>-376306</v>
      </c>
      <c r="D21" s="285">
        <f t="shared" si="0"/>
        <v>36815434</v>
      </c>
      <c r="E21" s="285">
        <f>-'- 15 -'!H21-'- 16 -'!B21</f>
        <v>-237321</v>
      </c>
      <c r="F21" s="285">
        <f t="shared" si="1"/>
        <v>36578113</v>
      </c>
    </row>
    <row r="22" spans="1:6" ht="14.1" customHeight="1" x14ac:dyDescent="0.2">
      <c r="A22" s="19" t="s">
        <v>120</v>
      </c>
      <c r="B22" s="20">
        <v>20647603</v>
      </c>
      <c r="C22" s="20">
        <f>-Data!K22</f>
        <v>-24614</v>
      </c>
      <c r="D22" s="20">
        <f t="shared" si="0"/>
        <v>20622989</v>
      </c>
      <c r="E22" s="20">
        <f>-'- 15 -'!H22-'- 16 -'!B22</f>
        <v>-653372</v>
      </c>
      <c r="F22" s="20">
        <f t="shared" si="1"/>
        <v>19969617</v>
      </c>
    </row>
    <row r="23" spans="1:6" ht="14.1" customHeight="1" x14ac:dyDescent="0.2">
      <c r="A23" s="284" t="s">
        <v>121</v>
      </c>
      <c r="B23" s="285">
        <v>16670277</v>
      </c>
      <c r="C23" s="285">
        <f>-Data!K23</f>
        <v>-106569</v>
      </c>
      <c r="D23" s="285">
        <f t="shared" si="0"/>
        <v>16563708</v>
      </c>
      <c r="E23" s="285">
        <f>-'- 15 -'!H23-'- 16 -'!B23</f>
        <v>-562091</v>
      </c>
      <c r="F23" s="285">
        <f t="shared" si="1"/>
        <v>16001617</v>
      </c>
    </row>
    <row r="24" spans="1:6" ht="14.1" customHeight="1" x14ac:dyDescent="0.2">
      <c r="A24" s="19" t="s">
        <v>122</v>
      </c>
      <c r="B24" s="20">
        <v>58095986</v>
      </c>
      <c r="C24" s="20">
        <f>-Data!K24</f>
        <v>-224361</v>
      </c>
      <c r="D24" s="20">
        <f t="shared" si="0"/>
        <v>57871625</v>
      </c>
      <c r="E24" s="20">
        <f>-'- 15 -'!H24-'- 16 -'!B24</f>
        <v>-846079</v>
      </c>
      <c r="F24" s="20">
        <f t="shared" si="1"/>
        <v>57025546</v>
      </c>
    </row>
    <row r="25" spans="1:6" ht="14.1" customHeight="1" x14ac:dyDescent="0.2">
      <c r="A25" s="284" t="s">
        <v>123</v>
      </c>
      <c r="B25" s="285">
        <v>188202488</v>
      </c>
      <c r="C25" s="285">
        <f>-Data!K25</f>
        <v>-1153929</v>
      </c>
      <c r="D25" s="285">
        <f t="shared" si="0"/>
        <v>187048559</v>
      </c>
      <c r="E25" s="285">
        <f>-'- 15 -'!H25-'- 16 -'!B25</f>
        <v>-3873732</v>
      </c>
      <c r="F25" s="285">
        <f t="shared" si="1"/>
        <v>183174827</v>
      </c>
    </row>
    <row r="26" spans="1:6" ht="14.1" customHeight="1" x14ac:dyDescent="0.2">
      <c r="A26" s="19" t="s">
        <v>124</v>
      </c>
      <c r="B26" s="20">
        <v>40788504</v>
      </c>
      <c r="C26" s="20">
        <f>-Data!K26</f>
        <v>-4135</v>
      </c>
      <c r="D26" s="20">
        <f t="shared" si="0"/>
        <v>40784369</v>
      </c>
      <c r="E26" s="20">
        <f>-'- 15 -'!H26-'- 16 -'!B26</f>
        <v>-86152</v>
      </c>
      <c r="F26" s="20">
        <f t="shared" si="1"/>
        <v>40698217</v>
      </c>
    </row>
    <row r="27" spans="1:6" ht="14.1" customHeight="1" x14ac:dyDescent="0.2">
      <c r="A27" s="284" t="s">
        <v>125</v>
      </c>
      <c r="B27" s="285">
        <v>40952254</v>
      </c>
      <c r="C27" s="285">
        <f>-Data!K27</f>
        <v>-6600</v>
      </c>
      <c r="D27" s="285">
        <f t="shared" si="0"/>
        <v>40945654</v>
      </c>
      <c r="E27" s="285">
        <f>-'- 15 -'!H27-'- 16 -'!B27</f>
        <v>0</v>
      </c>
      <c r="F27" s="285">
        <f t="shared" si="1"/>
        <v>40945654</v>
      </c>
    </row>
    <row r="28" spans="1:6" ht="14.1" customHeight="1" x14ac:dyDescent="0.2">
      <c r="A28" s="19" t="s">
        <v>126</v>
      </c>
      <c r="B28" s="20">
        <v>29028277</v>
      </c>
      <c r="C28" s="20">
        <f>-Data!K28</f>
        <v>-131514</v>
      </c>
      <c r="D28" s="20">
        <f t="shared" si="0"/>
        <v>28896763</v>
      </c>
      <c r="E28" s="20">
        <f>-'- 15 -'!H28-'- 16 -'!B28</f>
        <v>-212410</v>
      </c>
      <c r="F28" s="20">
        <f t="shared" si="1"/>
        <v>28684353</v>
      </c>
    </row>
    <row r="29" spans="1:6" ht="14.1" customHeight="1" x14ac:dyDescent="0.2">
      <c r="A29" s="284" t="s">
        <v>127</v>
      </c>
      <c r="B29" s="285">
        <v>164751845</v>
      </c>
      <c r="C29" s="285">
        <f>-Data!K29</f>
        <v>-1911277</v>
      </c>
      <c r="D29" s="285">
        <f t="shared" si="0"/>
        <v>162840568</v>
      </c>
      <c r="E29" s="285">
        <f>-'- 15 -'!H29-'- 16 -'!B29</f>
        <v>-929584</v>
      </c>
      <c r="F29" s="285">
        <f t="shared" si="1"/>
        <v>161910984</v>
      </c>
    </row>
    <row r="30" spans="1:6" ht="14.1" customHeight="1" x14ac:dyDescent="0.2">
      <c r="A30" s="19" t="s">
        <v>128</v>
      </c>
      <c r="B30" s="20">
        <v>14731353</v>
      </c>
      <c r="C30" s="20">
        <f>-Data!K30</f>
        <v>-32661</v>
      </c>
      <c r="D30" s="20">
        <f t="shared" si="0"/>
        <v>14698692</v>
      </c>
      <c r="E30" s="20">
        <f>-'- 15 -'!H30-'- 16 -'!B30</f>
        <v>-17014</v>
      </c>
      <c r="F30" s="20">
        <f t="shared" si="1"/>
        <v>14681678</v>
      </c>
    </row>
    <row r="31" spans="1:6" ht="14.1" customHeight="1" x14ac:dyDescent="0.2">
      <c r="A31" s="284" t="s">
        <v>129</v>
      </c>
      <c r="B31" s="285">
        <v>38071419</v>
      </c>
      <c r="C31" s="285">
        <f>-Data!K31</f>
        <v>-39000</v>
      </c>
      <c r="D31" s="285">
        <f t="shared" si="0"/>
        <v>38032419</v>
      </c>
      <c r="E31" s="285">
        <f>-'- 15 -'!H31-'- 16 -'!B31</f>
        <v>-59327</v>
      </c>
      <c r="F31" s="285">
        <f t="shared" si="1"/>
        <v>37973092</v>
      </c>
    </row>
    <row r="32" spans="1:6" ht="14.1" customHeight="1" x14ac:dyDescent="0.2">
      <c r="A32" s="19" t="s">
        <v>130</v>
      </c>
      <c r="B32" s="20">
        <v>31668747</v>
      </c>
      <c r="C32" s="20">
        <f>-Data!K32</f>
        <v>-273089</v>
      </c>
      <c r="D32" s="20">
        <f t="shared" si="0"/>
        <v>31395658</v>
      </c>
      <c r="E32" s="20">
        <f>-'- 15 -'!H32-'- 16 -'!B32</f>
        <v>-315654</v>
      </c>
      <c r="F32" s="20">
        <f t="shared" si="1"/>
        <v>31080004</v>
      </c>
    </row>
    <row r="33" spans="1:7" ht="14.1" customHeight="1" x14ac:dyDescent="0.2">
      <c r="A33" s="284" t="s">
        <v>131</v>
      </c>
      <c r="B33" s="285">
        <v>28427209</v>
      </c>
      <c r="C33" s="285">
        <f>-Data!K33</f>
        <v>-77970</v>
      </c>
      <c r="D33" s="285">
        <f t="shared" si="0"/>
        <v>28349239</v>
      </c>
      <c r="E33" s="285">
        <f>-'- 15 -'!H33-'- 16 -'!B33</f>
        <v>-34580</v>
      </c>
      <c r="F33" s="285">
        <f t="shared" si="1"/>
        <v>28314659</v>
      </c>
    </row>
    <row r="34" spans="1:7" ht="14.1" customHeight="1" x14ac:dyDescent="0.2">
      <c r="A34" s="19" t="s">
        <v>132</v>
      </c>
      <c r="B34" s="20">
        <v>31182449</v>
      </c>
      <c r="C34" s="20">
        <f>-Data!K34</f>
        <v>-439906</v>
      </c>
      <c r="D34" s="20">
        <f t="shared" si="0"/>
        <v>30742543</v>
      </c>
      <c r="E34" s="20">
        <f>-'- 15 -'!H34-'- 16 -'!B34</f>
        <v>-54701</v>
      </c>
      <c r="F34" s="20">
        <f t="shared" si="1"/>
        <v>30687842</v>
      </c>
    </row>
    <row r="35" spans="1:7" ht="14.1" customHeight="1" x14ac:dyDescent="0.2">
      <c r="A35" s="284" t="s">
        <v>133</v>
      </c>
      <c r="B35" s="285">
        <v>188982172</v>
      </c>
      <c r="C35" s="285">
        <f>-Data!K35</f>
        <v>-651219</v>
      </c>
      <c r="D35" s="285">
        <f t="shared" si="0"/>
        <v>188330953</v>
      </c>
      <c r="E35" s="285">
        <f>-'- 15 -'!H35-'- 16 -'!B35</f>
        <v>-3024709</v>
      </c>
      <c r="F35" s="285">
        <f t="shared" si="1"/>
        <v>185306244</v>
      </c>
    </row>
    <row r="36" spans="1:7" ht="14.1" customHeight="1" x14ac:dyDescent="0.2">
      <c r="A36" s="19" t="s">
        <v>134</v>
      </c>
      <c r="B36" s="20">
        <v>23973808</v>
      </c>
      <c r="C36" s="20">
        <f>-Data!K36</f>
        <v>-309876</v>
      </c>
      <c r="D36" s="20">
        <f t="shared" si="0"/>
        <v>23663932</v>
      </c>
      <c r="E36" s="20">
        <f>-'- 15 -'!H36-'- 16 -'!B36</f>
        <v>-144501</v>
      </c>
      <c r="F36" s="20">
        <f t="shared" si="1"/>
        <v>23519431</v>
      </c>
    </row>
    <row r="37" spans="1:7" ht="14.1" customHeight="1" x14ac:dyDescent="0.2">
      <c r="A37" s="284" t="s">
        <v>135</v>
      </c>
      <c r="B37" s="285">
        <v>52948140</v>
      </c>
      <c r="C37" s="285">
        <f>-Data!K37</f>
        <v>-535601</v>
      </c>
      <c r="D37" s="285">
        <f t="shared" si="0"/>
        <v>52412539</v>
      </c>
      <c r="E37" s="285">
        <f>-'- 15 -'!H37-'- 16 -'!B37</f>
        <v>-798089</v>
      </c>
      <c r="F37" s="285">
        <f t="shared" si="1"/>
        <v>51614450</v>
      </c>
    </row>
    <row r="38" spans="1:7" ht="14.1" customHeight="1" x14ac:dyDescent="0.2">
      <c r="A38" s="19" t="s">
        <v>136</v>
      </c>
      <c r="B38" s="20">
        <v>142158891</v>
      </c>
      <c r="C38" s="20">
        <f>-Data!K38</f>
        <v>-1304754</v>
      </c>
      <c r="D38" s="20">
        <f t="shared" si="0"/>
        <v>140854137</v>
      </c>
      <c r="E38" s="20">
        <f>-'- 15 -'!H38-'- 16 -'!B38</f>
        <v>-3147604</v>
      </c>
      <c r="F38" s="20">
        <f t="shared" si="1"/>
        <v>137706533</v>
      </c>
    </row>
    <row r="39" spans="1:7" ht="14.1" customHeight="1" x14ac:dyDescent="0.2">
      <c r="A39" s="284" t="s">
        <v>137</v>
      </c>
      <c r="B39" s="285">
        <v>22546474</v>
      </c>
      <c r="C39" s="285">
        <f>-Data!K39</f>
        <v>-255318</v>
      </c>
      <c r="D39" s="285">
        <f t="shared" si="0"/>
        <v>22291156</v>
      </c>
      <c r="E39" s="285">
        <f>-'- 15 -'!H39-'- 16 -'!B39</f>
        <v>-61058</v>
      </c>
      <c r="F39" s="285">
        <f t="shared" si="1"/>
        <v>22230098</v>
      </c>
    </row>
    <row r="40" spans="1:7" ht="14.1" customHeight="1" x14ac:dyDescent="0.2">
      <c r="A40" s="19" t="s">
        <v>138</v>
      </c>
      <c r="B40" s="20">
        <v>106382984</v>
      </c>
      <c r="C40" s="20">
        <f>-Data!K40</f>
        <v>-451773</v>
      </c>
      <c r="D40" s="20">
        <f t="shared" si="0"/>
        <v>105931211</v>
      </c>
      <c r="E40" s="20">
        <f>-'- 15 -'!H40-'- 16 -'!B40</f>
        <v>-917930</v>
      </c>
      <c r="F40" s="20">
        <f t="shared" si="1"/>
        <v>105013281</v>
      </c>
    </row>
    <row r="41" spans="1:7" ht="14.1" customHeight="1" x14ac:dyDescent="0.2">
      <c r="A41" s="284" t="s">
        <v>139</v>
      </c>
      <c r="B41" s="285">
        <v>65738841</v>
      </c>
      <c r="C41" s="285">
        <f>-Data!K41</f>
        <v>-802979</v>
      </c>
      <c r="D41" s="285">
        <f t="shared" si="0"/>
        <v>64935862</v>
      </c>
      <c r="E41" s="285">
        <f>-'- 15 -'!H41-'- 16 -'!B41</f>
        <v>-1372432</v>
      </c>
      <c r="F41" s="285">
        <f t="shared" si="1"/>
        <v>63563430</v>
      </c>
    </row>
    <row r="42" spans="1:7" ht="14.1" customHeight="1" x14ac:dyDescent="0.2">
      <c r="A42" s="19" t="s">
        <v>140</v>
      </c>
      <c r="B42" s="20">
        <v>20929305</v>
      </c>
      <c r="C42" s="20">
        <f>-Data!K42</f>
        <v>-60000</v>
      </c>
      <c r="D42" s="20">
        <f t="shared" si="0"/>
        <v>20869305</v>
      </c>
      <c r="E42" s="20">
        <f>-'- 15 -'!H42-'- 16 -'!B42</f>
        <v>-64745</v>
      </c>
      <c r="F42" s="20">
        <f t="shared" si="1"/>
        <v>20804560</v>
      </c>
    </row>
    <row r="43" spans="1:7" ht="14.1" customHeight="1" x14ac:dyDescent="0.2">
      <c r="A43" s="284" t="s">
        <v>141</v>
      </c>
      <c r="B43" s="285">
        <v>13477568</v>
      </c>
      <c r="C43" s="285">
        <f>-Data!K43</f>
        <v>-26000</v>
      </c>
      <c r="D43" s="285">
        <f t="shared" si="0"/>
        <v>13451568</v>
      </c>
      <c r="E43" s="285">
        <f>-'- 15 -'!H43-'- 16 -'!B43</f>
        <v>-235397</v>
      </c>
      <c r="F43" s="285">
        <f t="shared" si="1"/>
        <v>13216171</v>
      </c>
    </row>
    <row r="44" spans="1:7" ht="14.1" customHeight="1" x14ac:dyDescent="0.2">
      <c r="A44" s="19" t="s">
        <v>142</v>
      </c>
      <c r="B44" s="20">
        <v>11145593</v>
      </c>
      <c r="C44" s="20">
        <f>-Data!K44</f>
        <v>-183508</v>
      </c>
      <c r="D44" s="20">
        <f t="shared" si="0"/>
        <v>10962085</v>
      </c>
      <c r="E44" s="20">
        <f>-'- 15 -'!H44-'- 16 -'!B44</f>
        <v>-20258</v>
      </c>
      <c r="F44" s="20">
        <f t="shared" si="1"/>
        <v>10941827</v>
      </c>
    </row>
    <row r="45" spans="1:7" ht="14.1" customHeight="1" x14ac:dyDescent="0.2">
      <c r="A45" s="284" t="s">
        <v>143</v>
      </c>
      <c r="B45" s="285">
        <v>20068103</v>
      </c>
      <c r="C45" s="285">
        <f>-Data!K45</f>
        <v>-114130</v>
      </c>
      <c r="D45" s="285">
        <f t="shared" si="0"/>
        <v>19953973</v>
      </c>
      <c r="E45" s="285">
        <f>-'- 15 -'!H45-'- 16 -'!B45</f>
        <v>-435923</v>
      </c>
      <c r="F45" s="285">
        <f t="shared" si="1"/>
        <v>19518050</v>
      </c>
    </row>
    <row r="46" spans="1:7" ht="14.1" customHeight="1" x14ac:dyDescent="0.2">
      <c r="A46" s="19" t="s">
        <v>144</v>
      </c>
      <c r="B46" s="20">
        <v>399278185</v>
      </c>
      <c r="C46" s="20">
        <f>-Data!K46</f>
        <v>-2395176</v>
      </c>
      <c r="D46" s="20">
        <f t="shared" si="0"/>
        <v>396883009</v>
      </c>
      <c r="E46" s="20">
        <f>-'- 15 -'!H46-'- 16 -'!B46</f>
        <v>-10651087</v>
      </c>
      <c r="F46" s="20">
        <f t="shared" si="1"/>
        <v>386231922</v>
      </c>
    </row>
    <row r="47" spans="1:7" ht="5.0999999999999996" customHeight="1" x14ac:dyDescent="0.2">
      <c r="A47"/>
      <c r="B47" s="22"/>
      <c r="C47"/>
      <c r="D47"/>
      <c r="E47"/>
      <c r="F47"/>
      <c r="G47"/>
    </row>
    <row r="48" spans="1:7" ht="14.1" customHeight="1" x14ac:dyDescent="0.2">
      <c r="A48" s="286" t="s">
        <v>145</v>
      </c>
      <c r="B48" s="287">
        <f>SUM(B11:B46)</f>
        <v>2377682744</v>
      </c>
      <c r="C48" s="287">
        <f>SUM(C11:C46)</f>
        <v>-20783398</v>
      </c>
      <c r="D48" s="287">
        <f>SUM(D11:D46)</f>
        <v>2356899346</v>
      </c>
      <c r="E48" s="287">
        <f>SUM(E11:E46)</f>
        <v>-36658715</v>
      </c>
      <c r="F48" s="287">
        <f>SUM(F11:F46)</f>
        <v>2320240631</v>
      </c>
    </row>
    <row r="49" spans="1:6" ht="5.0999999999999996" customHeight="1" x14ac:dyDescent="0.2">
      <c r="A49" s="21" t="s">
        <v>7</v>
      </c>
      <c r="B49" s="22"/>
      <c r="C49" s="22"/>
      <c r="D49" s="22"/>
      <c r="E49" s="22"/>
      <c r="F49" s="22"/>
    </row>
    <row r="50" spans="1:6" ht="14.1" customHeight="1" x14ac:dyDescent="0.2">
      <c r="A50" s="19" t="s">
        <v>146</v>
      </c>
      <c r="B50" s="20">
        <v>3241031</v>
      </c>
      <c r="C50" s="20">
        <f>-Data!K50</f>
        <v>-3900</v>
      </c>
      <c r="D50" s="20">
        <f>B50+C50</f>
        <v>3237131</v>
      </c>
      <c r="E50" s="20">
        <f>-'- 15 -'!H50-'- 16 -'!B50</f>
        <v>-125658</v>
      </c>
      <c r="F50" s="20">
        <f>D50+E50</f>
        <v>3111473</v>
      </c>
    </row>
    <row r="51" spans="1:6" ht="14.1" customHeight="1" x14ac:dyDescent="0.2">
      <c r="A51" s="284" t="s">
        <v>607</v>
      </c>
      <c r="B51" s="285">
        <v>30609396</v>
      </c>
      <c r="C51" s="285">
        <f>-Data!K51</f>
        <v>-257935</v>
      </c>
      <c r="D51" s="285">
        <f>B51+C51</f>
        <v>30351461</v>
      </c>
      <c r="E51" s="285">
        <f>-'- 15 -'!H51-'- 16 -'!B51</f>
        <v>-12140821</v>
      </c>
      <c r="F51" s="285">
        <f>D51+E51</f>
        <v>18210640</v>
      </c>
    </row>
    <row r="52" spans="1:6" ht="50.1" customHeight="1" x14ac:dyDescent="0.2">
      <c r="A52" s="23"/>
      <c r="B52" s="23"/>
      <c r="C52" s="23"/>
      <c r="D52" s="23"/>
      <c r="E52" s="23"/>
      <c r="F52" s="23"/>
    </row>
    <row r="53" spans="1:6" ht="14.45" customHeight="1" x14ac:dyDescent="0.2">
      <c r="A53" s="2" t="s">
        <v>339</v>
      </c>
    </row>
    <row r="54" spans="1:6" ht="12" customHeight="1" x14ac:dyDescent="0.2">
      <c r="A54" s="588" t="s">
        <v>445</v>
      </c>
      <c r="B54" s="588"/>
      <c r="C54" s="588"/>
      <c r="D54" s="588"/>
      <c r="E54" s="588"/>
      <c r="F54" s="588"/>
    </row>
    <row r="55" spans="1:6" ht="12" customHeight="1" x14ac:dyDescent="0.2">
      <c r="A55" s="588"/>
      <c r="B55" s="588"/>
      <c r="C55" s="588"/>
      <c r="D55" s="588"/>
      <c r="E55" s="588"/>
      <c r="F55" s="588"/>
    </row>
    <row r="56" spans="1:6" ht="12" customHeight="1" x14ac:dyDescent="0.2">
      <c r="A56" s="2" t="s">
        <v>340</v>
      </c>
    </row>
    <row r="57" spans="1:6" ht="12" customHeight="1" x14ac:dyDescent="0.2">
      <c r="A57" s="2" t="s">
        <v>341</v>
      </c>
    </row>
    <row r="58" spans="1:6" ht="12" customHeight="1" x14ac:dyDescent="0.2">
      <c r="A58" s="2" t="s">
        <v>342</v>
      </c>
    </row>
  </sheetData>
  <mergeCells count="6">
    <mergeCell ref="A54:F55"/>
    <mergeCell ref="B8:B9"/>
    <mergeCell ref="C6:C9"/>
    <mergeCell ref="D6:D9"/>
    <mergeCell ref="E6:E9"/>
    <mergeCell ref="F6:F9"/>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J52"/>
  <sheetViews>
    <sheetView showGridLines="0" showZeros="0" workbookViewId="0"/>
  </sheetViews>
  <sheetFormatPr defaultColWidth="15.83203125" defaultRowHeight="12" x14ac:dyDescent="0.2"/>
  <cols>
    <col min="1" max="1" width="32.83203125" style="2" customWidth="1"/>
    <col min="2" max="2" width="13.83203125" style="2" customWidth="1"/>
    <col min="3" max="3" width="8.83203125" style="2" customWidth="1"/>
    <col min="4" max="4" width="14.83203125" style="2" customWidth="1"/>
    <col min="5" max="5" width="10.5" style="2" customWidth="1"/>
    <col min="6" max="6" width="18.83203125" style="2" customWidth="1"/>
    <col min="7" max="7" width="8.83203125" style="2" customWidth="1"/>
    <col min="8" max="8" width="16.83203125" style="2" customWidth="1"/>
    <col min="9" max="9" width="8.83203125" style="2" customWidth="1"/>
    <col min="10" max="16384" width="15.83203125" style="2"/>
  </cols>
  <sheetData>
    <row r="1" spans="1:9" ht="6.95" customHeight="1" x14ac:dyDescent="0.2">
      <c r="A1" s="7"/>
      <c r="B1" s="8"/>
      <c r="C1" s="8"/>
      <c r="D1" s="8"/>
      <c r="E1" s="8"/>
      <c r="F1" s="8"/>
      <c r="G1" s="8"/>
      <c r="H1" s="8"/>
      <c r="I1" s="8"/>
    </row>
    <row r="2" spans="1:9" ht="15.95" customHeight="1" x14ac:dyDescent="0.2">
      <c r="A2" s="134"/>
      <c r="B2" s="9" t="s">
        <v>263</v>
      </c>
      <c r="C2" s="10"/>
      <c r="D2" s="10"/>
      <c r="E2" s="10"/>
      <c r="F2" s="10"/>
      <c r="G2" s="73"/>
      <c r="H2" s="73"/>
      <c r="I2" s="395" t="s">
        <v>404</v>
      </c>
    </row>
    <row r="3" spans="1:9" ht="15.95" customHeight="1" x14ac:dyDescent="0.2">
      <c r="A3" s="541"/>
      <c r="B3" s="11" t="str">
        <f>OPYEAR</f>
        <v>OPERATING FUND 2017/2018 ACTUAL</v>
      </c>
      <c r="C3" s="12"/>
      <c r="D3" s="12"/>
      <c r="E3" s="12"/>
      <c r="F3" s="12"/>
      <c r="G3" s="75"/>
      <c r="H3" s="75"/>
      <c r="I3" s="66"/>
    </row>
    <row r="4" spans="1:9" ht="15.95" customHeight="1" x14ac:dyDescent="0.2">
      <c r="B4" s="8"/>
      <c r="C4" s="8"/>
      <c r="D4" s="8"/>
      <c r="E4" s="8"/>
      <c r="F4" s="8"/>
      <c r="G4" s="8"/>
      <c r="H4" s="8"/>
      <c r="I4" s="8"/>
    </row>
    <row r="5" spans="1:9" ht="15.95" customHeight="1" x14ac:dyDescent="0.2">
      <c r="B5" s="557" t="s">
        <v>14</v>
      </c>
      <c r="C5" s="558"/>
      <c r="D5" s="166"/>
      <c r="E5" s="166"/>
      <c r="F5" s="166"/>
      <c r="G5" s="166"/>
      <c r="H5" s="166"/>
      <c r="I5" s="167"/>
    </row>
    <row r="6" spans="1:9" ht="15.95" customHeight="1" x14ac:dyDescent="0.2">
      <c r="B6" s="319"/>
      <c r="C6" s="320"/>
      <c r="D6" s="646" t="s">
        <v>488</v>
      </c>
      <c r="E6" s="639"/>
      <c r="F6" s="336"/>
      <c r="G6" s="337"/>
      <c r="H6" s="309"/>
      <c r="I6" s="310"/>
    </row>
    <row r="7" spans="1:9" ht="15.95" customHeight="1" x14ac:dyDescent="0.2">
      <c r="B7" s="679" t="s">
        <v>487</v>
      </c>
      <c r="C7" s="680"/>
      <c r="D7" s="681"/>
      <c r="E7" s="682"/>
      <c r="F7" s="683" t="s">
        <v>489</v>
      </c>
      <c r="G7" s="682"/>
      <c r="H7" s="683" t="s">
        <v>490</v>
      </c>
      <c r="I7" s="682"/>
    </row>
    <row r="8" spans="1:9" ht="15.95" customHeight="1" x14ac:dyDescent="0.2">
      <c r="A8" s="403"/>
      <c r="B8" s="667"/>
      <c r="C8" s="668"/>
      <c r="D8" s="647"/>
      <c r="E8" s="641"/>
      <c r="F8" s="640"/>
      <c r="G8" s="641"/>
      <c r="H8" s="640"/>
      <c r="I8" s="641"/>
    </row>
    <row r="9" spans="1:9" ht="15.95" customHeight="1" x14ac:dyDescent="0.2">
      <c r="A9" s="35" t="s">
        <v>42</v>
      </c>
      <c r="B9" s="77" t="s">
        <v>43</v>
      </c>
      <c r="C9" s="77" t="s">
        <v>44</v>
      </c>
      <c r="D9" s="168" t="s">
        <v>43</v>
      </c>
      <c r="E9" s="168" t="s">
        <v>44</v>
      </c>
      <c r="F9" s="168" t="s">
        <v>43</v>
      </c>
      <c r="G9" s="168" t="s">
        <v>44</v>
      </c>
      <c r="H9" s="168" t="s">
        <v>43</v>
      </c>
      <c r="I9" s="168" t="s">
        <v>44</v>
      </c>
    </row>
    <row r="10" spans="1:9" ht="5.0999999999999996" customHeight="1" x14ac:dyDescent="0.2">
      <c r="A10" s="6"/>
    </row>
    <row r="11" spans="1:9" ht="14.1" customHeight="1" x14ac:dyDescent="0.2">
      <c r="A11" s="284" t="s">
        <v>110</v>
      </c>
      <c r="B11" s="285">
        <v>0</v>
      </c>
      <c r="C11" s="291">
        <f>B11/'- 3 -'!$D11*100</f>
        <v>0</v>
      </c>
      <c r="D11" s="285">
        <v>0</v>
      </c>
      <c r="E11" s="291">
        <f>D11/'- 3 -'!$D11*100</f>
        <v>0</v>
      </c>
      <c r="F11" s="285">
        <v>0</v>
      </c>
      <c r="G11" s="291">
        <f>F11/'- 3 -'!$D11*100</f>
        <v>0</v>
      </c>
      <c r="H11" s="285">
        <v>26306</v>
      </c>
      <c r="I11" s="291">
        <f>H11/'- 3 -'!$D11*100</f>
        <v>0.13292848744501401</v>
      </c>
    </row>
    <row r="12" spans="1:9" ht="14.1" customHeight="1" x14ac:dyDescent="0.2">
      <c r="A12" s="19" t="s">
        <v>111</v>
      </c>
      <c r="B12" s="20">
        <v>0</v>
      </c>
      <c r="C12" s="70">
        <f>B12/'- 3 -'!$D12*100</f>
        <v>0</v>
      </c>
      <c r="D12" s="20">
        <v>0</v>
      </c>
      <c r="E12" s="70">
        <f>D12/'- 3 -'!$D12*100</f>
        <v>0</v>
      </c>
      <c r="F12" s="20">
        <v>0</v>
      </c>
      <c r="G12" s="70">
        <f>F12/'- 3 -'!$D12*100</f>
        <v>0</v>
      </c>
      <c r="H12" s="20">
        <v>54612</v>
      </c>
      <c r="I12" s="70">
        <f>H12/'- 3 -'!$D12*100</f>
        <v>0.16041096129819735</v>
      </c>
    </row>
    <row r="13" spans="1:9" ht="14.1" customHeight="1" x14ac:dyDescent="0.2">
      <c r="A13" s="284" t="s">
        <v>112</v>
      </c>
      <c r="B13" s="285">
        <v>0</v>
      </c>
      <c r="C13" s="291">
        <f>B13/'- 3 -'!$D13*100</f>
        <v>0</v>
      </c>
      <c r="D13" s="285">
        <v>0</v>
      </c>
      <c r="E13" s="291">
        <f>D13/'- 3 -'!$D13*100</f>
        <v>0</v>
      </c>
      <c r="F13" s="285">
        <v>154726</v>
      </c>
      <c r="G13" s="291">
        <f>F13/'- 3 -'!$D13*100</f>
        <v>0.15634900271150717</v>
      </c>
      <c r="H13" s="285">
        <v>167294</v>
      </c>
      <c r="I13" s="291">
        <f>H13/'- 3 -'!$D13*100</f>
        <v>0.16904883509958818</v>
      </c>
    </row>
    <row r="14" spans="1:9" ht="14.1" customHeight="1" x14ac:dyDescent="0.2">
      <c r="A14" s="19" t="s">
        <v>359</v>
      </c>
      <c r="B14" s="20">
        <v>0</v>
      </c>
      <c r="C14" s="70">
        <f>B14/'- 3 -'!$D14*100</f>
        <v>0</v>
      </c>
      <c r="D14" s="20">
        <v>0</v>
      </c>
      <c r="E14" s="70">
        <f>D14/'- 3 -'!$D14*100</f>
        <v>0</v>
      </c>
      <c r="F14" s="20">
        <v>0</v>
      </c>
      <c r="G14" s="70">
        <f>F14/'- 3 -'!$D14*100</f>
        <v>0</v>
      </c>
      <c r="H14" s="20">
        <v>1225901</v>
      </c>
      <c r="I14" s="70">
        <f>H14/'- 3 -'!$D14*100</f>
        <v>1.3920647062125291</v>
      </c>
    </row>
    <row r="15" spans="1:9" ht="14.1" customHeight="1" x14ac:dyDescent="0.2">
      <c r="A15" s="284" t="s">
        <v>113</v>
      </c>
      <c r="B15" s="285">
        <v>0</v>
      </c>
      <c r="C15" s="291">
        <f>B15/'- 3 -'!$D15*100</f>
        <v>0</v>
      </c>
      <c r="D15" s="285">
        <v>0</v>
      </c>
      <c r="E15" s="291">
        <f>D15/'- 3 -'!$D15*100</f>
        <v>0</v>
      </c>
      <c r="F15" s="285">
        <v>0</v>
      </c>
      <c r="G15" s="291">
        <f>F15/'- 3 -'!$D15*100</f>
        <v>0</v>
      </c>
      <c r="H15" s="285">
        <v>51723</v>
      </c>
      <c r="I15" s="291">
        <f>H15/'- 3 -'!$D15*100</f>
        <v>0.25885519173240851</v>
      </c>
    </row>
    <row r="16" spans="1:9" ht="14.1" customHeight="1" x14ac:dyDescent="0.2">
      <c r="A16" s="19" t="s">
        <v>114</v>
      </c>
      <c r="B16" s="20">
        <v>0</v>
      </c>
      <c r="C16" s="70">
        <f>B16/'- 3 -'!$D16*100</f>
        <v>0</v>
      </c>
      <c r="D16" s="20">
        <v>0</v>
      </c>
      <c r="E16" s="70">
        <f>D16/'- 3 -'!$D16*100</f>
        <v>0</v>
      </c>
      <c r="F16" s="20">
        <v>0</v>
      </c>
      <c r="G16" s="70">
        <f>F16/'- 3 -'!$D16*100</f>
        <v>0</v>
      </c>
      <c r="H16" s="20">
        <v>11410</v>
      </c>
      <c r="I16" s="70">
        <f>H16/'- 3 -'!$D16*100</f>
        <v>7.887545310180312E-2</v>
      </c>
    </row>
    <row r="17" spans="1:9" ht="14.1" customHeight="1" x14ac:dyDescent="0.2">
      <c r="A17" s="284" t="s">
        <v>115</v>
      </c>
      <c r="B17" s="285">
        <v>0</v>
      </c>
      <c r="C17" s="291">
        <f>B17/'- 3 -'!$D17*100</f>
        <v>0</v>
      </c>
      <c r="D17" s="285">
        <v>0</v>
      </c>
      <c r="E17" s="291">
        <f>D17/'- 3 -'!$D17*100</f>
        <v>0</v>
      </c>
      <c r="F17" s="285">
        <v>80209</v>
      </c>
      <c r="G17" s="291">
        <f>F17/'- 3 -'!$D17*100</f>
        <v>0.43738345134363354</v>
      </c>
      <c r="H17" s="285">
        <v>187457</v>
      </c>
      <c r="I17" s="291">
        <f>H17/'- 3 -'!$D17*100</f>
        <v>1.0222118420442035</v>
      </c>
    </row>
    <row r="18" spans="1:9" ht="14.1" customHeight="1" x14ac:dyDescent="0.2">
      <c r="A18" s="19" t="s">
        <v>116</v>
      </c>
      <c r="B18" s="20">
        <v>0</v>
      </c>
      <c r="C18" s="70">
        <f>B18/'- 3 -'!$D18*100</f>
        <v>0</v>
      </c>
      <c r="D18" s="20">
        <v>0</v>
      </c>
      <c r="E18" s="70">
        <f>D18/'- 3 -'!$D18*100</f>
        <v>0</v>
      </c>
      <c r="F18" s="20">
        <v>1140179</v>
      </c>
      <c r="G18" s="70">
        <f>F18/'- 3 -'!$D18*100</f>
        <v>0.85680326420251962</v>
      </c>
      <c r="H18" s="20">
        <v>1493806</v>
      </c>
      <c r="I18" s="70">
        <f>H18/'- 3 -'!$D18*100</f>
        <v>1.1225411596646746</v>
      </c>
    </row>
    <row r="19" spans="1:9" ht="14.1" customHeight="1" x14ac:dyDescent="0.2">
      <c r="A19" s="284" t="s">
        <v>117</v>
      </c>
      <c r="B19" s="285">
        <v>0</v>
      </c>
      <c r="C19" s="291">
        <f>B19/'- 3 -'!$D19*100</f>
        <v>0</v>
      </c>
      <c r="D19" s="285">
        <v>0</v>
      </c>
      <c r="E19" s="291">
        <f>D19/'- 3 -'!$D19*100</f>
        <v>0</v>
      </c>
      <c r="F19" s="285">
        <v>0</v>
      </c>
      <c r="G19" s="291">
        <f>F19/'- 3 -'!$D19*100</f>
        <v>0</v>
      </c>
      <c r="H19" s="285">
        <v>56552</v>
      </c>
      <c r="I19" s="291">
        <f>H19/'- 3 -'!$D19*100</f>
        <v>0.1148839895574045</v>
      </c>
    </row>
    <row r="20" spans="1:9" ht="14.1" customHeight="1" x14ac:dyDescent="0.2">
      <c r="A20" s="19" t="s">
        <v>118</v>
      </c>
      <c r="B20" s="20">
        <v>0</v>
      </c>
      <c r="C20" s="70">
        <f>B20/'- 3 -'!$D20*100</f>
        <v>0</v>
      </c>
      <c r="D20" s="20">
        <v>0</v>
      </c>
      <c r="E20" s="70">
        <f>D20/'- 3 -'!$D20*100</f>
        <v>0</v>
      </c>
      <c r="F20" s="20">
        <v>0</v>
      </c>
      <c r="G20" s="70">
        <f>F20/'- 3 -'!$D20*100</f>
        <v>0</v>
      </c>
      <c r="H20" s="20">
        <v>184935</v>
      </c>
      <c r="I20" s="70">
        <f>H20/'- 3 -'!$D20*100</f>
        <v>0.21806640196521182</v>
      </c>
    </row>
    <row r="21" spans="1:9" ht="14.1" customHeight="1" x14ac:dyDescent="0.2">
      <c r="A21" s="284" t="s">
        <v>119</v>
      </c>
      <c r="B21" s="285">
        <v>134031</v>
      </c>
      <c r="C21" s="291">
        <f>B21/'- 3 -'!$D21*100</f>
        <v>0.36406198552487523</v>
      </c>
      <c r="D21" s="285">
        <v>0</v>
      </c>
      <c r="E21" s="291">
        <f>D21/'- 3 -'!$D21*100</f>
        <v>0</v>
      </c>
      <c r="F21" s="285">
        <v>0</v>
      </c>
      <c r="G21" s="291">
        <f>F21/'- 3 -'!$D21*100</f>
        <v>0</v>
      </c>
      <c r="H21" s="285">
        <v>103290</v>
      </c>
      <c r="I21" s="291">
        <f>H21/'- 3 -'!$D21*100</f>
        <v>0.28056167964772599</v>
      </c>
    </row>
    <row r="22" spans="1:9" ht="14.1" customHeight="1" x14ac:dyDescent="0.2">
      <c r="A22" s="19" t="s">
        <v>120</v>
      </c>
      <c r="B22" s="20">
        <v>0</v>
      </c>
      <c r="C22" s="70">
        <f>B22/'- 3 -'!$D22*100</f>
        <v>0</v>
      </c>
      <c r="D22" s="20">
        <v>0</v>
      </c>
      <c r="E22" s="70">
        <f>D22/'- 3 -'!$D22*100</f>
        <v>0</v>
      </c>
      <c r="F22" s="20">
        <v>49191</v>
      </c>
      <c r="G22" s="70">
        <f>F22/'- 3 -'!$D22*100</f>
        <v>0.23852507509944365</v>
      </c>
      <c r="H22" s="20">
        <v>0</v>
      </c>
      <c r="I22" s="70">
        <f>H22/'- 3 -'!$D22*100</f>
        <v>0</v>
      </c>
    </row>
    <row r="23" spans="1:9" ht="14.1" customHeight="1" x14ac:dyDescent="0.2">
      <c r="A23" s="284" t="s">
        <v>121</v>
      </c>
      <c r="B23" s="285">
        <v>124183</v>
      </c>
      <c r="C23" s="291">
        <f>B23/'- 3 -'!$D23*100</f>
        <v>0.74972946878802738</v>
      </c>
      <c r="D23" s="285">
        <v>0</v>
      </c>
      <c r="E23" s="291">
        <f>D23/'- 3 -'!$D23*100</f>
        <v>0</v>
      </c>
      <c r="F23" s="285">
        <v>136506</v>
      </c>
      <c r="G23" s="291">
        <f>F23/'- 3 -'!$D23*100</f>
        <v>0.82412706140436665</v>
      </c>
      <c r="H23" s="285">
        <v>28576</v>
      </c>
      <c r="I23" s="291">
        <f>H23/'- 3 -'!$D23*100</f>
        <v>0.17252175660184302</v>
      </c>
    </row>
    <row r="24" spans="1:9" ht="14.1" customHeight="1" x14ac:dyDescent="0.2">
      <c r="A24" s="19" t="s">
        <v>122</v>
      </c>
      <c r="B24" s="20">
        <v>277187</v>
      </c>
      <c r="C24" s="70">
        <f>B24/'- 3 -'!$D24*100</f>
        <v>0.47896875195745758</v>
      </c>
      <c r="D24" s="20">
        <v>0</v>
      </c>
      <c r="E24" s="70">
        <f>D24/'- 3 -'!$D24*100</f>
        <v>0</v>
      </c>
      <c r="F24" s="20">
        <v>211437</v>
      </c>
      <c r="G24" s="70">
        <f>F24/'- 3 -'!$D24*100</f>
        <v>0.36535521509893665</v>
      </c>
      <c r="H24" s="20">
        <v>0</v>
      </c>
      <c r="I24" s="70">
        <f>H24/'- 3 -'!$D24*100</f>
        <v>0</v>
      </c>
    </row>
    <row r="25" spans="1:9" ht="14.1" customHeight="1" x14ac:dyDescent="0.2">
      <c r="A25" s="284" t="s">
        <v>123</v>
      </c>
      <c r="B25" s="285">
        <v>333224</v>
      </c>
      <c r="C25" s="291">
        <f>B25/'- 3 -'!$D25*100</f>
        <v>0.17814839193709051</v>
      </c>
      <c r="D25" s="285">
        <v>201076</v>
      </c>
      <c r="E25" s="291">
        <f>D25/'- 3 -'!$D25*100</f>
        <v>0.10749935796083838</v>
      </c>
      <c r="F25" s="285">
        <v>1048148</v>
      </c>
      <c r="G25" s="291">
        <f>F25/'- 3 -'!$D25*100</f>
        <v>0.56036144068877858</v>
      </c>
      <c r="H25" s="285">
        <v>1045987</v>
      </c>
      <c r="I25" s="291">
        <f>H25/'- 3 -'!$D25*100</f>
        <v>0.55920612572054085</v>
      </c>
    </row>
    <row r="26" spans="1:9" ht="14.1" customHeight="1" x14ac:dyDescent="0.2">
      <c r="A26" s="19" t="s">
        <v>124</v>
      </c>
      <c r="B26" s="20">
        <v>0</v>
      </c>
      <c r="C26" s="70">
        <f>B26/'- 3 -'!$D26*100</f>
        <v>0</v>
      </c>
      <c r="D26" s="20">
        <v>0</v>
      </c>
      <c r="E26" s="70">
        <f>D26/'- 3 -'!$D26*100</f>
        <v>0</v>
      </c>
      <c r="F26" s="20">
        <v>0</v>
      </c>
      <c r="G26" s="70">
        <f>F26/'- 3 -'!$D26*100</f>
        <v>0</v>
      </c>
      <c r="H26" s="20">
        <v>86152</v>
      </c>
      <c r="I26" s="70">
        <f>H26/'- 3 -'!$D26*100</f>
        <v>0.21123779063493661</v>
      </c>
    </row>
    <row r="27" spans="1:9" ht="14.1" customHeight="1" x14ac:dyDescent="0.2">
      <c r="A27" s="284" t="s">
        <v>125</v>
      </c>
      <c r="B27" s="285">
        <v>0</v>
      </c>
      <c r="C27" s="291">
        <f>B27/'- 3 -'!$D27*100</f>
        <v>0</v>
      </c>
      <c r="D27" s="285">
        <v>0</v>
      </c>
      <c r="E27" s="291">
        <f>D27/'- 3 -'!$D27*100</f>
        <v>0</v>
      </c>
      <c r="F27" s="285">
        <v>0</v>
      </c>
      <c r="G27" s="291">
        <f>F27/'- 3 -'!$D27*100</f>
        <v>0</v>
      </c>
      <c r="H27" s="285">
        <v>0</v>
      </c>
      <c r="I27" s="291">
        <f>H27/'- 3 -'!$D27*100</f>
        <v>0</v>
      </c>
    </row>
    <row r="28" spans="1:9" ht="14.1" customHeight="1" x14ac:dyDescent="0.2">
      <c r="A28" s="19" t="s">
        <v>126</v>
      </c>
      <c r="B28" s="20">
        <v>0</v>
      </c>
      <c r="C28" s="70">
        <f>B28/'- 3 -'!$D28*100</f>
        <v>0</v>
      </c>
      <c r="D28" s="20">
        <v>0</v>
      </c>
      <c r="E28" s="70">
        <f>D28/'- 3 -'!$D28*100</f>
        <v>0</v>
      </c>
      <c r="F28" s="20">
        <v>0</v>
      </c>
      <c r="G28" s="70">
        <f>F28/'- 3 -'!$D28*100</f>
        <v>0</v>
      </c>
      <c r="H28" s="20">
        <v>104914</v>
      </c>
      <c r="I28" s="70">
        <f>H28/'- 3 -'!$D28*100</f>
        <v>0.36306488723321712</v>
      </c>
    </row>
    <row r="29" spans="1:9" ht="14.1" customHeight="1" x14ac:dyDescent="0.2">
      <c r="A29" s="284" t="s">
        <v>127</v>
      </c>
      <c r="B29" s="285">
        <v>0</v>
      </c>
      <c r="C29" s="291">
        <f>B29/'- 3 -'!$D29*100</f>
        <v>0</v>
      </c>
      <c r="D29" s="285">
        <v>0</v>
      </c>
      <c r="E29" s="291">
        <f>D29/'- 3 -'!$D29*100</f>
        <v>0</v>
      </c>
      <c r="F29" s="285">
        <v>584173</v>
      </c>
      <c r="G29" s="291">
        <f>F29/'- 3 -'!$D29*100</f>
        <v>0.35873923014073494</v>
      </c>
      <c r="H29" s="285">
        <v>345411</v>
      </c>
      <c r="I29" s="291">
        <f>H29/'- 3 -'!$D29*100</f>
        <v>0.21211606188944271</v>
      </c>
    </row>
    <row r="30" spans="1:9" ht="14.1" customHeight="1" x14ac:dyDescent="0.2">
      <c r="A30" s="19" t="s">
        <v>128</v>
      </c>
      <c r="B30" s="20">
        <v>0</v>
      </c>
      <c r="C30" s="70">
        <f>B30/'- 3 -'!$D30*100</f>
        <v>0</v>
      </c>
      <c r="D30" s="20">
        <v>0</v>
      </c>
      <c r="E30" s="70">
        <f>D30/'- 3 -'!$D30*100</f>
        <v>0</v>
      </c>
      <c r="F30" s="20">
        <v>0</v>
      </c>
      <c r="G30" s="70">
        <f>F30/'- 3 -'!$D30*100</f>
        <v>0</v>
      </c>
      <c r="H30" s="20">
        <v>17014</v>
      </c>
      <c r="I30" s="70">
        <f>H30/'- 3 -'!$D30*100</f>
        <v>0.11575179614621491</v>
      </c>
    </row>
    <row r="31" spans="1:9" ht="14.1" customHeight="1" x14ac:dyDescent="0.2">
      <c r="A31" s="284" t="s">
        <v>129</v>
      </c>
      <c r="B31" s="285">
        <v>0</v>
      </c>
      <c r="C31" s="291">
        <f>B31/'- 3 -'!$D31*100</f>
        <v>0</v>
      </c>
      <c r="D31" s="285">
        <v>0</v>
      </c>
      <c r="E31" s="291">
        <f>D31/'- 3 -'!$D31*100</f>
        <v>0</v>
      </c>
      <c r="F31" s="285">
        <v>0</v>
      </c>
      <c r="G31" s="291">
        <f>F31/'- 3 -'!$D31*100</f>
        <v>0</v>
      </c>
      <c r="H31" s="285">
        <v>59327</v>
      </c>
      <c r="I31" s="291">
        <f>H31/'- 3 -'!$D31*100</f>
        <v>0.15599060370049037</v>
      </c>
    </row>
    <row r="32" spans="1:9" ht="14.1" customHeight="1" x14ac:dyDescent="0.2">
      <c r="A32" s="19" t="s">
        <v>130</v>
      </c>
      <c r="B32" s="20">
        <v>0</v>
      </c>
      <c r="C32" s="70">
        <f>B32/'- 3 -'!$D32*100</f>
        <v>0</v>
      </c>
      <c r="D32" s="20">
        <v>0</v>
      </c>
      <c r="E32" s="70">
        <f>D32/'- 3 -'!$D32*100</f>
        <v>0</v>
      </c>
      <c r="F32" s="20">
        <v>0</v>
      </c>
      <c r="G32" s="70">
        <f>F32/'- 3 -'!$D32*100</f>
        <v>0</v>
      </c>
      <c r="H32" s="20">
        <v>36229</v>
      </c>
      <c r="I32" s="70">
        <f>H32/'- 3 -'!$D32*100</f>
        <v>0.11539493773310945</v>
      </c>
    </row>
    <row r="33" spans="1:10" ht="14.1" customHeight="1" x14ac:dyDescent="0.2">
      <c r="A33" s="284" t="s">
        <v>131</v>
      </c>
      <c r="B33" s="285">
        <v>0</v>
      </c>
      <c r="C33" s="291">
        <f>B33/'- 3 -'!$D33*100</f>
        <v>0</v>
      </c>
      <c r="D33" s="285">
        <v>0</v>
      </c>
      <c r="E33" s="291">
        <f>D33/'- 3 -'!$D33*100</f>
        <v>0</v>
      </c>
      <c r="F33" s="285">
        <v>0</v>
      </c>
      <c r="G33" s="291">
        <f>F33/'- 3 -'!$D33*100</f>
        <v>0</v>
      </c>
      <c r="H33" s="285">
        <v>34580</v>
      </c>
      <c r="I33" s="291">
        <f>H33/'- 3 -'!$D33*100</f>
        <v>0.12197858291716401</v>
      </c>
    </row>
    <row r="34" spans="1:10" ht="14.1" customHeight="1" x14ac:dyDescent="0.2">
      <c r="A34" s="19" t="s">
        <v>132</v>
      </c>
      <c r="B34" s="20">
        <v>0</v>
      </c>
      <c r="C34" s="70">
        <f>B34/'- 3 -'!$D34*100</f>
        <v>0</v>
      </c>
      <c r="D34" s="20">
        <v>0</v>
      </c>
      <c r="E34" s="70">
        <f>D34/'- 3 -'!$D34*100</f>
        <v>0</v>
      </c>
      <c r="F34" s="20">
        <v>0</v>
      </c>
      <c r="G34" s="70">
        <f>F34/'- 3 -'!$D34*100</f>
        <v>0</v>
      </c>
      <c r="H34" s="20">
        <v>54701</v>
      </c>
      <c r="I34" s="70">
        <f>H34/'- 3 -'!$D34*100</f>
        <v>0.17793258026832717</v>
      </c>
    </row>
    <row r="35" spans="1:10" ht="14.1" customHeight="1" x14ac:dyDescent="0.2">
      <c r="A35" s="284" t="s">
        <v>133</v>
      </c>
      <c r="B35" s="285">
        <v>327112</v>
      </c>
      <c r="C35" s="291">
        <f>B35/'- 3 -'!$D35*100</f>
        <v>0.17368998286755336</v>
      </c>
      <c r="D35" s="285">
        <v>179061</v>
      </c>
      <c r="E35" s="291">
        <f>D35/'- 3 -'!$D35*100</f>
        <v>9.5077838851057056E-2</v>
      </c>
      <c r="F35" s="285">
        <v>712844</v>
      </c>
      <c r="G35" s="291">
        <f>F35/'- 3 -'!$D35*100</f>
        <v>0.37850602285222862</v>
      </c>
      <c r="H35" s="285">
        <v>312077</v>
      </c>
      <c r="I35" s="291">
        <f>H35/'- 3 -'!$D35*100</f>
        <v>0.16570669612657885</v>
      </c>
    </row>
    <row r="36" spans="1:10" ht="14.1" customHeight="1" x14ac:dyDescent="0.2">
      <c r="A36" s="19" t="s">
        <v>134</v>
      </c>
      <c r="B36" s="20">
        <v>0</v>
      </c>
      <c r="C36" s="70">
        <f>B36/'- 3 -'!$D36*100</f>
        <v>0</v>
      </c>
      <c r="D36" s="20">
        <v>0</v>
      </c>
      <c r="E36" s="70">
        <f>D36/'- 3 -'!$D36*100</f>
        <v>0</v>
      </c>
      <c r="F36" s="20">
        <v>0</v>
      </c>
      <c r="G36" s="70">
        <f>F36/'- 3 -'!$D36*100</f>
        <v>0</v>
      </c>
      <c r="H36" s="20">
        <v>22290</v>
      </c>
      <c r="I36" s="70">
        <f>H36/'- 3 -'!$D36*100</f>
        <v>9.4193982639909551E-2</v>
      </c>
    </row>
    <row r="37" spans="1:10" ht="14.1" customHeight="1" x14ac:dyDescent="0.2">
      <c r="A37" s="284" t="s">
        <v>135</v>
      </c>
      <c r="B37" s="285">
        <v>0</v>
      </c>
      <c r="C37" s="291">
        <f>B37/'- 3 -'!$D37*100</f>
        <v>0</v>
      </c>
      <c r="D37" s="285">
        <v>0</v>
      </c>
      <c r="E37" s="291">
        <f>D37/'- 3 -'!$D37*100</f>
        <v>0</v>
      </c>
      <c r="F37" s="285">
        <v>0</v>
      </c>
      <c r="G37" s="291">
        <f>F37/'- 3 -'!$D37*100</f>
        <v>0</v>
      </c>
      <c r="H37" s="285">
        <v>484374</v>
      </c>
      <c r="I37" s="291">
        <f>H37/'- 3 -'!$D37*100</f>
        <v>0.92415671753661843</v>
      </c>
    </row>
    <row r="38" spans="1:10" ht="14.1" customHeight="1" x14ac:dyDescent="0.2">
      <c r="A38" s="19" t="s">
        <v>136</v>
      </c>
      <c r="B38" s="20">
        <v>10651</v>
      </c>
      <c r="C38" s="70">
        <f>B38/'- 3 -'!$D38*100</f>
        <v>7.5617232314589382E-3</v>
      </c>
      <c r="D38" s="20">
        <v>597890</v>
      </c>
      <c r="E38" s="70">
        <f>D38/'- 3 -'!$D38*100</f>
        <v>0.42447457542549849</v>
      </c>
      <c r="F38" s="20">
        <v>1176314</v>
      </c>
      <c r="G38" s="70">
        <f>F38/'- 3 -'!$D38*100</f>
        <v>0.83512918047980378</v>
      </c>
      <c r="H38" s="20">
        <v>438874</v>
      </c>
      <c r="I38" s="70">
        <f>H38/'- 3 -'!$D38*100</f>
        <v>0.31158048272305983</v>
      </c>
    </row>
    <row r="39" spans="1:10" ht="14.1" customHeight="1" x14ac:dyDescent="0.2">
      <c r="A39" s="284" t="s">
        <v>137</v>
      </c>
      <c r="B39" s="285">
        <v>0</v>
      </c>
      <c r="C39" s="291">
        <f>B39/'- 3 -'!$D39*100</f>
        <v>0</v>
      </c>
      <c r="D39" s="285">
        <v>0</v>
      </c>
      <c r="E39" s="291">
        <f>D39/'- 3 -'!$D39*100</f>
        <v>0</v>
      </c>
      <c r="F39" s="285">
        <v>0</v>
      </c>
      <c r="G39" s="291">
        <f>F39/'- 3 -'!$D39*100</f>
        <v>0</v>
      </c>
      <c r="H39" s="285">
        <v>61058</v>
      </c>
      <c r="I39" s="291">
        <f>H39/'- 3 -'!$D39*100</f>
        <v>0.27391132160216364</v>
      </c>
    </row>
    <row r="40" spans="1:10" ht="14.1" customHeight="1" x14ac:dyDescent="0.2">
      <c r="A40" s="19" t="s">
        <v>138</v>
      </c>
      <c r="B40" s="20">
        <v>474449</v>
      </c>
      <c r="C40" s="70">
        <f>B40/'- 3 -'!$D40*100</f>
        <v>0.44788405184945912</v>
      </c>
      <c r="D40" s="20">
        <v>0</v>
      </c>
      <c r="E40" s="70">
        <f>D40/'- 3 -'!$D40*100</f>
        <v>0</v>
      </c>
      <c r="F40" s="20">
        <v>342985</v>
      </c>
      <c r="G40" s="70">
        <f>F40/'- 3 -'!$D40*100</f>
        <v>0.32378087323102539</v>
      </c>
      <c r="H40" s="20">
        <v>100496</v>
      </c>
      <c r="I40" s="70">
        <f>H40/'- 3 -'!$D40*100</f>
        <v>9.486911274902729E-2</v>
      </c>
    </row>
    <row r="41" spans="1:10" ht="14.1" customHeight="1" x14ac:dyDescent="0.2">
      <c r="A41" s="284" t="s">
        <v>139</v>
      </c>
      <c r="B41" s="285">
        <v>0</v>
      </c>
      <c r="C41" s="291">
        <f>B41/'- 3 -'!$D41*100</f>
        <v>0</v>
      </c>
      <c r="D41" s="285">
        <v>0</v>
      </c>
      <c r="E41" s="291">
        <f>D41/'- 3 -'!$D41*100</f>
        <v>0</v>
      </c>
      <c r="F41" s="285">
        <v>9656</v>
      </c>
      <c r="G41" s="291">
        <f>F41/'- 3 -'!$D41*100</f>
        <v>1.487005747301853E-2</v>
      </c>
      <c r="H41" s="285">
        <v>351791</v>
      </c>
      <c r="I41" s="291">
        <f>H41/'- 3 -'!$D41*100</f>
        <v>0.54175149010880919</v>
      </c>
    </row>
    <row r="42" spans="1:10" ht="14.1" customHeight="1" x14ac:dyDescent="0.2">
      <c r="A42" s="19" t="s">
        <v>140</v>
      </c>
      <c r="B42" s="20">
        <v>0</v>
      </c>
      <c r="C42" s="70">
        <f>B42/'- 3 -'!$D42*100</f>
        <v>0</v>
      </c>
      <c r="D42" s="20">
        <v>0</v>
      </c>
      <c r="E42" s="70">
        <f>D42/'- 3 -'!$D42*100</f>
        <v>0</v>
      </c>
      <c r="F42" s="20">
        <v>0</v>
      </c>
      <c r="G42" s="70">
        <f>F42/'- 3 -'!$D42*100</f>
        <v>0</v>
      </c>
      <c r="H42" s="20">
        <v>64745</v>
      </c>
      <c r="I42" s="70">
        <f>H42/'- 3 -'!$D42*100</f>
        <v>0.31024032664240619</v>
      </c>
    </row>
    <row r="43" spans="1:10" ht="14.1" customHeight="1" x14ac:dyDescent="0.2">
      <c r="A43" s="284" t="s">
        <v>141</v>
      </c>
      <c r="B43" s="285">
        <v>0</v>
      </c>
      <c r="C43" s="291">
        <f>B43/'- 3 -'!$D43*100</f>
        <v>0</v>
      </c>
      <c r="D43" s="285">
        <v>0</v>
      </c>
      <c r="E43" s="291">
        <f>D43/'- 3 -'!$D43*100</f>
        <v>0</v>
      </c>
      <c r="F43" s="285">
        <v>0</v>
      </c>
      <c r="G43" s="291">
        <f>F43/'- 3 -'!$D43*100</f>
        <v>0</v>
      </c>
      <c r="H43" s="285">
        <v>16513</v>
      </c>
      <c r="I43" s="291">
        <f>H43/'- 3 -'!$D43*100</f>
        <v>0.12275892297463017</v>
      </c>
    </row>
    <row r="44" spans="1:10" ht="14.1" customHeight="1" x14ac:dyDescent="0.2">
      <c r="A44" s="19" t="s">
        <v>142</v>
      </c>
      <c r="B44" s="20">
        <v>0</v>
      </c>
      <c r="C44" s="70">
        <f>B44/'- 3 -'!$D44*100</f>
        <v>0</v>
      </c>
      <c r="D44" s="20">
        <v>0</v>
      </c>
      <c r="E44" s="70">
        <f>D44/'- 3 -'!$D44*100</f>
        <v>0</v>
      </c>
      <c r="F44" s="20">
        <v>0</v>
      </c>
      <c r="G44" s="70">
        <f>F44/'- 3 -'!$D44*100</f>
        <v>0</v>
      </c>
      <c r="H44" s="20">
        <v>20258</v>
      </c>
      <c r="I44" s="70">
        <f>H44/'- 3 -'!$D44*100</f>
        <v>0.18480061046780791</v>
      </c>
    </row>
    <row r="45" spans="1:10" ht="14.1" customHeight="1" x14ac:dyDescent="0.2">
      <c r="A45" s="284" t="s">
        <v>143</v>
      </c>
      <c r="B45" s="285">
        <v>0</v>
      </c>
      <c r="C45" s="291">
        <f>B45/'- 3 -'!$D45*100</f>
        <v>0</v>
      </c>
      <c r="D45" s="285">
        <v>0</v>
      </c>
      <c r="E45" s="291">
        <f>D45/'- 3 -'!$D45*100</f>
        <v>0</v>
      </c>
      <c r="F45" s="285">
        <v>2554</v>
      </c>
      <c r="G45" s="291">
        <f>F45/'- 3 -'!$D45*100</f>
        <v>1.2799456028130337E-2</v>
      </c>
      <c r="H45" s="285">
        <v>41038</v>
      </c>
      <c r="I45" s="291">
        <f>H45/'- 3 -'!$D45*100</f>
        <v>0.20566330324291809</v>
      </c>
    </row>
    <row r="46" spans="1:10" ht="14.1" customHeight="1" x14ac:dyDescent="0.2">
      <c r="A46" s="19" t="s">
        <v>144</v>
      </c>
      <c r="B46" s="20">
        <v>0</v>
      </c>
      <c r="C46" s="70">
        <f>B46/'- 3 -'!$D46*100</f>
        <v>0</v>
      </c>
      <c r="D46" s="20">
        <v>4129618</v>
      </c>
      <c r="E46" s="70">
        <f>D46/'- 3 -'!$D46*100</f>
        <v>1.0405126715817659</v>
      </c>
      <c r="F46" s="20">
        <v>165728</v>
      </c>
      <c r="G46" s="70">
        <f>F46/'- 3 -'!$D46*100</f>
        <v>4.1757393549694641E-2</v>
      </c>
      <c r="H46" s="20">
        <v>5557732</v>
      </c>
      <c r="I46" s="70">
        <f>H46/'- 3 -'!$D46*100</f>
        <v>1.4003451581370165</v>
      </c>
    </row>
    <row r="47" spans="1:10" ht="5.0999999999999996" customHeight="1" x14ac:dyDescent="0.2">
      <c r="A47"/>
      <c r="B47"/>
      <c r="C47"/>
      <c r="D47"/>
      <c r="E47"/>
      <c r="F47"/>
      <c r="G47"/>
      <c r="H47"/>
      <c r="I47"/>
      <c r="J47"/>
    </row>
    <row r="48" spans="1:10" ht="14.1" customHeight="1" x14ac:dyDescent="0.2">
      <c r="A48" s="286" t="s">
        <v>145</v>
      </c>
      <c r="B48" s="287">
        <f>SUM(B11:B46)</f>
        <v>1680837</v>
      </c>
      <c r="C48" s="294">
        <f>B48/'- 3 -'!$D48*100</f>
        <v>7.1315603818747034E-2</v>
      </c>
      <c r="D48" s="287">
        <f>SUM(D11:D46)</f>
        <v>5107645</v>
      </c>
      <c r="E48" s="294">
        <f>D48/'- 3 -'!$D48*100</f>
        <v>0.21671035755805249</v>
      </c>
      <c r="F48" s="287">
        <f>SUM(F11:F46)</f>
        <v>5814650</v>
      </c>
      <c r="G48" s="294">
        <f>F48/'- 3 -'!$D48*100</f>
        <v>0.24670760802188285</v>
      </c>
      <c r="H48" s="287">
        <f>SUM(H11:H46)</f>
        <v>12847423</v>
      </c>
      <c r="I48" s="294">
        <f>H48/'- 3 -'!$D48*100</f>
        <v>0.54509850078256161</v>
      </c>
    </row>
    <row r="49" spans="1:9" ht="5.0999999999999996" customHeight="1" x14ac:dyDescent="0.2">
      <c r="A49" s="21" t="s">
        <v>7</v>
      </c>
      <c r="B49"/>
      <c r="C49"/>
      <c r="D49"/>
      <c r="E49"/>
      <c r="F49"/>
      <c r="G49"/>
      <c r="H49"/>
      <c r="I49"/>
    </row>
    <row r="50" spans="1:9" ht="14.1" customHeight="1" x14ac:dyDescent="0.2">
      <c r="A50" s="19" t="s">
        <v>146</v>
      </c>
      <c r="B50" s="20">
        <v>27895</v>
      </c>
      <c r="C50" s="70">
        <f>B50/'- 3 -'!$D50*100</f>
        <v>0.86171983772050009</v>
      </c>
      <c r="D50" s="20">
        <v>0</v>
      </c>
      <c r="E50" s="70">
        <f>D50/'- 3 -'!$D50*100</f>
        <v>0</v>
      </c>
      <c r="F50" s="20">
        <v>32023</v>
      </c>
      <c r="G50" s="70">
        <f>F50/'- 3 -'!$D50*100</f>
        <v>0.98924016358930178</v>
      </c>
      <c r="H50" s="20">
        <v>65740</v>
      </c>
      <c r="I50" s="70">
        <f>H50/'- 3 -'!$D50*100</f>
        <v>2.0308106159435626</v>
      </c>
    </row>
    <row r="51" spans="1:9" ht="14.1" customHeight="1" x14ac:dyDescent="0.2">
      <c r="A51" s="284" t="s">
        <v>607</v>
      </c>
      <c r="B51" s="285">
        <v>0</v>
      </c>
      <c r="C51" s="291">
        <f>B51/'- 3 -'!$D51*100</f>
        <v>0</v>
      </c>
      <c r="D51" s="285">
        <v>2270396</v>
      </c>
      <c r="E51" s="291">
        <f>D51/'- 3 -'!$D51*100</f>
        <v>7.4803516048206049</v>
      </c>
      <c r="F51" s="285">
        <v>7323886</v>
      </c>
      <c r="G51" s="291">
        <f>F51/'- 3 -'!$D51*100</f>
        <v>24.130258507160494</v>
      </c>
      <c r="H51" s="285">
        <v>0</v>
      </c>
      <c r="I51" s="291">
        <f>H51/'- 3 -'!$D51*100</f>
        <v>0</v>
      </c>
    </row>
    <row r="52" spans="1:9" ht="50.1" customHeight="1" x14ac:dyDescent="0.2"/>
  </sheetData>
  <mergeCells count="4">
    <mergeCell ref="B7:C8"/>
    <mergeCell ref="D6:E8"/>
    <mergeCell ref="F7:G8"/>
    <mergeCell ref="H7:I8"/>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J52"/>
  <sheetViews>
    <sheetView showGridLines="0" showZeros="0" workbookViewId="0"/>
  </sheetViews>
  <sheetFormatPr defaultColWidth="15.83203125" defaultRowHeight="12" x14ac:dyDescent="0.2"/>
  <cols>
    <col min="1" max="1" width="32.83203125" style="2" customWidth="1"/>
    <col min="2" max="2" width="14.83203125" style="2" customWidth="1"/>
    <col min="3" max="3" width="7.83203125" style="2" customWidth="1"/>
    <col min="4" max="4" width="9.83203125" style="2" customWidth="1"/>
    <col min="5" max="5" width="16.83203125" style="2" customWidth="1"/>
    <col min="6" max="6" width="7.83203125" style="2" customWidth="1"/>
    <col min="7" max="7" width="9.83203125" style="2" customWidth="1"/>
    <col min="8" max="8" width="14.83203125" style="2" customWidth="1"/>
    <col min="9" max="9" width="7.83203125" style="2" customWidth="1"/>
    <col min="10" max="10" width="9.83203125" style="2" customWidth="1"/>
    <col min="11" max="16384" width="15.83203125" style="2"/>
  </cols>
  <sheetData>
    <row r="1" spans="1:10" ht="6.95" customHeight="1" x14ac:dyDescent="0.2">
      <c r="A1" s="7"/>
      <c r="B1" s="8"/>
      <c r="C1" s="8"/>
      <c r="D1" s="8"/>
      <c r="E1" s="8"/>
      <c r="F1" s="8"/>
      <c r="G1" s="8"/>
      <c r="H1" s="8"/>
      <c r="I1" s="8"/>
      <c r="J1" s="8"/>
    </row>
    <row r="2" spans="1:10" ht="15.95" customHeight="1" x14ac:dyDescent="0.2">
      <c r="A2" s="134"/>
      <c r="B2" s="9" t="s">
        <v>263</v>
      </c>
      <c r="C2" s="10"/>
      <c r="D2" s="10"/>
      <c r="E2" s="10"/>
      <c r="F2" s="10"/>
      <c r="G2" s="73"/>
      <c r="H2" s="73"/>
      <c r="I2" s="153"/>
      <c r="J2" s="395" t="s">
        <v>405</v>
      </c>
    </row>
    <row r="3" spans="1:10" ht="15.95" customHeight="1" x14ac:dyDescent="0.2">
      <c r="A3" s="541"/>
      <c r="B3" s="11" t="str">
        <f>OPYEAR</f>
        <v>OPERATING FUND 2017/2018 ACTUAL</v>
      </c>
      <c r="C3" s="12"/>
      <c r="D3" s="12"/>
      <c r="E3" s="12"/>
      <c r="F3" s="12"/>
      <c r="G3" s="75"/>
      <c r="H3" s="75"/>
      <c r="I3" s="75"/>
      <c r="J3" s="66"/>
    </row>
    <row r="4" spans="1:10" ht="15.95" customHeight="1" x14ac:dyDescent="0.2">
      <c r="B4" s="8"/>
      <c r="C4" s="8"/>
      <c r="D4" s="8"/>
      <c r="E4" s="8"/>
      <c r="F4" s="8"/>
      <c r="G4" s="8"/>
      <c r="H4" s="8"/>
      <c r="I4" s="8"/>
      <c r="J4" s="8"/>
    </row>
    <row r="5" spans="1:10" ht="15.95" customHeight="1" x14ac:dyDescent="0.2">
      <c r="B5" s="164" t="s">
        <v>94</v>
      </c>
      <c r="C5" s="165"/>
      <c r="D5" s="166"/>
      <c r="E5" s="166"/>
      <c r="F5" s="166"/>
      <c r="G5" s="166"/>
      <c r="H5" s="166"/>
      <c r="I5" s="166"/>
      <c r="J5" s="167"/>
    </row>
    <row r="6" spans="1:10" ht="15.95" customHeight="1" x14ac:dyDescent="0.2">
      <c r="B6" s="309"/>
      <c r="C6" s="312"/>
      <c r="D6" s="310"/>
      <c r="E6" s="638" t="s">
        <v>491</v>
      </c>
      <c r="F6" s="646"/>
      <c r="G6" s="639"/>
      <c r="H6" s="638" t="s">
        <v>492</v>
      </c>
      <c r="I6" s="646"/>
      <c r="J6" s="639"/>
    </row>
    <row r="7" spans="1:10" ht="15.95" customHeight="1" x14ac:dyDescent="0.2">
      <c r="B7" s="643" t="s">
        <v>23</v>
      </c>
      <c r="C7" s="645"/>
      <c r="D7" s="644"/>
      <c r="E7" s="640"/>
      <c r="F7" s="647"/>
      <c r="G7" s="641"/>
      <c r="H7" s="640"/>
      <c r="I7" s="647"/>
      <c r="J7" s="641"/>
    </row>
    <row r="8" spans="1:10" ht="15.95" customHeight="1" x14ac:dyDescent="0.2">
      <c r="A8" s="67"/>
      <c r="B8" s="137"/>
      <c r="C8" s="138"/>
      <c r="D8" s="591" t="s">
        <v>476</v>
      </c>
      <c r="E8" s="137"/>
      <c r="F8" s="139"/>
      <c r="G8" s="591" t="s">
        <v>476</v>
      </c>
      <c r="H8" s="137"/>
      <c r="I8" s="139"/>
      <c r="J8" s="591" t="s">
        <v>476</v>
      </c>
    </row>
    <row r="9" spans="1:10" ht="15.95" customHeight="1" x14ac:dyDescent="0.2">
      <c r="A9" s="35" t="s">
        <v>42</v>
      </c>
      <c r="B9" s="77" t="s">
        <v>43</v>
      </c>
      <c r="C9" s="77" t="s">
        <v>44</v>
      </c>
      <c r="D9" s="593"/>
      <c r="E9" s="77" t="s">
        <v>43</v>
      </c>
      <c r="F9" s="77" t="s">
        <v>44</v>
      </c>
      <c r="G9" s="593"/>
      <c r="H9" s="77" t="s">
        <v>43</v>
      </c>
      <c r="I9" s="77" t="s">
        <v>44</v>
      </c>
      <c r="J9" s="593"/>
    </row>
    <row r="10" spans="1:10" ht="5.0999999999999996" customHeight="1" x14ac:dyDescent="0.2">
      <c r="A10" s="6"/>
    </row>
    <row r="11" spans="1:10" ht="14.1" customHeight="1" x14ac:dyDescent="0.2">
      <c r="A11" s="284" t="s">
        <v>110</v>
      </c>
      <c r="B11" s="285">
        <v>118111</v>
      </c>
      <c r="C11" s="291">
        <f>B11/'- 3 -'!$D11*100</f>
        <v>0.59683405233095299</v>
      </c>
      <c r="D11" s="285">
        <f>B11/'- 7 -'!$E11</f>
        <v>65.682905127349571</v>
      </c>
      <c r="E11" s="285">
        <v>154006</v>
      </c>
      <c r="F11" s="291">
        <f>E11/'- 3 -'!$D11*100</f>
        <v>0.77821731306381925</v>
      </c>
      <c r="G11" s="285">
        <f>E11/'- 7 -'!$E11</f>
        <v>85.644533422311198</v>
      </c>
      <c r="H11" s="285">
        <v>333513</v>
      </c>
      <c r="I11" s="291">
        <f>H11/'- 3 -'!$D11*100</f>
        <v>1.6852953179217274</v>
      </c>
      <c r="J11" s="285">
        <f>H11/'- 7 -'!$E11</f>
        <v>185.47047047047047</v>
      </c>
    </row>
    <row r="12" spans="1:10" ht="14.1" customHeight="1" x14ac:dyDescent="0.2">
      <c r="A12" s="19" t="s">
        <v>111</v>
      </c>
      <c r="B12" s="20">
        <v>155246</v>
      </c>
      <c r="C12" s="70">
        <f>B12/'- 3 -'!$D12*100</f>
        <v>0.45600161315644816</v>
      </c>
      <c r="D12" s="20">
        <f>B12/'- 7 -'!$E12</f>
        <v>74.979956532238589</v>
      </c>
      <c r="E12" s="20">
        <v>283480</v>
      </c>
      <c r="F12" s="70">
        <f>E12/'- 3 -'!$D12*100</f>
        <v>0.83266130720012055</v>
      </c>
      <c r="G12" s="20">
        <f>E12/'- 7 -'!$E12</f>
        <v>136.91378893986959</v>
      </c>
      <c r="H12" s="20">
        <v>682224</v>
      </c>
      <c r="I12" s="70">
        <f>H12/'- 3 -'!$D12*100</f>
        <v>2.0038857331850397</v>
      </c>
      <c r="J12" s="20">
        <f>H12/'- 7 -'!$E12</f>
        <v>329.49722289302099</v>
      </c>
    </row>
    <row r="13" spans="1:10" ht="14.1" customHeight="1" x14ac:dyDescent="0.2">
      <c r="A13" s="284" t="s">
        <v>112</v>
      </c>
      <c r="B13" s="285">
        <v>309606</v>
      </c>
      <c r="C13" s="291">
        <f>B13/'- 3 -'!$D13*100</f>
        <v>0.31285362081032853</v>
      </c>
      <c r="D13" s="285">
        <f>B13/'- 7 -'!$E13</f>
        <v>36.715677554775134</v>
      </c>
      <c r="E13" s="285">
        <v>653379</v>
      </c>
      <c r="F13" s="291">
        <f>E13/'- 3 -'!$D13*100</f>
        <v>0.66023263732431425</v>
      </c>
      <c r="G13" s="285">
        <f>E13/'- 7 -'!$E13</f>
        <v>77.483164683699357</v>
      </c>
      <c r="H13" s="285">
        <v>1778550</v>
      </c>
      <c r="I13" s="291">
        <f>H13/'- 3 -'!$D13*100</f>
        <v>1.7972061500494494</v>
      </c>
      <c r="J13" s="285">
        <f>H13/'- 7 -'!$E13</f>
        <v>210.91538379438808</v>
      </c>
    </row>
    <row r="14" spans="1:10" ht="14.1" customHeight="1" x14ac:dyDescent="0.2">
      <c r="A14" s="19" t="s">
        <v>359</v>
      </c>
      <c r="B14" s="20">
        <v>794222</v>
      </c>
      <c r="C14" s="70">
        <f>B14/'- 3 -'!$D14*100</f>
        <v>0.90187414407650146</v>
      </c>
      <c r="D14" s="20">
        <f>B14/'- 7 -'!$E14</f>
        <v>141.63263559228335</v>
      </c>
      <c r="E14" s="20">
        <v>1192723</v>
      </c>
      <c r="F14" s="70">
        <f>E14/'- 3 -'!$D14*100</f>
        <v>1.3543896224800587</v>
      </c>
      <c r="G14" s="20">
        <f>E14/'- 7 -'!$E14</f>
        <v>212.69683038436983</v>
      </c>
      <c r="H14" s="20">
        <v>1228783</v>
      </c>
      <c r="I14" s="70">
        <f>H14/'- 3 -'!$D14*100</f>
        <v>1.3953373444462074</v>
      </c>
      <c r="J14" s="20">
        <f>H14/'- 7 -'!$E14</f>
        <v>219.12736597700984</v>
      </c>
    </row>
    <row r="15" spans="1:10" ht="14.1" customHeight="1" x14ac:dyDescent="0.2">
      <c r="A15" s="284" t="s">
        <v>113</v>
      </c>
      <c r="B15" s="285">
        <v>185926</v>
      </c>
      <c r="C15" s="291">
        <f>B15/'- 3 -'!$D15*100</f>
        <v>0.93049340483034215</v>
      </c>
      <c r="D15" s="285">
        <f>B15/'- 7 -'!$E15</f>
        <v>134.74851427743152</v>
      </c>
      <c r="E15" s="285">
        <v>237246</v>
      </c>
      <c r="F15" s="291">
        <f>E15/'- 3 -'!$D15*100</f>
        <v>1.1873317251077276</v>
      </c>
      <c r="G15" s="285">
        <f>E15/'- 7 -'!$E15</f>
        <v>171.94231047977968</v>
      </c>
      <c r="H15" s="285">
        <v>430052</v>
      </c>
      <c r="I15" s="291">
        <f>H15/'- 3 -'!$D15*100</f>
        <v>2.1522570793439231</v>
      </c>
      <c r="J15" s="285">
        <f>H15/'- 7 -'!$E15</f>
        <v>311.67705464560083</v>
      </c>
    </row>
    <row r="16" spans="1:10" ht="14.1" customHeight="1" x14ac:dyDescent="0.2">
      <c r="A16" s="19" t="s">
        <v>114</v>
      </c>
      <c r="B16" s="20">
        <v>112516</v>
      </c>
      <c r="C16" s="70">
        <f>B16/'- 3 -'!$D16*100</f>
        <v>0.77780459957953363</v>
      </c>
      <c r="D16" s="20">
        <f>B16/'- 7 -'!$E16</f>
        <v>123.25117756599847</v>
      </c>
      <c r="E16" s="20">
        <v>184461</v>
      </c>
      <c r="F16" s="70">
        <f>E16/'- 3 -'!$D16*100</f>
        <v>1.2751485499221475</v>
      </c>
      <c r="G16" s="20">
        <f>E16/'- 7 -'!$E16</f>
        <v>202.06046664475846</v>
      </c>
      <c r="H16" s="20">
        <v>345846</v>
      </c>
      <c r="I16" s="70">
        <f>H16/'- 3 -'!$D16*100</f>
        <v>2.3907765077516392</v>
      </c>
      <c r="J16" s="20">
        <f>H16/'- 7 -'!$E16</f>
        <v>378.8432467959251</v>
      </c>
    </row>
    <row r="17" spans="1:10" ht="14.1" customHeight="1" x14ac:dyDescent="0.2">
      <c r="A17" s="284" t="s">
        <v>115</v>
      </c>
      <c r="B17" s="285">
        <v>200973</v>
      </c>
      <c r="C17" s="291">
        <f>B17/'- 3 -'!$D17*100</f>
        <v>1.0959152260579743</v>
      </c>
      <c r="D17" s="285">
        <f>B17/'- 7 -'!$E17</f>
        <v>143.88248529787779</v>
      </c>
      <c r="E17" s="285">
        <v>170332</v>
      </c>
      <c r="F17" s="291">
        <f>E17/'- 3 -'!$D17*100</f>
        <v>0.92882841120402682</v>
      </c>
      <c r="G17" s="285">
        <f>E17/'- 7 -'!$E17</f>
        <v>121.94569163896702</v>
      </c>
      <c r="H17" s="285">
        <v>296686</v>
      </c>
      <c r="I17" s="291">
        <f>H17/'- 3 -'!$D17*100</f>
        <v>1.6178427189634237</v>
      </c>
      <c r="J17" s="285">
        <f>H17/'- 7 -'!$E17</f>
        <v>212.40623881360267</v>
      </c>
    </row>
    <row r="18" spans="1:10" ht="14.1" customHeight="1" x14ac:dyDescent="0.2">
      <c r="A18" s="19" t="s">
        <v>116</v>
      </c>
      <c r="B18" s="20">
        <v>1141597</v>
      </c>
      <c r="C18" s="70">
        <f>B18/'- 3 -'!$D18*100</f>
        <v>0.85786883989601959</v>
      </c>
      <c r="D18" s="20">
        <f>B18/'- 7 -'!$E18</f>
        <v>187.3897342459907</v>
      </c>
      <c r="E18" s="20">
        <v>2206269</v>
      </c>
      <c r="F18" s="70">
        <f>E18/'- 3 -'!$D18*100</f>
        <v>1.6579313256153891</v>
      </c>
      <c r="G18" s="20">
        <f>E18/'- 7 -'!$E18</f>
        <v>362.15245974294578</v>
      </c>
      <c r="H18" s="20">
        <v>2844283</v>
      </c>
      <c r="I18" s="70">
        <f>H18/'- 3 -'!$D18*100</f>
        <v>2.137375761802081</v>
      </c>
      <c r="J18" s="20">
        <f>H18/'- 7 -'!$E18</f>
        <v>466.88055022077771</v>
      </c>
    </row>
    <row r="19" spans="1:10" ht="14.1" customHeight="1" x14ac:dyDescent="0.2">
      <c r="A19" s="284" t="s">
        <v>117</v>
      </c>
      <c r="B19" s="285">
        <v>191560</v>
      </c>
      <c r="C19" s="291">
        <f>B19/'- 3 -'!$D19*100</f>
        <v>0.38914940302051931</v>
      </c>
      <c r="D19" s="285">
        <f>B19/'- 7 -'!$E19</f>
        <v>43.206423673763979</v>
      </c>
      <c r="E19" s="285">
        <v>361292</v>
      </c>
      <c r="F19" s="291">
        <f>E19/'- 3 -'!$D19*100</f>
        <v>0.73395576381337158</v>
      </c>
      <c r="G19" s="285">
        <f>E19/'- 7 -'!$E19</f>
        <v>81.489534464092372</v>
      </c>
      <c r="H19" s="285">
        <v>684782</v>
      </c>
      <c r="I19" s="291">
        <f>H19/'- 3 -'!$D19*100</f>
        <v>1.3911176994111363</v>
      </c>
      <c r="J19" s="285">
        <f>H19/'- 7 -'!$E19</f>
        <v>154.45281486827858</v>
      </c>
    </row>
    <row r="20" spans="1:10" ht="14.1" customHeight="1" x14ac:dyDescent="0.2">
      <c r="A20" s="19" t="s">
        <v>118</v>
      </c>
      <c r="B20" s="20">
        <v>269427</v>
      </c>
      <c r="C20" s="70">
        <f>B20/'- 3 -'!$D20*100</f>
        <v>0.3176952793266884</v>
      </c>
      <c r="D20" s="20">
        <f>B20/'- 7 -'!$E20</f>
        <v>34.572950083408188</v>
      </c>
      <c r="E20" s="20">
        <v>596435</v>
      </c>
      <c r="F20" s="70">
        <f>E20/'- 3 -'!$D20*100</f>
        <v>0.70328728718804501</v>
      </c>
      <c r="G20" s="20">
        <f>E20/'- 7 -'!$E20</f>
        <v>76.534710637751829</v>
      </c>
      <c r="H20" s="20">
        <v>1229702</v>
      </c>
      <c r="I20" s="70">
        <f>H20/'- 3 -'!$D20*100</f>
        <v>1.4500050862704457</v>
      </c>
      <c r="J20" s="20">
        <f>H20/'- 7 -'!$E20</f>
        <v>157.79571410239959</v>
      </c>
    </row>
    <row r="21" spans="1:10" ht="14.1" customHeight="1" x14ac:dyDescent="0.2">
      <c r="A21" s="284" t="s">
        <v>119</v>
      </c>
      <c r="B21" s="285">
        <v>205846</v>
      </c>
      <c r="C21" s="291">
        <f>B21/'- 3 -'!$D21*100</f>
        <v>0.55912963025235551</v>
      </c>
      <c r="D21" s="285">
        <f>B21/'- 7 -'!$E21</f>
        <v>73.986773057292794</v>
      </c>
      <c r="E21" s="285">
        <v>449794</v>
      </c>
      <c r="F21" s="291">
        <f>E21/'- 3 -'!$D21*100</f>
        <v>1.2217538981069733</v>
      </c>
      <c r="G21" s="285">
        <f>E21/'- 7 -'!$E21</f>
        <v>161.66846380562146</v>
      </c>
      <c r="H21" s="285">
        <v>693860</v>
      </c>
      <c r="I21" s="291">
        <f>H21/'- 3 -'!$D21*100</f>
        <v>1.8846986837096638</v>
      </c>
      <c r="J21" s="285">
        <f>H21/'- 7 -'!$E21</f>
        <v>249.39256703328303</v>
      </c>
    </row>
    <row r="22" spans="1:10" ht="14.1" customHeight="1" x14ac:dyDescent="0.2">
      <c r="A22" s="19" t="s">
        <v>120</v>
      </c>
      <c r="B22" s="20">
        <v>101346</v>
      </c>
      <c r="C22" s="70">
        <f>B22/'- 3 -'!$D22*100</f>
        <v>0.49142246063361616</v>
      </c>
      <c r="D22" s="20">
        <f>B22/'- 7 -'!$E22</f>
        <v>67.862595419847324</v>
      </c>
      <c r="E22" s="20">
        <v>127440</v>
      </c>
      <c r="F22" s="70">
        <f>E22/'- 3 -'!$D22*100</f>
        <v>0.61795116120170557</v>
      </c>
      <c r="G22" s="20">
        <f>E22/'- 7 -'!$E22</f>
        <v>85.335476094817196</v>
      </c>
      <c r="H22" s="20">
        <v>497594</v>
      </c>
      <c r="I22" s="70">
        <f>H22/'- 3 -'!$D22*100</f>
        <v>2.4128122262005767</v>
      </c>
      <c r="J22" s="20">
        <f>H22/'- 7 -'!$E22</f>
        <v>333.19539306280967</v>
      </c>
    </row>
    <row r="23" spans="1:10" ht="14.1" customHeight="1" x14ac:dyDescent="0.2">
      <c r="A23" s="284" t="s">
        <v>121</v>
      </c>
      <c r="B23" s="285">
        <v>98599</v>
      </c>
      <c r="C23" s="291">
        <f>B23/'- 3 -'!$D23*100</f>
        <v>0.59527130036342102</v>
      </c>
      <c r="D23" s="285">
        <f>B23/'- 7 -'!$E23</f>
        <v>94.579376498800954</v>
      </c>
      <c r="E23" s="285">
        <v>178028</v>
      </c>
      <c r="F23" s="291">
        <f>E23/'- 3 -'!$D23*100</f>
        <v>1.0748076457276354</v>
      </c>
      <c r="G23" s="285">
        <f>E23/'- 7 -'!$E23</f>
        <v>170.77026378896883</v>
      </c>
      <c r="H23" s="285">
        <v>323062</v>
      </c>
      <c r="I23" s="291">
        <f>H23/'- 3 -'!$D23*100</f>
        <v>1.9504207632735377</v>
      </c>
      <c r="J23" s="285">
        <f>H23/'- 7 -'!$E23</f>
        <v>309.89160671462832</v>
      </c>
    </row>
    <row r="24" spans="1:10" ht="14.1" customHeight="1" x14ac:dyDescent="0.2">
      <c r="A24" s="19" t="s">
        <v>122</v>
      </c>
      <c r="B24" s="20">
        <v>275542</v>
      </c>
      <c r="C24" s="70">
        <f>B24/'- 3 -'!$D24*100</f>
        <v>0.47612625358282235</v>
      </c>
      <c r="D24" s="20">
        <f>B24/'- 7 -'!$E24</f>
        <v>70.809755094698431</v>
      </c>
      <c r="E24" s="20">
        <v>329924</v>
      </c>
      <c r="F24" s="70">
        <f>E24/'- 3 -'!$D24*100</f>
        <v>0.57009631231194913</v>
      </c>
      <c r="G24" s="20">
        <f>E24/'- 7 -'!$E24</f>
        <v>84.785033279366786</v>
      </c>
      <c r="H24" s="20">
        <v>1130239</v>
      </c>
      <c r="I24" s="70">
        <f>H24/'- 3 -'!$D24*100</f>
        <v>1.9530106507290923</v>
      </c>
      <c r="J24" s="20">
        <f>H24/'- 7 -'!$E24</f>
        <v>290.4528049752011</v>
      </c>
    </row>
    <row r="25" spans="1:10" ht="14.1" customHeight="1" x14ac:dyDescent="0.2">
      <c r="A25" s="284" t="s">
        <v>123</v>
      </c>
      <c r="B25" s="285">
        <v>450031</v>
      </c>
      <c r="C25" s="291">
        <f>B25/'- 3 -'!$D25*100</f>
        <v>0.24059581234197053</v>
      </c>
      <c r="D25" s="285">
        <f>B25/'- 7 -'!$E25</f>
        <v>30.767774002338193</v>
      </c>
      <c r="E25" s="285">
        <v>725632</v>
      </c>
      <c r="F25" s="291">
        <f>E25/'- 3 -'!$D25*100</f>
        <v>0.38793776540133623</v>
      </c>
      <c r="G25" s="285">
        <f>E25/'- 7 -'!$E25</f>
        <v>49.610096604155416</v>
      </c>
      <c r="H25" s="285">
        <v>4507259</v>
      </c>
      <c r="I25" s="291">
        <f>H25/'- 3 -'!$D25*100</f>
        <v>2.4096732014920255</v>
      </c>
      <c r="J25" s="285">
        <f>H25/'- 7 -'!$E25</f>
        <v>308.15283009838174</v>
      </c>
    </row>
    <row r="26" spans="1:10" ht="14.1" customHeight="1" x14ac:dyDescent="0.2">
      <c r="A26" s="19" t="s">
        <v>124</v>
      </c>
      <c r="B26" s="20">
        <v>213161</v>
      </c>
      <c r="C26" s="70">
        <f>B26/'- 3 -'!$D26*100</f>
        <v>0.5226536666535162</v>
      </c>
      <c r="D26" s="20">
        <f>B26/'- 7 -'!$E26</f>
        <v>72.135702199661594</v>
      </c>
      <c r="E26" s="20">
        <v>447789</v>
      </c>
      <c r="F26" s="70">
        <f>E26/'- 3 -'!$D26*100</f>
        <v>1.0979426946632422</v>
      </c>
      <c r="G26" s="20">
        <f>E26/'- 7 -'!$E26</f>
        <v>151.53604060913705</v>
      </c>
      <c r="H26" s="20">
        <v>720873</v>
      </c>
      <c r="I26" s="70">
        <f>H26/'- 3 -'!$D26*100</f>
        <v>1.7675227487275822</v>
      </c>
      <c r="J26" s="20">
        <f>H26/'- 7 -'!$E26</f>
        <v>243.95025380710661</v>
      </c>
    </row>
    <row r="27" spans="1:10" ht="14.1" customHeight="1" x14ac:dyDescent="0.2">
      <c r="A27" s="284" t="s">
        <v>125</v>
      </c>
      <c r="B27" s="285">
        <v>251491</v>
      </c>
      <c r="C27" s="291">
        <f>B27/'- 3 -'!$D27*100</f>
        <v>0.61420682155913298</v>
      </c>
      <c r="D27" s="285">
        <f>B27/'- 7 -'!$E27</f>
        <v>82.975683790293303</v>
      </c>
      <c r="E27" s="285">
        <v>539260</v>
      </c>
      <c r="F27" s="291">
        <f>E27/'- 3 -'!$D27*100</f>
        <v>1.3170140108154091</v>
      </c>
      <c r="G27" s="285">
        <f>E27/'- 7 -'!$E27</f>
        <v>177.92074961232638</v>
      </c>
      <c r="H27" s="285">
        <v>828629</v>
      </c>
      <c r="I27" s="291">
        <f>H27/'- 3 -'!$D27*100</f>
        <v>2.0237288186922111</v>
      </c>
      <c r="J27" s="285">
        <f>H27/'- 7 -'!$E27</f>
        <v>273.39371143884654</v>
      </c>
    </row>
    <row r="28" spans="1:10" ht="14.1" customHeight="1" x14ac:dyDescent="0.2">
      <c r="A28" s="19" t="s">
        <v>126</v>
      </c>
      <c r="B28" s="20">
        <v>152585</v>
      </c>
      <c r="C28" s="70">
        <f>B28/'- 3 -'!$D28*100</f>
        <v>0.52803492211221026</v>
      </c>
      <c r="D28" s="20">
        <f>B28/'- 7 -'!$E28</f>
        <v>78.268786868427796</v>
      </c>
      <c r="E28" s="20">
        <v>377888</v>
      </c>
      <c r="F28" s="70">
        <f>E28/'- 3 -'!$D28*100</f>
        <v>1.3077174076556601</v>
      </c>
      <c r="G28" s="20">
        <f>E28/'- 7 -'!$E28</f>
        <v>193.83842010771994</v>
      </c>
      <c r="H28" s="20">
        <v>518582</v>
      </c>
      <c r="I28" s="70">
        <f>H28/'- 3 -'!$D28*100</f>
        <v>1.7946023919703395</v>
      </c>
      <c r="J28" s="20">
        <f>H28/'- 7 -'!$E28</f>
        <v>266.00769428058476</v>
      </c>
    </row>
    <row r="29" spans="1:10" ht="14.1" customHeight="1" x14ac:dyDescent="0.2">
      <c r="A29" s="284" t="s">
        <v>127</v>
      </c>
      <c r="B29" s="285">
        <v>400106</v>
      </c>
      <c r="C29" s="291">
        <f>B29/'- 3 -'!$D29*100</f>
        <v>0.24570412945255754</v>
      </c>
      <c r="D29" s="285">
        <f>B29/'- 7 -'!$E29</f>
        <v>29.874485734978983</v>
      </c>
      <c r="E29" s="285">
        <v>2128442</v>
      </c>
      <c r="F29" s="291">
        <f>E29/'- 3 -'!$D29*100</f>
        <v>1.3070710979097051</v>
      </c>
      <c r="G29" s="285">
        <f>E29/'- 7 -'!$E29</f>
        <v>158.92316077921885</v>
      </c>
      <c r="H29" s="285">
        <v>1696133</v>
      </c>
      <c r="I29" s="291">
        <f>H29/'- 3 -'!$D29*100</f>
        <v>1.04159118383817</v>
      </c>
      <c r="J29" s="285">
        <f>H29/'- 7 -'!$E29</f>
        <v>126.64419207191871</v>
      </c>
    </row>
    <row r="30" spans="1:10" ht="14.1" customHeight="1" x14ac:dyDescent="0.2">
      <c r="A30" s="19" t="s">
        <v>128</v>
      </c>
      <c r="B30" s="20">
        <v>120701</v>
      </c>
      <c r="C30" s="70">
        <f>B30/'- 3 -'!$D30*100</f>
        <v>0.82116830531587437</v>
      </c>
      <c r="D30" s="20">
        <f>B30/'- 7 -'!$E30</f>
        <v>119.8381652104845</v>
      </c>
      <c r="E30" s="20">
        <v>110947</v>
      </c>
      <c r="F30" s="70">
        <f>E30/'- 3 -'!$D30*100</f>
        <v>0.7548086591650468</v>
      </c>
      <c r="G30" s="20">
        <f>E30/'- 7 -'!$E30</f>
        <v>110.15389197776013</v>
      </c>
      <c r="H30" s="20">
        <v>304517</v>
      </c>
      <c r="I30" s="70">
        <f>H30/'- 3 -'!$D30*100</f>
        <v>2.0717285592486734</v>
      </c>
      <c r="J30" s="20">
        <f>H30/'- 7 -'!$E30</f>
        <v>302.34015091342332</v>
      </c>
    </row>
    <row r="31" spans="1:10" ht="14.1" customHeight="1" x14ac:dyDescent="0.2">
      <c r="A31" s="284" t="s">
        <v>129</v>
      </c>
      <c r="B31" s="285">
        <v>163069</v>
      </c>
      <c r="C31" s="291">
        <f>B31/'- 3 -'!$D31*100</f>
        <v>0.42876315598016523</v>
      </c>
      <c r="D31" s="285">
        <f>B31/'- 7 -'!$E31</f>
        <v>49.259606089898497</v>
      </c>
      <c r="E31" s="285">
        <v>335233</v>
      </c>
      <c r="F31" s="291">
        <f>E31/'- 3 -'!$D31*100</f>
        <v>0.88144012086110013</v>
      </c>
      <c r="G31" s="285">
        <f>E31/'- 7 -'!$E31</f>
        <v>101.26661430642822</v>
      </c>
      <c r="H31" s="285">
        <v>606937</v>
      </c>
      <c r="I31" s="291">
        <f>H31/'- 3 -'!$D31*100</f>
        <v>1.5958411690826186</v>
      </c>
      <c r="J31" s="285">
        <f>H31/'- 7 -'!$E31</f>
        <v>183.34249637506042</v>
      </c>
    </row>
    <row r="32" spans="1:10" ht="14.1" customHeight="1" x14ac:dyDescent="0.2">
      <c r="A32" s="19" t="s">
        <v>130</v>
      </c>
      <c r="B32" s="20">
        <v>192195</v>
      </c>
      <c r="C32" s="70">
        <f>B32/'- 3 -'!$D32*100</f>
        <v>0.6121706383729878</v>
      </c>
      <c r="D32" s="20">
        <f>B32/'- 7 -'!$E32</f>
        <v>87.900754630688311</v>
      </c>
      <c r="E32" s="20">
        <v>167095</v>
      </c>
      <c r="F32" s="70">
        <f>E32/'- 3 -'!$D32*100</f>
        <v>0.53222327749907328</v>
      </c>
      <c r="G32" s="20">
        <f>E32/'- 7 -'!$E32</f>
        <v>76.421221129659273</v>
      </c>
      <c r="H32" s="20">
        <v>692325</v>
      </c>
      <c r="I32" s="70">
        <f>H32/'- 3 -'!$D32*100</f>
        <v>2.2051616182084799</v>
      </c>
      <c r="J32" s="20">
        <f>H32/'- 7 -'!$E32</f>
        <v>316.63617653784587</v>
      </c>
    </row>
    <row r="33" spans="1:10" ht="14.1" customHeight="1" x14ac:dyDescent="0.2">
      <c r="A33" s="284" t="s">
        <v>131</v>
      </c>
      <c r="B33" s="285">
        <v>166821</v>
      </c>
      <c r="C33" s="291">
        <f>B33/'- 3 -'!$D33*100</f>
        <v>0.58844965820775641</v>
      </c>
      <c r="D33" s="285">
        <f>B33/'- 7 -'!$E33</f>
        <v>79.643368662274426</v>
      </c>
      <c r="E33" s="285">
        <v>229991</v>
      </c>
      <c r="F33" s="291">
        <f>E33/'- 3 -'!$D33*100</f>
        <v>0.81127750907176033</v>
      </c>
      <c r="G33" s="285">
        <f>E33/'- 7 -'!$E33</f>
        <v>109.80187147904135</v>
      </c>
      <c r="H33" s="285">
        <v>404543</v>
      </c>
      <c r="I33" s="291">
        <f>H33/'- 3 -'!$D33*100</f>
        <v>1.4269977405742709</v>
      </c>
      <c r="J33" s="285">
        <f>H33/'- 7 -'!$E33</f>
        <v>193.13615964862026</v>
      </c>
    </row>
    <row r="34" spans="1:10" ht="14.1" customHeight="1" x14ac:dyDescent="0.2">
      <c r="A34" s="19" t="s">
        <v>132</v>
      </c>
      <c r="B34" s="20">
        <v>159375</v>
      </c>
      <c r="C34" s="70">
        <f>B34/'- 3 -'!$D34*100</f>
        <v>0.51841840149658402</v>
      </c>
      <c r="D34" s="20">
        <f>B34/'- 7 -'!$E34</f>
        <v>76.000705763416661</v>
      </c>
      <c r="E34" s="20">
        <v>292126</v>
      </c>
      <c r="F34" s="70">
        <f>E34/'- 3 -'!$D34*100</f>
        <v>0.95023368756449333</v>
      </c>
      <c r="G34" s="20">
        <f>E34/'- 7 -'!$E34</f>
        <v>139.30529990176535</v>
      </c>
      <c r="H34" s="20">
        <v>601617</v>
      </c>
      <c r="I34" s="70">
        <f>H34/'- 3 -'!$D34*100</f>
        <v>1.9569526177453829</v>
      </c>
      <c r="J34" s="20">
        <f>H34/'- 7 -'!$E34</f>
        <v>286.8913982699259</v>
      </c>
    </row>
    <row r="35" spans="1:10" ht="14.1" customHeight="1" x14ac:dyDescent="0.2">
      <c r="A35" s="284" t="s">
        <v>133</v>
      </c>
      <c r="B35" s="285">
        <v>468142</v>
      </c>
      <c r="C35" s="291">
        <f>B35/'- 3 -'!$D35*100</f>
        <v>0.24857411516417058</v>
      </c>
      <c r="D35" s="285">
        <f>B35/'- 7 -'!$E35</f>
        <v>29.519011286966393</v>
      </c>
      <c r="E35" s="285">
        <v>1698427</v>
      </c>
      <c r="F35" s="291">
        <f>E35/'- 3 -'!$D35*100</f>
        <v>0.90183104420440119</v>
      </c>
      <c r="G35" s="285">
        <f>E35/'- 7 -'!$E35</f>
        <v>107.09546629674003</v>
      </c>
      <c r="H35" s="285">
        <v>2301458</v>
      </c>
      <c r="I35" s="291">
        <f>H35/'- 3 -'!$D35*100</f>
        <v>1.2220285424881805</v>
      </c>
      <c r="J35" s="285">
        <f>H35/'- 7 -'!$E35</f>
        <v>145.11999495554574</v>
      </c>
    </row>
    <row r="36" spans="1:10" ht="14.1" customHeight="1" x14ac:dyDescent="0.2">
      <c r="A36" s="19" t="s">
        <v>134</v>
      </c>
      <c r="B36" s="20">
        <v>192156</v>
      </c>
      <c r="C36" s="70">
        <f>B36/'- 3 -'!$D36*100</f>
        <v>0.81202058897059026</v>
      </c>
      <c r="D36" s="20">
        <f>B36/'- 7 -'!$E36</f>
        <v>113.64797728885735</v>
      </c>
      <c r="E36" s="20">
        <v>177450</v>
      </c>
      <c r="F36" s="70">
        <f>E36/'- 3 -'!$D36*100</f>
        <v>0.74987537996644016</v>
      </c>
      <c r="G36" s="20">
        <f>E36/'- 7 -'!$E36</f>
        <v>104.95031937544358</v>
      </c>
      <c r="H36" s="20">
        <v>517606</v>
      </c>
      <c r="I36" s="70">
        <f>H36/'- 3 -'!$D36*100</f>
        <v>2.1873203489597586</v>
      </c>
      <c r="J36" s="20">
        <f>H36/'- 7 -'!$E36</f>
        <v>306.13082564466526</v>
      </c>
    </row>
    <row r="37" spans="1:10" ht="14.1" customHeight="1" x14ac:dyDescent="0.2">
      <c r="A37" s="284" t="s">
        <v>135</v>
      </c>
      <c r="B37" s="285">
        <v>201788</v>
      </c>
      <c r="C37" s="291">
        <f>B37/'- 3 -'!$D37*100</f>
        <v>0.38499947503020221</v>
      </c>
      <c r="D37" s="285">
        <f>B37/'- 7 -'!$E37</f>
        <v>48.102026221692491</v>
      </c>
      <c r="E37" s="285">
        <v>403279</v>
      </c>
      <c r="F37" s="291">
        <f>E37/'- 3 -'!$D37*100</f>
        <v>0.76943229176514416</v>
      </c>
      <c r="G37" s="285">
        <f>E37/'- 7 -'!$E37</f>
        <v>96.133253873659115</v>
      </c>
      <c r="H37" s="285">
        <v>800458</v>
      </c>
      <c r="I37" s="291">
        <f>H37/'- 3 -'!$D37*100</f>
        <v>1.5272261471629909</v>
      </c>
      <c r="J37" s="285">
        <f>H37/'- 7 -'!$E37</f>
        <v>190.81239570917759</v>
      </c>
    </row>
    <row r="38" spans="1:10" ht="14.1" customHeight="1" x14ac:dyDescent="0.2">
      <c r="A38" s="19" t="s">
        <v>136</v>
      </c>
      <c r="B38" s="20">
        <v>399783</v>
      </c>
      <c r="C38" s="70">
        <f>B38/'- 3 -'!$D38*100</f>
        <v>0.28382765924723957</v>
      </c>
      <c r="D38" s="20">
        <f>B38/'- 7 -'!$E38</f>
        <v>36.116702200701042</v>
      </c>
      <c r="E38" s="20">
        <v>1428874</v>
      </c>
      <c r="F38" s="70">
        <f>E38/'- 3 -'!$D38*100</f>
        <v>1.0144352380647508</v>
      </c>
      <c r="G38" s="20">
        <f>E38/'- 7 -'!$E38</f>
        <v>129.08557077295558</v>
      </c>
      <c r="H38" s="20">
        <v>1706207</v>
      </c>
      <c r="I38" s="70">
        <f>H38/'- 3 -'!$D38*100</f>
        <v>1.2113289934821014</v>
      </c>
      <c r="J38" s="20">
        <f>H38/'- 7 -'!$E38</f>
        <v>154.14004625447186</v>
      </c>
    </row>
    <row r="39" spans="1:10" ht="14.1" customHeight="1" x14ac:dyDescent="0.2">
      <c r="A39" s="284" t="s">
        <v>137</v>
      </c>
      <c r="B39" s="285">
        <v>150597</v>
      </c>
      <c r="C39" s="291">
        <f>B39/'- 3 -'!$D39*100</f>
        <v>0.67559080381475056</v>
      </c>
      <c r="D39" s="285">
        <f>B39/'- 7 -'!$E39</f>
        <v>99.535360211500333</v>
      </c>
      <c r="E39" s="285">
        <v>266602</v>
      </c>
      <c r="F39" s="291">
        <f>E39/'- 3 -'!$D39*100</f>
        <v>1.1959989872216585</v>
      </c>
      <c r="G39" s="285">
        <f>E39/'- 7 -'!$E39</f>
        <v>176.20753469927297</v>
      </c>
      <c r="H39" s="285">
        <v>463438</v>
      </c>
      <c r="I39" s="291">
        <f>H39/'- 3 -'!$D39*100</f>
        <v>2.0790218326945449</v>
      </c>
      <c r="J39" s="285">
        <f>H39/'- 7 -'!$E39</f>
        <v>306.30403172504958</v>
      </c>
    </row>
    <row r="40" spans="1:10" ht="14.1" customHeight="1" x14ac:dyDescent="0.2">
      <c r="A40" s="19" t="s">
        <v>138</v>
      </c>
      <c r="B40" s="20">
        <v>417663</v>
      </c>
      <c r="C40" s="70">
        <f>B40/'- 3 -'!$D40*100</f>
        <v>0.39427756565531946</v>
      </c>
      <c r="D40" s="20">
        <f>B40/'- 7 -'!$E40</f>
        <v>51.391394224262044</v>
      </c>
      <c r="E40" s="20">
        <v>1076346</v>
      </c>
      <c r="F40" s="70">
        <f>E40/'- 3 -'!$D40*100</f>
        <v>1.0160801428013506</v>
      </c>
      <c r="G40" s="20">
        <f>E40/'- 7 -'!$E40</f>
        <v>132.43912342656054</v>
      </c>
      <c r="H40" s="20">
        <v>1627716</v>
      </c>
      <c r="I40" s="70">
        <f>H40/'- 3 -'!$D40*100</f>
        <v>1.5365782989113568</v>
      </c>
      <c r="J40" s="20">
        <f>H40/'- 7 -'!$E40</f>
        <v>200.28251159700264</v>
      </c>
    </row>
    <row r="41" spans="1:10" ht="14.1" customHeight="1" x14ac:dyDescent="0.2">
      <c r="A41" s="284" t="s">
        <v>139</v>
      </c>
      <c r="B41" s="285">
        <v>216386</v>
      </c>
      <c r="C41" s="291">
        <f>B41/'- 3 -'!$D41*100</f>
        <v>0.33323034966410398</v>
      </c>
      <c r="D41" s="285">
        <f>B41/'- 7 -'!$E41</f>
        <v>48.675289618715553</v>
      </c>
      <c r="E41" s="285">
        <v>743063</v>
      </c>
      <c r="F41" s="291">
        <f>E41/'- 3 -'!$D41*100</f>
        <v>1.1443029739098558</v>
      </c>
      <c r="G41" s="285">
        <f>E41/'- 7 -'!$E41</f>
        <v>167.14947699921268</v>
      </c>
      <c r="H41" s="285">
        <v>1182914</v>
      </c>
      <c r="I41" s="291">
        <f>H41/'- 3 -'!$D41*100</f>
        <v>1.8216651994240101</v>
      </c>
      <c r="J41" s="285">
        <f>H41/'- 7 -'!$E41</f>
        <v>266.09245304240244</v>
      </c>
    </row>
    <row r="42" spans="1:10" ht="14.1" customHeight="1" x14ac:dyDescent="0.2">
      <c r="A42" s="19" t="s">
        <v>140</v>
      </c>
      <c r="B42" s="20">
        <v>177730</v>
      </c>
      <c r="C42" s="70">
        <f>B42/'- 3 -'!$D42*100</f>
        <v>0.85163353547231202</v>
      </c>
      <c r="D42" s="20">
        <f>B42/'- 7 -'!$E42</f>
        <v>125.87110481586403</v>
      </c>
      <c r="E42" s="20">
        <v>195801</v>
      </c>
      <c r="F42" s="70">
        <f>E42/'- 3 -'!$D42*100</f>
        <v>0.93822482349076797</v>
      </c>
      <c r="G42" s="20">
        <f>E42/'- 7 -'!$E42</f>
        <v>138.66926345609065</v>
      </c>
      <c r="H42" s="20">
        <v>326897</v>
      </c>
      <c r="I42" s="70">
        <f>H42/'- 3 -'!$D42*100</f>
        <v>1.5664009893956701</v>
      </c>
      <c r="J42" s="20">
        <f>H42/'- 7 -'!$E42</f>
        <v>231.51345609065154</v>
      </c>
    </row>
    <row r="43" spans="1:10" ht="14.1" customHeight="1" x14ac:dyDescent="0.2">
      <c r="A43" s="284" t="s">
        <v>141</v>
      </c>
      <c r="B43" s="285">
        <v>90639</v>
      </c>
      <c r="C43" s="291">
        <f>B43/'- 3 -'!$D43*100</f>
        <v>0.67381735720326441</v>
      </c>
      <c r="D43" s="285">
        <f>B43/'- 7 -'!$E43</f>
        <v>93.538699690402481</v>
      </c>
      <c r="E43" s="285">
        <v>126336</v>
      </c>
      <c r="F43" s="291">
        <f>E43/'- 3 -'!$D43*100</f>
        <v>0.93919162435189707</v>
      </c>
      <c r="G43" s="285">
        <f>E43/'- 7 -'!$E43</f>
        <v>130.37770897832817</v>
      </c>
      <c r="H43" s="285">
        <v>313913</v>
      </c>
      <c r="I43" s="291">
        <f>H43/'- 3 -'!$D43*100</f>
        <v>2.3336535933952089</v>
      </c>
      <c r="J43" s="285">
        <f>H43/'- 7 -'!$E43</f>
        <v>323.95562435500517</v>
      </c>
    </row>
    <row r="44" spans="1:10" ht="14.1" customHeight="1" x14ac:dyDescent="0.2">
      <c r="A44" s="19" t="s">
        <v>142</v>
      </c>
      <c r="B44" s="20">
        <v>87587</v>
      </c>
      <c r="C44" s="70">
        <f>B44/'- 3 -'!$D44*100</f>
        <v>0.79899946041286851</v>
      </c>
      <c r="D44" s="20">
        <f>B44/'- 7 -'!$E44</f>
        <v>126.20605187319885</v>
      </c>
      <c r="E44" s="20">
        <v>56249</v>
      </c>
      <c r="F44" s="70">
        <f>E44/'- 3 -'!$D44*100</f>
        <v>0.5131231877877247</v>
      </c>
      <c r="G44" s="20">
        <f>E44/'- 7 -'!$E44</f>
        <v>81.050432276657062</v>
      </c>
      <c r="H44" s="20">
        <v>228466</v>
      </c>
      <c r="I44" s="70">
        <f>H44/'- 3 -'!$D44*100</f>
        <v>2.0841473132164183</v>
      </c>
      <c r="J44" s="20">
        <f>H44/'- 7 -'!$E44</f>
        <v>329.20172910662825</v>
      </c>
    </row>
    <row r="45" spans="1:10" ht="14.1" customHeight="1" x14ac:dyDescent="0.2">
      <c r="A45" s="284" t="s">
        <v>143</v>
      </c>
      <c r="B45" s="285">
        <v>114925</v>
      </c>
      <c r="C45" s="291">
        <f>B45/'- 3 -'!$D45*100</f>
        <v>0.57595046359940449</v>
      </c>
      <c r="D45" s="285">
        <f>B45/'- 7 -'!$E45</f>
        <v>66.507523148148152</v>
      </c>
      <c r="E45" s="285">
        <v>181258</v>
      </c>
      <c r="F45" s="291">
        <f>E45/'- 3 -'!$D45*100</f>
        <v>0.90838050146705118</v>
      </c>
      <c r="G45" s="285">
        <f>E45/'- 7 -'!$E45</f>
        <v>104.89467592592592</v>
      </c>
      <c r="H45" s="285">
        <v>450030</v>
      </c>
      <c r="I45" s="291">
        <f>H45/'- 3 -'!$D45*100</f>
        <v>2.2553403274626063</v>
      </c>
      <c r="J45" s="285">
        <f>H45/'- 7 -'!$E45</f>
        <v>260.43402777777777</v>
      </c>
    </row>
    <row r="46" spans="1:10" ht="14.1" customHeight="1" x14ac:dyDescent="0.2">
      <c r="A46" s="19" t="s">
        <v>144</v>
      </c>
      <c r="B46" s="20">
        <v>737081</v>
      </c>
      <c r="C46" s="70">
        <f>B46/'- 3 -'!$D46*100</f>
        <v>0.18571744904302517</v>
      </c>
      <c r="D46" s="20">
        <f>B46/'- 7 -'!$E46</f>
        <v>24.652280503426525</v>
      </c>
      <c r="E46" s="20">
        <v>3139998</v>
      </c>
      <c r="F46" s="70">
        <f>E46/'- 3 -'!$D46*100</f>
        <v>0.79116463259831815</v>
      </c>
      <c r="G46" s="20">
        <f>E46/'- 7 -'!$E46</f>
        <v>105.0198166499995</v>
      </c>
      <c r="H46" s="20">
        <v>5907183</v>
      </c>
      <c r="I46" s="70">
        <f>H46/'- 3 -'!$D46*100</f>
        <v>1.488394026966269</v>
      </c>
      <c r="J46" s="20">
        <f>H46/'- 7 -'!$E46</f>
        <v>197.57059577044126</v>
      </c>
    </row>
    <row r="47" spans="1:10" ht="5.0999999999999996" customHeight="1" x14ac:dyDescent="0.2">
      <c r="A47" s="21"/>
      <c r="B47" s="22"/>
      <c r="C47"/>
      <c r="D47" s="22"/>
      <c r="E47" s="552"/>
      <c r="F47"/>
      <c r="G47" s="22"/>
      <c r="H47"/>
      <c r="I47"/>
      <c r="J47"/>
    </row>
    <row r="48" spans="1:10" ht="14.1" customHeight="1" x14ac:dyDescent="0.2">
      <c r="A48" s="286" t="s">
        <v>145</v>
      </c>
      <c r="B48" s="287">
        <f>SUM(B11:B46)</f>
        <v>9684529</v>
      </c>
      <c r="C48" s="294">
        <f>B48/'- 3 -'!$D48*100</f>
        <v>0.41090125534788108</v>
      </c>
      <c r="D48" s="287">
        <f>B48/'- 7 -'!$E48</f>
        <v>54.597990493278161</v>
      </c>
      <c r="E48" s="287">
        <f>SUM(E11:E46)</f>
        <v>21972895</v>
      </c>
      <c r="F48" s="294">
        <f>E48/'- 3 -'!$D48*100</f>
        <v>0.93227973597138081</v>
      </c>
      <c r="G48" s="287">
        <f>E48/'- 7 -'!$E48</f>
        <v>123.87550414891619</v>
      </c>
      <c r="H48" s="287">
        <f>SUM(H11:H46)</f>
        <v>39206877</v>
      </c>
      <c r="I48" s="294">
        <f>H48/'- 3 -'!$D48*100</f>
        <v>1.6634939063706624</v>
      </c>
      <c r="J48" s="287">
        <f>H48/'- 7 -'!$E48</f>
        <v>221.03467269467893</v>
      </c>
    </row>
    <row r="49" spans="1:10" ht="5.0999999999999996" customHeight="1" x14ac:dyDescent="0.2">
      <c r="A49" s="21" t="s">
        <v>7</v>
      </c>
      <c r="B49" s="22"/>
      <c r="C49"/>
      <c r="D49" s="22"/>
      <c r="E49" s="552"/>
      <c r="F49"/>
      <c r="H49"/>
      <c r="I49"/>
      <c r="J49"/>
    </row>
    <row r="50" spans="1:10" ht="14.1" customHeight="1" x14ac:dyDescent="0.2">
      <c r="A50" s="19" t="s">
        <v>146</v>
      </c>
      <c r="B50" s="20">
        <v>48698</v>
      </c>
      <c r="C50" s="70">
        <f>B50/'- 3 -'!$D50*100</f>
        <v>1.504356790009425</v>
      </c>
      <c r="D50" s="20">
        <f>B50/'- 7 -'!$E50</f>
        <v>296.9390243902439</v>
      </c>
      <c r="E50" s="20">
        <v>27965</v>
      </c>
      <c r="F50" s="70">
        <f>E50/'- 3 -'!$D50*100</f>
        <v>0.86388224634715116</v>
      </c>
      <c r="G50" s="20">
        <f>E50/'- 7 -'!$E50</f>
        <v>170.51829268292684</v>
      </c>
      <c r="H50" s="20">
        <v>86959</v>
      </c>
      <c r="I50" s="70">
        <f>H50/'- 3 -'!$D50*100</f>
        <v>2.6862984537851573</v>
      </c>
      <c r="J50" s="20">
        <f>H50/'- 7 -'!$E50</f>
        <v>530.23780487804879</v>
      </c>
    </row>
    <row r="51" spans="1:10" ht="14.1" customHeight="1" x14ac:dyDescent="0.2">
      <c r="A51" s="284" t="s">
        <v>607</v>
      </c>
      <c r="B51" s="285">
        <v>61894</v>
      </c>
      <c r="C51" s="291">
        <f>B51/'- 3 -'!$D51*100</f>
        <v>0.20392428555580899</v>
      </c>
      <c r="D51" s="285">
        <f>B51/'- 7 -'!$E51</f>
        <v>56.887867647058826</v>
      </c>
      <c r="E51" s="285">
        <v>417505</v>
      </c>
      <c r="F51" s="291">
        <f>E51/'- 3 -'!$D51*100</f>
        <v>1.3755680492612861</v>
      </c>
      <c r="G51" s="285">
        <f>E51/'- 7 -'!$E51</f>
        <v>383.73621323529414</v>
      </c>
      <c r="H51" s="285">
        <v>3076438</v>
      </c>
      <c r="I51" s="291">
        <f>H51/'- 3 -'!$D51*100</f>
        <v>10.136045839770283</v>
      </c>
      <c r="J51" s="285">
        <f>H51/'- 7 -'!$E51</f>
        <v>2827.6084558823532</v>
      </c>
    </row>
    <row r="52" spans="1:10" ht="50.1" customHeight="1" x14ac:dyDescent="0.2"/>
  </sheetData>
  <mergeCells count="6">
    <mergeCell ref="D8:D9"/>
    <mergeCell ref="G8:G9"/>
    <mergeCell ref="J8:J9"/>
    <mergeCell ref="B7:D7"/>
    <mergeCell ref="E6:G7"/>
    <mergeCell ref="H6:J7"/>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E52"/>
  <sheetViews>
    <sheetView showGridLines="0" showZeros="0" workbookViewId="0"/>
  </sheetViews>
  <sheetFormatPr defaultColWidth="15.83203125" defaultRowHeight="12" x14ac:dyDescent="0.2"/>
  <cols>
    <col min="1" max="1" width="35.83203125" style="2" customWidth="1"/>
    <col min="2" max="2" width="20.83203125" style="2" customWidth="1"/>
    <col min="3" max="4" width="15.83203125" style="2" customWidth="1"/>
    <col min="5" max="5" width="44.83203125" style="2" customWidth="1"/>
    <col min="6" max="16384" width="15.83203125" style="2"/>
  </cols>
  <sheetData>
    <row r="1" spans="1:5" ht="6.95" customHeight="1" x14ac:dyDescent="0.2">
      <c r="A1" s="7"/>
      <c r="B1" s="8"/>
      <c r="C1" s="8"/>
      <c r="D1" s="8"/>
      <c r="E1" s="8"/>
    </row>
    <row r="2" spans="1:5" ht="15.95" customHeight="1" x14ac:dyDescent="0.2">
      <c r="A2" s="134"/>
      <c r="B2" s="9" t="s">
        <v>263</v>
      </c>
      <c r="C2" s="10"/>
      <c r="D2" s="10"/>
      <c r="E2" s="395" t="s">
        <v>406</v>
      </c>
    </row>
    <row r="3" spans="1:5" ht="15.95" customHeight="1" x14ac:dyDescent="0.2">
      <c r="A3" s="541"/>
      <c r="B3" s="11" t="str">
        <f>OPYEAR</f>
        <v>OPERATING FUND 2017/2018 ACTUAL</v>
      </c>
      <c r="C3" s="12"/>
      <c r="D3" s="12"/>
      <c r="E3" s="66"/>
    </row>
    <row r="4" spans="1:5" ht="15.95" customHeight="1" x14ac:dyDescent="0.2">
      <c r="B4" s="8"/>
      <c r="C4" s="8"/>
      <c r="D4" s="8"/>
      <c r="E4" s="8"/>
    </row>
    <row r="5" spans="1:5" ht="15.95" customHeight="1" x14ac:dyDescent="0.2">
      <c r="B5" s="164" t="s">
        <v>94</v>
      </c>
      <c r="C5" s="155"/>
      <c r="D5" s="157"/>
      <c r="E5" s="43"/>
    </row>
    <row r="6" spans="1:5" ht="15.95" customHeight="1" x14ac:dyDescent="0.2">
      <c r="B6" s="638" t="s">
        <v>493</v>
      </c>
      <c r="C6" s="646"/>
      <c r="D6" s="639"/>
      <c r="E6" s="69"/>
    </row>
    <row r="7" spans="1:5" ht="15.95" customHeight="1" x14ac:dyDescent="0.2">
      <c r="B7" s="640"/>
      <c r="C7" s="647"/>
      <c r="D7" s="641"/>
      <c r="E7" s="69"/>
    </row>
    <row r="8" spans="1:5" ht="15.95" customHeight="1" x14ac:dyDescent="0.2">
      <c r="A8" s="67"/>
      <c r="B8" s="139"/>
      <c r="C8" s="68"/>
      <c r="D8" s="591" t="s">
        <v>476</v>
      </c>
      <c r="E8" s="69"/>
    </row>
    <row r="9" spans="1:5" ht="15.95" customHeight="1" x14ac:dyDescent="0.2">
      <c r="A9" s="35" t="s">
        <v>42</v>
      </c>
      <c r="B9" s="77" t="s">
        <v>43</v>
      </c>
      <c r="C9" s="77" t="s">
        <v>44</v>
      </c>
      <c r="D9" s="593"/>
    </row>
    <row r="10" spans="1:5" ht="5.0999999999999996" customHeight="1" x14ac:dyDescent="0.2">
      <c r="A10" s="6"/>
    </row>
    <row r="11" spans="1:5" ht="14.1" customHeight="1" x14ac:dyDescent="0.2">
      <c r="A11" s="284" t="s">
        <v>110</v>
      </c>
      <c r="B11" s="285">
        <v>13903</v>
      </c>
      <c r="C11" s="291">
        <f>B11/'- 3 -'!$D11*100</f>
        <v>7.025411544697141E-2</v>
      </c>
      <c r="D11" s="285">
        <f>B11/'- 7 -'!$E11</f>
        <v>7.7316205093982866</v>
      </c>
    </row>
    <row r="12" spans="1:5" ht="14.1" customHeight="1" x14ac:dyDescent="0.2">
      <c r="A12" s="19" t="s">
        <v>111</v>
      </c>
      <c r="B12" s="20">
        <v>84635</v>
      </c>
      <c r="C12" s="70">
        <f>B12/'- 3 -'!$D12*100</f>
        <v>0.24859704294794061</v>
      </c>
      <c r="D12" s="20">
        <f>B12/'- 7 -'!$E12</f>
        <v>40.876599855107465</v>
      </c>
    </row>
    <row r="13" spans="1:5" ht="14.1" customHeight="1" x14ac:dyDescent="0.2">
      <c r="A13" s="284" t="s">
        <v>112</v>
      </c>
      <c r="B13" s="285">
        <v>364445</v>
      </c>
      <c r="C13" s="291">
        <f>B13/'- 3 -'!$D13*100</f>
        <v>0.36826785603709289</v>
      </c>
      <c r="D13" s="285">
        <f>B13/'- 7 -'!$E13</f>
        <v>43.218946359082267</v>
      </c>
    </row>
    <row r="14" spans="1:5" ht="14.1" customHeight="1" x14ac:dyDescent="0.2">
      <c r="A14" s="19" t="s">
        <v>359</v>
      </c>
      <c r="B14" s="20">
        <v>118852</v>
      </c>
      <c r="C14" s="70">
        <f>B14/'- 3 -'!$D14*100</f>
        <v>0.13496169304272654</v>
      </c>
      <c r="D14" s="20">
        <f>B14/'- 7 -'!$E14</f>
        <v>21.194731454699141</v>
      </c>
    </row>
    <row r="15" spans="1:5" ht="14.1" customHeight="1" x14ac:dyDescent="0.2">
      <c r="A15" s="284" t="s">
        <v>113</v>
      </c>
      <c r="B15" s="285">
        <v>50088</v>
      </c>
      <c r="C15" s="291">
        <f>B15/'- 3 -'!$D15*100</f>
        <v>0.25067259910470924</v>
      </c>
      <c r="D15" s="285">
        <f>B15/'- 7 -'!$E15</f>
        <v>36.300913175822586</v>
      </c>
    </row>
    <row r="16" spans="1:5" ht="14.1" customHeight="1" x14ac:dyDescent="0.2">
      <c r="A16" s="19" t="s">
        <v>114</v>
      </c>
      <c r="B16" s="20">
        <v>35313</v>
      </c>
      <c r="C16" s="70">
        <f>B16/'- 3 -'!$D16*100</f>
        <v>0.24411296015635175</v>
      </c>
      <c r="D16" s="20">
        <f>B16/'- 7 -'!$E16</f>
        <v>38.682221491948738</v>
      </c>
    </row>
    <row r="17" spans="1:4" ht="14.1" customHeight="1" x14ac:dyDescent="0.2">
      <c r="A17" s="284" t="s">
        <v>115</v>
      </c>
      <c r="B17" s="285">
        <v>83869</v>
      </c>
      <c r="C17" s="291">
        <f>B17/'- 3 -'!$D17*100</f>
        <v>0.4573416035699136</v>
      </c>
      <c r="D17" s="285">
        <f>B17/'- 7 -'!$E17</f>
        <v>60.044285349015603</v>
      </c>
    </row>
    <row r="18" spans="1:4" ht="14.1" customHeight="1" x14ac:dyDescent="0.2">
      <c r="A18" s="19" t="s">
        <v>116</v>
      </c>
      <c r="B18" s="20">
        <v>755891</v>
      </c>
      <c r="C18" s="70">
        <f>B18/'- 3 -'!$D18*100</f>
        <v>0.56802473662583397</v>
      </c>
      <c r="D18" s="20">
        <f>B18/'- 7 -'!$E18</f>
        <v>124.07724758293527</v>
      </c>
    </row>
    <row r="19" spans="1:4" ht="14.1" customHeight="1" x14ac:dyDescent="0.2">
      <c r="A19" s="284" t="s">
        <v>117</v>
      </c>
      <c r="B19" s="285">
        <v>146335</v>
      </c>
      <c r="C19" s="291">
        <f>B19/'- 3 -'!$D19*100</f>
        <v>0.29727593386410361</v>
      </c>
      <c r="D19" s="285">
        <f>B19/'- 7 -'!$E19</f>
        <v>33.005909418982313</v>
      </c>
    </row>
    <row r="20" spans="1:4" ht="14.1" customHeight="1" x14ac:dyDescent="0.2">
      <c r="A20" s="19" t="s">
        <v>118</v>
      </c>
      <c r="B20" s="20">
        <v>98934</v>
      </c>
      <c r="C20" s="70">
        <f>B20/'- 3 -'!$D20*100</f>
        <v>0.11665818483265074</v>
      </c>
      <c r="D20" s="20">
        <f>B20/'- 7 -'!$E20</f>
        <v>12.695239317336071</v>
      </c>
    </row>
    <row r="21" spans="1:4" ht="14.1" customHeight="1" x14ac:dyDescent="0.2">
      <c r="A21" s="284" t="s">
        <v>119</v>
      </c>
      <c r="B21" s="285">
        <v>35895</v>
      </c>
      <c r="C21" s="291">
        <f>B21/'- 3 -'!$D21*100</f>
        <v>9.7499869212461274E-2</v>
      </c>
      <c r="D21" s="285">
        <f>B21/'- 7 -'!$E21</f>
        <v>12.901660556394221</v>
      </c>
    </row>
    <row r="22" spans="1:4" ht="14.1" customHeight="1" x14ac:dyDescent="0.2">
      <c r="A22" s="19" t="s">
        <v>120</v>
      </c>
      <c r="B22" s="20">
        <v>67618</v>
      </c>
      <c r="C22" s="70">
        <f>B22/'- 3 -'!$D22*100</f>
        <v>0.32787681746811775</v>
      </c>
      <c r="D22" s="20">
        <f>B22/'- 7 -'!$E22</f>
        <v>45.277889379938394</v>
      </c>
    </row>
    <row r="23" spans="1:4" ht="14.1" customHeight="1" x14ac:dyDescent="0.2">
      <c r="A23" s="284" t="s">
        <v>121</v>
      </c>
      <c r="B23" s="285">
        <v>61976</v>
      </c>
      <c r="C23" s="291">
        <f>B23/'- 3 -'!$D23*100</f>
        <v>0.37416742676217185</v>
      </c>
      <c r="D23" s="285">
        <f>B23/'- 7 -'!$E23</f>
        <v>59.449400479616308</v>
      </c>
    </row>
    <row r="24" spans="1:4" ht="14.1" customHeight="1" x14ac:dyDescent="0.2">
      <c r="A24" s="19" t="s">
        <v>122</v>
      </c>
      <c r="B24" s="20">
        <v>150146</v>
      </c>
      <c r="C24" s="70">
        <f>B24/'- 3 -'!$D24*100</f>
        <v>0.25944666319634191</v>
      </c>
      <c r="D24" s="20">
        <f>B24/'- 7 -'!$E24</f>
        <v>38.585048698378429</v>
      </c>
    </row>
    <row r="25" spans="1:4" ht="14.1" customHeight="1" x14ac:dyDescent="0.2">
      <c r="A25" s="284" t="s">
        <v>123</v>
      </c>
      <c r="B25" s="285">
        <v>803513</v>
      </c>
      <c r="C25" s="291">
        <f>B25/'- 3 -'!$D25*100</f>
        <v>0.42957454700305925</v>
      </c>
      <c r="D25" s="285">
        <f>B25/'- 7 -'!$E25</f>
        <v>54.934674260086013</v>
      </c>
    </row>
    <row r="26" spans="1:4" ht="14.1" customHeight="1" x14ac:dyDescent="0.2">
      <c r="A26" s="19" t="s">
        <v>124</v>
      </c>
      <c r="B26" s="20">
        <v>33031</v>
      </c>
      <c r="C26" s="70">
        <f>B26/'- 3 -'!$D26*100</f>
        <v>8.098936138989915E-2</v>
      </c>
      <c r="D26" s="20">
        <f>B26/'- 7 -'!$E26</f>
        <v>11.178003384094755</v>
      </c>
    </row>
    <row r="27" spans="1:4" ht="14.1" customHeight="1" x14ac:dyDescent="0.2">
      <c r="A27" s="284" t="s">
        <v>125</v>
      </c>
      <c r="B27" s="285">
        <v>223679</v>
      </c>
      <c r="C27" s="291">
        <f>B27/'- 3 -'!$D27*100</f>
        <v>0.54628264088784606</v>
      </c>
      <c r="D27" s="285">
        <f>B27/'- 7 -'!$E27</f>
        <v>73.799531492296012</v>
      </c>
    </row>
    <row r="28" spans="1:4" ht="14.1" customHeight="1" x14ac:dyDescent="0.2">
      <c r="A28" s="19" t="s">
        <v>126</v>
      </c>
      <c r="B28" s="20">
        <v>80117</v>
      </c>
      <c r="C28" s="70">
        <f>B28/'- 3 -'!$D28*100</f>
        <v>0.27725250748673824</v>
      </c>
      <c r="D28" s="20">
        <f>B28/'- 7 -'!$E28</f>
        <v>41.096178507309567</v>
      </c>
    </row>
    <row r="29" spans="1:4" ht="14.1" customHeight="1" x14ac:dyDescent="0.2">
      <c r="A29" s="284" t="s">
        <v>127</v>
      </c>
      <c r="B29" s="285">
        <v>1192458</v>
      </c>
      <c r="C29" s="291">
        <f>B29/'- 3 -'!$D29*100</f>
        <v>0.73228558131779542</v>
      </c>
      <c r="D29" s="285">
        <f>B29/'- 7 -'!$E29</f>
        <v>89.036579082946943</v>
      </c>
    </row>
    <row r="30" spans="1:4" ht="14.1" customHeight="1" x14ac:dyDescent="0.2">
      <c r="A30" s="19" t="s">
        <v>128</v>
      </c>
      <c r="B30" s="20">
        <v>47897</v>
      </c>
      <c r="C30" s="70">
        <f>B30/'- 3 -'!$D30*100</f>
        <v>0.32585892676708922</v>
      </c>
      <c r="D30" s="20">
        <f>B30/'- 7 -'!$E30</f>
        <v>47.554606830818109</v>
      </c>
    </row>
    <row r="31" spans="1:4" ht="14.1" customHeight="1" x14ac:dyDescent="0.2">
      <c r="A31" s="284" t="s">
        <v>129</v>
      </c>
      <c r="B31" s="285">
        <v>160670</v>
      </c>
      <c r="C31" s="291">
        <f>B31/'- 3 -'!$D31*100</f>
        <v>0.42245537944878025</v>
      </c>
      <c r="D31" s="285">
        <f>B31/'- 7 -'!$E31</f>
        <v>48.53492025132914</v>
      </c>
    </row>
    <row r="32" spans="1:4" ht="14.1" customHeight="1" x14ac:dyDescent="0.2">
      <c r="A32" s="19" t="s">
        <v>130</v>
      </c>
      <c r="B32" s="20">
        <v>66259</v>
      </c>
      <c r="C32" s="70">
        <f>B32/'- 3 -'!$D32*100</f>
        <v>0.21104510693803585</v>
      </c>
      <c r="D32" s="20">
        <f>B32/'- 7 -'!$E32</f>
        <v>30.30368168305511</v>
      </c>
    </row>
    <row r="33" spans="1:5" ht="14.1" customHeight="1" x14ac:dyDescent="0.2">
      <c r="A33" s="284" t="s">
        <v>131</v>
      </c>
      <c r="B33" s="285">
        <v>75394</v>
      </c>
      <c r="C33" s="291">
        <f>B33/'- 3 -'!$D33*100</f>
        <v>0.26594717410227486</v>
      </c>
      <c r="D33" s="285">
        <f>B33/'- 7 -'!$E33</f>
        <v>35.994461949775612</v>
      </c>
    </row>
    <row r="34" spans="1:5" ht="14.1" customHeight="1" x14ac:dyDescent="0.2">
      <c r="A34" s="19" t="s">
        <v>132</v>
      </c>
      <c r="B34" s="20">
        <v>43087</v>
      </c>
      <c r="C34" s="70">
        <f>B34/'- 3 -'!$D34*100</f>
        <v>0.14015431319393454</v>
      </c>
      <c r="D34" s="20">
        <f>B34/'- 7 -'!$E34</f>
        <v>20.546775901040526</v>
      </c>
    </row>
    <row r="35" spans="1:5" ht="14.1" customHeight="1" x14ac:dyDescent="0.2">
      <c r="A35" s="284" t="s">
        <v>133</v>
      </c>
      <c r="B35" s="285">
        <v>1167551</v>
      </c>
      <c r="C35" s="291">
        <f>B35/'- 3 -'!$D35*100</f>
        <v>0.61994641953518914</v>
      </c>
      <c r="D35" s="285">
        <f>B35/'- 7 -'!$E35</f>
        <v>73.620720095844632</v>
      </c>
    </row>
    <row r="36" spans="1:5" ht="14.1" customHeight="1" x14ac:dyDescent="0.2">
      <c r="A36" s="19" t="s">
        <v>134</v>
      </c>
      <c r="B36" s="20">
        <v>6452</v>
      </c>
      <c r="C36" s="70">
        <f>B36/'- 3 -'!$D36*100</f>
        <v>2.7265122296666503E-2</v>
      </c>
      <c r="D36" s="20">
        <f>B36/'- 7 -'!$E36</f>
        <v>3.8159451147385854</v>
      </c>
    </row>
    <row r="37" spans="1:5" ht="14.1" customHeight="1" x14ac:dyDescent="0.2">
      <c r="A37" s="284" t="s">
        <v>135</v>
      </c>
      <c r="B37" s="285">
        <v>253095</v>
      </c>
      <c r="C37" s="291">
        <f>B37/'- 3 -'!$D37*100</f>
        <v>0.48289017252150296</v>
      </c>
      <c r="D37" s="285">
        <f>B37/'- 7 -'!$E37</f>
        <v>60.332538736591182</v>
      </c>
    </row>
    <row r="38" spans="1:5" ht="14.1" customHeight="1" x14ac:dyDescent="0.2">
      <c r="A38" s="19" t="s">
        <v>136</v>
      </c>
      <c r="B38" s="20">
        <v>521642</v>
      </c>
      <c r="C38" s="70">
        <f>B38/'- 3 -'!$D38*100</f>
        <v>0.37034198008681846</v>
      </c>
      <c r="D38" s="20">
        <f>B38/'- 7 -'!$E38</f>
        <v>47.125537527553931</v>
      </c>
    </row>
    <row r="39" spans="1:5" ht="14.1" customHeight="1" x14ac:dyDescent="0.2">
      <c r="A39" s="284" t="s">
        <v>137</v>
      </c>
      <c r="B39" s="285">
        <v>63174</v>
      </c>
      <c r="C39" s="291">
        <f>B39/'- 3 -'!$D39*100</f>
        <v>0.28340387551009022</v>
      </c>
      <c r="D39" s="285">
        <f>B39/'- 7 -'!$E39</f>
        <v>41.754130865829481</v>
      </c>
    </row>
    <row r="40" spans="1:5" ht="14.1" customHeight="1" x14ac:dyDescent="0.2">
      <c r="A40" s="19" t="s">
        <v>138</v>
      </c>
      <c r="B40" s="20">
        <v>499694</v>
      </c>
      <c r="C40" s="70">
        <f>B40/'- 3 -'!$D40*100</f>
        <v>0.47171555510679469</v>
      </c>
      <c r="D40" s="20">
        <f>B40/'- 7 -'!$E40</f>
        <v>61.484908515952803</v>
      </c>
    </row>
    <row r="41" spans="1:5" ht="14.1" customHeight="1" x14ac:dyDescent="0.2">
      <c r="A41" s="284" t="s">
        <v>139</v>
      </c>
      <c r="B41" s="285">
        <v>122200</v>
      </c>
      <c r="C41" s="291">
        <f>B41/'- 3 -'!$D41*100</f>
        <v>0.18818569005829167</v>
      </c>
      <c r="D41" s="285">
        <f>B41/'- 7 -'!$E41</f>
        <v>27.488471488021595</v>
      </c>
    </row>
    <row r="42" spans="1:5" ht="14.1" customHeight="1" x14ac:dyDescent="0.2">
      <c r="A42" s="19" t="s">
        <v>140</v>
      </c>
      <c r="B42" s="20">
        <v>21845</v>
      </c>
      <c r="C42" s="70">
        <f>B42/'- 3 -'!$D42*100</f>
        <v>0.10467526350302514</v>
      </c>
      <c r="D42" s="20">
        <f>B42/'- 7 -'!$E42</f>
        <v>15.470963172804533</v>
      </c>
    </row>
    <row r="43" spans="1:5" ht="14.1" customHeight="1" x14ac:dyDescent="0.2">
      <c r="A43" s="284" t="s">
        <v>141</v>
      </c>
      <c r="B43" s="285">
        <v>29939</v>
      </c>
      <c r="C43" s="291">
        <f>B43/'- 3 -'!$D43*100</f>
        <v>0.22256884847922562</v>
      </c>
      <c r="D43" s="285">
        <f>B43/'- 7 -'!$E43</f>
        <v>30.896800825593395</v>
      </c>
    </row>
    <row r="44" spans="1:5" ht="14.1" customHeight="1" x14ac:dyDescent="0.2">
      <c r="A44" s="19" t="s">
        <v>142</v>
      </c>
      <c r="B44" s="20">
        <v>8903</v>
      </c>
      <c r="C44" s="70">
        <f>B44/'- 3 -'!$D44*100</f>
        <v>8.1216301460899087E-2</v>
      </c>
      <c r="D44" s="20">
        <f>B44/'- 7 -'!$E44</f>
        <v>12.828530259365994</v>
      </c>
    </row>
    <row r="45" spans="1:5" ht="14.1" customHeight="1" x14ac:dyDescent="0.2">
      <c r="A45" s="284" t="s">
        <v>143</v>
      </c>
      <c r="B45" s="285">
        <v>70438</v>
      </c>
      <c r="C45" s="291">
        <f>B45/'- 3 -'!$D45*100</f>
        <v>0.35300238203188905</v>
      </c>
      <c r="D45" s="285">
        <f>B45/'- 7 -'!$E45</f>
        <v>40.762731481481481</v>
      </c>
    </row>
    <row r="46" spans="1:5" ht="14.1" customHeight="1" x14ac:dyDescent="0.2">
      <c r="A46" s="19" t="s">
        <v>144</v>
      </c>
      <c r="B46" s="20">
        <v>1336733</v>
      </c>
      <c r="C46" s="70">
        <f>B46/'- 3 -'!$D46*100</f>
        <v>0.33680781733843385</v>
      </c>
      <c r="D46" s="20">
        <f>B46/'- 7 -'!$E46</f>
        <v>44.708135027475748</v>
      </c>
    </row>
    <row r="47" spans="1:5" ht="5.0999999999999996" customHeight="1" x14ac:dyDescent="0.2">
      <c r="A47" s="21"/>
      <c r="B47" s="22"/>
      <c r="C47"/>
      <c r="D47" s="22"/>
    </row>
    <row r="48" spans="1:5" ht="14.1" customHeight="1" x14ac:dyDescent="0.2">
      <c r="A48" s="286" t="s">
        <v>145</v>
      </c>
      <c r="B48" s="287">
        <f>SUM(B11:B46)</f>
        <v>8895671</v>
      </c>
      <c r="C48" s="294">
        <f>B48/'- 3 -'!$D48*100</f>
        <v>0.37743109459032453</v>
      </c>
      <c r="D48" s="287">
        <f>B48/'- 7 -'!$E48</f>
        <v>50.150684735347504</v>
      </c>
      <c r="E48" s="6"/>
    </row>
    <row r="49" spans="1:4" ht="5.0999999999999996" customHeight="1" x14ac:dyDescent="0.2">
      <c r="A49" s="21" t="s">
        <v>7</v>
      </c>
      <c r="B49" s="22"/>
      <c r="C49"/>
      <c r="D49" s="22"/>
    </row>
    <row r="50" spans="1:4" ht="14.1" customHeight="1" x14ac:dyDescent="0.2">
      <c r="A50" s="19" t="s">
        <v>146</v>
      </c>
      <c r="B50" s="20">
        <v>1524</v>
      </c>
      <c r="C50" s="70">
        <f>B50/'- 3 -'!$D50*100</f>
        <v>4.7078724957377381E-2</v>
      </c>
      <c r="D50" s="20">
        <f>B50/'- 7 -'!$E50</f>
        <v>9.2926829268292686</v>
      </c>
    </row>
    <row r="51" spans="1:4" ht="14.1" customHeight="1" x14ac:dyDescent="0.2">
      <c r="A51" s="284" t="s">
        <v>607</v>
      </c>
      <c r="B51" s="285">
        <v>1560591</v>
      </c>
      <c r="C51" s="291">
        <f>B51/'- 3 -'!$D51*100</f>
        <v>5.1417327159308739</v>
      </c>
      <c r="D51" s="285">
        <f>B51/'- 7 -'!$E51</f>
        <v>1434.3667279411766</v>
      </c>
    </row>
    <row r="52" spans="1:4" ht="50.1" customHeight="1" x14ac:dyDescent="0.2"/>
  </sheetData>
  <mergeCells count="2">
    <mergeCell ref="D8:D9"/>
    <mergeCell ref="B6:D7"/>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J52"/>
  <sheetViews>
    <sheetView showGridLines="0" showZeros="0" workbookViewId="0"/>
  </sheetViews>
  <sheetFormatPr defaultColWidth="15.83203125" defaultRowHeight="12" x14ac:dyDescent="0.2"/>
  <cols>
    <col min="1" max="1" width="32.83203125" style="2" customWidth="1"/>
    <col min="2" max="2" width="15.83203125" style="2" customWidth="1"/>
    <col min="3" max="3" width="7.83203125" style="2" customWidth="1"/>
    <col min="4" max="4" width="9.83203125" style="2" customWidth="1"/>
    <col min="5" max="5" width="15.83203125" style="2" customWidth="1"/>
    <col min="6" max="6" width="7.83203125" style="2" customWidth="1"/>
    <col min="7" max="7" width="9.83203125" style="2" customWidth="1"/>
    <col min="8" max="8" width="14.83203125" style="2" customWidth="1"/>
    <col min="9" max="9" width="7.83203125" style="2" customWidth="1"/>
    <col min="10" max="10" width="9.83203125" style="2" customWidth="1"/>
    <col min="11" max="16384" width="15.83203125" style="2"/>
  </cols>
  <sheetData>
    <row r="1" spans="1:10" ht="6.95" customHeight="1" x14ac:dyDescent="0.2">
      <c r="A1" s="7"/>
      <c r="B1" s="8"/>
      <c r="C1" s="8"/>
      <c r="D1" s="8"/>
      <c r="E1" s="8"/>
      <c r="F1" s="8"/>
      <c r="G1" s="8"/>
    </row>
    <row r="2" spans="1:10" ht="15.95" customHeight="1" x14ac:dyDescent="0.2">
      <c r="A2" s="134"/>
      <c r="B2" s="9" t="s">
        <v>263</v>
      </c>
      <c r="C2" s="10"/>
      <c r="D2" s="10"/>
      <c r="E2" s="10"/>
      <c r="F2" s="10"/>
      <c r="G2" s="10"/>
      <c r="H2" s="73"/>
      <c r="I2" s="135"/>
      <c r="J2" s="395" t="s">
        <v>407</v>
      </c>
    </row>
    <row r="3" spans="1:10" ht="15.95" customHeight="1" x14ac:dyDescent="0.2">
      <c r="A3" s="541"/>
      <c r="B3" s="11" t="str">
        <f>OPYEAR</f>
        <v>OPERATING FUND 2017/2018 ACTUAL</v>
      </c>
      <c r="C3" s="12"/>
      <c r="D3" s="12"/>
      <c r="E3" s="12"/>
      <c r="F3" s="12"/>
      <c r="G3" s="12"/>
      <c r="H3" s="75"/>
      <c r="I3" s="12"/>
      <c r="J3" s="12"/>
    </row>
    <row r="4" spans="1:10" ht="15.95" customHeight="1" x14ac:dyDescent="0.2">
      <c r="B4" s="8"/>
      <c r="C4" s="8"/>
      <c r="D4" s="8"/>
      <c r="E4" s="8"/>
      <c r="F4" s="8"/>
      <c r="G4" s="8"/>
    </row>
    <row r="5" spans="1:10" ht="15.95" customHeight="1" x14ac:dyDescent="0.2">
      <c r="B5" s="393" t="s">
        <v>249</v>
      </c>
      <c r="C5" s="166"/>
      <c r="D5" s="166"/>
      <c r="E5" s="166"/>
      <c r="F5" s="166"/>
      <c r="G5" s="166"/>
      <c r="H5" s="39"/>
      <c r="I5" s="39"/>
      <c r="J5" s="183"/>
    </row>
    <row r="6" spans="1:10" ht="15.95" customHeight="1" x14ac:dyDescent="0.2">
      <c r="B6" s="638" t="s">
        <v>494</v>
      </c>
      <c r="C6" s="646"/>
      <c r="D6" s="639"/>
      <c r="E6" s="638" t="s">
        <v>495</v>
      </c>
      <c r="F6" s="646"/>
      <c r="G6" s="639"/>
      <c r="H6" s="638" t="s">
        <v>496</v>
      </c>
      <c r="I6" s="646"/>
      <c r="J6" s="639"/>
    </row>
    <row r="7" spans="1:10" ht="15.95" customHeight="1" x14ac:dyDescent="0.2">
      <c r="B7" s="640"/>
      <c r="C7" s="647"/>
      <c r="D7" s="641"/>
      <c r="E7" s="640"/>
      <c r="F7" s="647"/>
      <c r="G7" s="641"/>
      <c r="H7" s="640"/>
      <c r="I7" s="647"/>
      <c r="J7" s="641"/>
    </row>
    <row r="8" spans="1:10" ht="15.95" customHeight="1" x14ac:dyDescent="0.2">
      <c r="A8" s="67"/>
      <c r="B8" s="137"/>
      <c r="C8" s="138"/>
      <c r="D8" s="591" t="s">
        <v>476</v>
      </c>
      <c r="E8" s="137"/>
      <c r="F8" s="139"/>
      <c r="G8" s="591" t="s">
        <v>476</v>
      </c>
      <c r="H8" s="137"/>
      <c r="I8" s="139"/>
      <c r="J8" s="591" t="s">
        <v>476</v>
      </c>
    </row>
    <row r="9" spans="1:10" ht="15.95" customHeight="1" x14ac:dyDescent="0.2">
      <c r="A9" s="35" t="s">
        <v>42</v>
      </c>
      <c r="B9" s="77" t="s">
        <v>43</v>
      </c>
      <c r="C9" s="77" t="s">
        <v>44</v>
      </c>
      <c r="D9" s="593"/>
      <c r="E9" s="77" t="s">
        <v>43</v>
      </c>
      <c r="F9" s="77" t="s">
        <v>44</v>
      </c>
      <c r="G9" s="593"/>
      <c r="H9" s="77" t="s">
        <v>43</v>
      </c>
      <c r="I9" s="77" t="s">
        <v>44</v>
      </c>
      <c r="J9" s="593"/>
    </row>
    <row r="10" spans="1:10" ht="5.0999999999999996" customHeight="1" x14ac:dyDescent="0.2">
      <c r="A10" s="6"/>
    </row>
    <row r="11" spans="1:10" ht="14.1" customHeight="1" x14ac:dyDescent="0.2">
      <c r="A11" s="284" t="s">
        <v>110</v>
      </c>
      <c r="B11" s="285">
        <v>0</v>
      </c>
      <c r="C11" s="291">
        <f>B11/'- 3 -'!$D11*100</f>
        <v>0</v>
      </c>
      <c r="D11" s="285">
        <f>B11/'- 7 -'!$E11</f>
        <v>0</v>
      </c>
      <c r="E11" s="285">
        <v>148031</v>
      </c>
      <c r="F11" s="291">
        <f>E11/'- 3 -'!$D11*100</f>
        <v>0.74802466832558623</v>
      </c>
      <c r="G11" s="285">
        <f>E11/'- 7 -'!$E11</f>
        <v>82.321766210655099</v>
      </c>
      <c r="H11" s="285">
        <v>225860</v>
      </c>
      <c r="I11" s="291">
        <f>H11/'- 3 -'!$D11*100</f>
        <v>1.1413072369167059</v>
      </c>
      <c r="J11" s="285">
        <f>H11/'- 7 -'!$E11</f>
        <v>125.60338115893671</v>
      </c>
    </row>
    <row r="12" spans="1:10" ht="14.1" customHeight="1" x14ac:dyDescent="0.2">
      <c r="A12" s="19" t="s">
        <v>111</v>
      </c>
      <c r="B12" s="20">
        <v>0</v>
      </c>
      <c r="C12" s="70">
        <f>B12/'- 3 -'!$D12*100</f>
        <v>0</v>
      </c>
      <c r="D12" s="20">
        <f>B12/'- 7 -'!$E12</f>
        <v>0</v>
      </c>
      <c r="E12" s="20">
        <v>0</v>
      </c>
      <c r="F12" s="70">
        <f>E12/'- 3 -'!$D12*100</f>
        <v>0</v>
      </c>
      <c r="G12" s="20">
        <f>E12/'- 7 -'!$E12</f>
        <v>0</v>
      </c>
      <c r="H12" s="20">
        <v>283603</v>
      </c>
      <c r="I12" s="70">
        <f>H12/'- 3 -'!$D12*100</f>
        <v>0.83302259314899041</v>
      </c>
      <c r="J12" s="20">
        <f>H12/'- 7 -'!$E12</f>
        <v>136.97319488046367</v>
      </c>
    </row>
    <row r="13" spans="1:10" ht="14.1" customHeight="1" x14ac:dyDescent="0.2">
      <c r="A13" s="284" t="s">
        <v>112</v>
      </c>
      <c r="B13" s="285">
        <v>84655</v>
      </c>
      <c r="C13" s="291">
        <f>B13/'- 3 -'!$D13*100</f>
        <v>8.55429909940323E-2</v>
      </c>
      <c r="D13" s="285">
        <f>B13/'- 7 -'!$E13</f>
        <v>10.039100286814495</v>
      </c>
      <c r="E13" s="285">
        <v>575070</v>
      </c>
      <c r="F13" s="291">
        <f>E13/'- 3 -'!$D13*100</f>
        <v>0.58110221287505937</v>
      </c>
      <c r="G13" s="285">
        <f>E13/'- 7 -'!$E13</f>
        <v>68.196626329672341</v>
      </c>
      <c r="H13" s="285">
        <v>905924</v>
      </c>
      <c r="I13" s="291">
        <f>H13/'- 3 -'!$D13*100</f>
        <v>0.91542671517663121</v>
      </c>
      <c r="J13" s="285">
        <f>H13/'- 7 -'!$E13</f>
        <v>107.43207002813934</v>
      </c>
    </row>
    <row r="14" spans="1:10" ht="14.1" customHeight="1" x14ac:dyDescent="0.2">
      <c r="A14" s="19" t="s">
        <v>359</v>
      </c>
      <c r="B14" s="20">
        <v>176370</v>
      </c>
      <c r="C14" s="70">
        <f>B14/'- 3 -'!$D14*100</f>
        <v>0.20027592133027364</v>
      </c>
      <c r="D14" s="20">
        <f>B14/'- 7 -'!$E14</f>
        <v>31.451845881140308</v>
      </c>
      <c r="E14" s="20">
        <v>1621399</v>
      </c>
      <c r="F14" s="70">
        <f>E14/'- 3 -'!$D14*100</f>
        <v>1.8411701455405358</v>
      </c>
      <c r="G14" s="20">
        <f>E14/'- 7 -'!$E14</f>
        <v>289.14209593374733</v>
      </c>
      <c r="H14" s="20">
        <v>780385</v>
      </c>
      <c r="I14" s="70">
        <f>H14/'- 3 -'!$D14*100</f>
        <v>0.88616161970474328</v>
      </c>
      <c r="J14" s="20">
        <f>H14/'- 7 -'!$E14</f>
        <v>139.16510034560116</v>
      </c>
    </row>
    <row r="15" spans="1:10" ht="14.1" customHeight="1" x14ac:dyDescent="0.2">
      <c r="A15" s="284" t="s">
        <v>113</v>
      </c>
      <c r="B15" s="285">
        <v>71841</v>
      </c>
      <c r="C15" s="291">
        <f>B15/'- 3 -'!$D15*100</f>
        <v>0.35953861588167663</v>
      </c>
      <c r="D15" s="285">
        <f>B15/'- 7 -'!$E15</f>
        <v>52.066241484273085</v>
      </c>
      <c r="E15" s="285">
        <v>102551</v>
      </c>
      <c r="F15" s="291">
        <f>E15/'- 3 -'!$D15*100</f>
        <v>0.51323122725577064</v>
      </c>
      <c r="G15" s="285">
        <f>E15/'- 7 -'!$E15</f>
        <v>74.323090302942461</v>
      </c>
      <c r="H15" s="285">
        <v>184239</v>
      </c>
      <c r="I15" s="291">
        <f>H15/'- 3 -'!$D15*100</f>
        <v>0.92205057072457541</v>
      </c>
      <c r="J15" s="285">
        <f>H15/'- 7 -'!$E15</f>
        <v>133.52587331497318</v>
      </c>
    </row>
    <row r="16" spans="1:10" ht="14.1" customHeight="1" x14ac:dyDescent="0.2">
      <c r="A16" s="19" t="s">
        <v>114</v>
      </c>
      <c r="B16" s="20">
        <v>0</v>
      </c>
      <c r="C16" s="70">
        <f>B16/'- 3 -'!$D16*100</f>
        <v>0</v>
      </c>
      <c r="D16" s="20">
        <f>B16/'- 7 -'!$E16</f>
        <v>0</v>
      </c>
      <c r="E16" s="20">
        <v>0</v>
      </c>
      <c r="F16" s="70">
        <f>E16/'- 3 -'!$D16*100</f>
        <v>0</v>
      </c>
      <c r="G16" s="20">
        <f>E16/'- 7 -'!$E16</f>
        <v>0</v>
      </c>
      <c r="H16" s="20">
        <v>168893</v>
      </c>
      <c r="I16" s="70">
        <f>H16/'- 3 -'!$D16*100</f>
        <v>1.1675295267942887</v>
      </c>
      <c r="J16" s="20">
        <f>H16/'- 7 -'!$E16</f>
        <v>185.00712016650235</v>
      </c>
    </row>
    <row r="17" spans="1:10" ht="14.1" customHeight="1" x14ac:dyDescent="0.2">
      <c r="A17" s="284" t="s">
        <v>115</v>
      </c>
      <c r="B17" s="285">
        <v>0</v>
      </c>
      <c r="C17" s="291">
        <f>B17/'- 3 -'!$D17*100</f>
        <v>0</v>
      </c>
      <c r="D17" s="285">
        <f>B17/'- 7 -'!$E17</f>
        <v>0</v>
      </c>
      <c r="E17" s="285">
        <v>88629</v>
      </c>
      <c r="F17" s="291">
        <f>E17/'- 3 -'!$D17*100</f>
        <v>0.48329810755819047</v>
      </c>
      <c r="G17" s="285">
        <f>E17/'- 7 -'!$E17</f>
        <v>63.452109434927131</v>
      </c>
      <c r="H17" s="285">
        <v>209391</v>
      </c>
      <c r="I17" s="291">
        <f>H17/'- 3 -'!$D17*100</f>
        <v>1.1418189761784185</v>
      </c>
      <c r="J17" s="285">
        <f>H17/'- 7 -'!$E17</f>
        <v>149.90917923804653</v>
      </c>
    </row>
    <row r="18" spans="1:10" ht="14.1" customHeight="1" x14ac:dyDescent="0.2">
      <c r="A18" s="19" t="s">
        <v>116</v>
      </c>
      <c r="B18" s="20">
        <v>0</v>
      </c>
      <c r="C18" s="70">
        <f>B18/'- 3 -'!$D18*100</f>
        <v>0</v>
      </c>
      <c r="D18" s="20">
        <f>B18/'- 7 -'!$E18</f>
        <v>0</v>
      </c>
      <c r="E18" s="20">
        <v>2673879</v>
      </c>
      <c r="F18" s="70">
        <f>E18/'- 3 -'!$D18*100</f>
        <v>2.0093233214105584</v>
      </c>
      <c r="G18" s="20">
        <f>E18/'- 7 -'!$E18</f>
        <v>438.9092431181366</v>
      </c>
      <c r="H18" s="20">
        <v>1875718</v>
      </c>
      <c r="I18" s="70">
        <f>H18/'- 3 -'!$D18*100</f>
        <v>1.4095342092105028</v>
      </c>
      <c r="J18" s="20">
        <f>H18/'- 7 -'!$E18</f>
        <v>307.8935014198716</v>
      </c>
    </row>
    <row r="19" spans="1:10" ht="14.1" customHeight="1" x14ac:dyDescent="0.2">
      <c r="A19" s="284" t="s">
        <v>117</v>
      </c>
      <c r="B19" s="285">
        <v>52956</v>
      </c>
      <c r="C19" s="291">
        <f>B19/'- 3 -'!$D19*100</f>
        <v>0.10757880448086564</v>
      </c>
      <c r="D19" s="285">
        <f>B19/'- 7 -'!$E19</f>
        <v>11.94424395525081</v>
      </c>
      <c r="E19" s="285">
        <v>196082</v>
      </c>
      <c r="F19" s="291">
        <f>E19/'- 3 -'!$D19*100</f>
        <v>0.39833573419852508</v>
      </c>
      <c r="G19" s="285">
        <f>E19/'- 7 -'!$E19</f>
        <v>44.226362324070728</v>
      </c>
      <c r="H19" s="285">
        <v>511947</v>
      </c>
      <c r="I19" s="291">
        <f>H19/'- 3 -'!$D19*100</f>
        <v>1.0400076708506254</v>
      </c>
      <c r="J19" s="285">
        <f>H19/'- 7 -'!$E19</f>
        <v>115.46982136412846</v>
      </c>
    </row>
    <row r="20" spans="1:10" ht="14.1" customHeight="1" x14ac:dyDescent="0.2">
      <c r="A20" s="19" t="s">
        <v>118</v>
      </c>
      <c r="B20" s="20">
        <v>28917</v>
      </c>
      <c r="C20" s="70">
        <f>B20/'- 3 -'!$D20*100</f>
        <v>3.409752694529445E-2</v>
      </c>
      <c r="D20" s="20">
        <f>B20/'- 7 -'!$E20</f>
        <v>3.710637751828564</v>
      </c>
      <c r="E20" s="20">
        <v>504603</v>
      </c>
      <c r="F20" s="70">
        <f>E20/'- 3 -'!$D20*100</f>
        <v>0.59500343705005421</v>
      </c>
      <c r="G20" s="20">
        <f>E20/'- 7 -'!$E20</f>
        <v>64.750802001796487</v>
      </c>
      <c r="H20" s="20">
        <v>865864</v>
      </c>
      <c r="I20" s="70">
        <f>H20/'- 3 -'!$D20*100</f>
        <v>1.0209849248179423</v>
      </c>
      <c r="J20" s="20">
        <f>H20/'- 7 -'!$E20</f>
        <v>111.10791736173489</v>
      </c>
    </row>
    <row r="21" spans="1:10" ht="14.1" customHeight="1" x14ac:dyDescent="0.2">
      <c r="A21" s="284" t="s">
        <v>119</v>
      </c>
      <c r="B21" s="285">
        <v>0</v>
      </c>
      <c r="C21" s="291">
        <f>B21/'- 3 -'!$D21*100</f>
        <v>0</v>
      </c>
      <c r="D21" s="285">
        <f>B21/'- 7 -'!$E21</f>
        <v>0</v>
      </c>
      <c r="E21" s="285">
        <v>0</v>
      </c>
      <c r="F21" s="291">
        <f>E21/'- 3 -'!$D21*100</f>
        <v>0</v>
      </c>
      <c r="G21" s="285">
        <f>E21/'- 7 -'!$E21</f>
        <v>0</v>
      </c>
      <c r="H21" s="285">
        <v>465477</v>
      </c>
      <c r="I21" s="291">
        <f>H21/'- 3 -'!$D21*100</f>
        <v>1.2643528798275203</v>
      </c>
      <c r="J21" s="285">
        <f>H21/'- 7 -'!$E21</f>
        <v>167.3053698511969</v>
      </c>
    </row>
    <row r="22" spans="1:10" ht="14.1" customHeight="1" x14ac:dyDescent="0.2">
      <c r="A22" s="19" t="s">
        <v>120</v>
      </c>
      <c r="B22" s="20">
        <v>20839</v>
      </c>
      <c r="C22" s="70">
        <f>B22/'- 3 -'!$D22*100</f>
        <v>0.10104742818802842</v>
      </c>
      <c r="D22" s="20">
        <f>B22/'- 7 -'!$E22</f>
        <v>13.954064550689701</v>
      </c>
      <c r="E22" s="20">
        <v>73630</v>
      </c>
      <c r="F22" s="70">
        <f>E22/'- 3 -'!$D22*100</f>
        <v>0.35702875077904567</v>
      </c>
      <c r="G22" s="20">
        <f>E22/'- 7 -'!$E22</f>
        <v>49.303602517744743</v>
      </c>
      <c r="H22" s="20">
        <v>192818</v>
      </c>
      <c r="I22" s="70">
        <f>H22/'- 3 -'!$D22*100</f>
        <v>0.93496631356395532</v>
      </c>
      <c r="J22" s="20">
        <f>H22/'- 7 -'!$E22</f>
        <v>129.11343243605197</v>
      </c>
    </row>
    <row r="23" spans="1:10" ht="14.1" customHeight="1" x14ac:dyDescent="0.2">
      <c r="A23" s="284" t="s">
        <v>121</v>
      </c>
      <c r="B23" s="285">
        <v>0</v>
      </c>
      <c r="C23" s="291">
        <f>B23/'- 3 -'!$D23*100</f>
        <v>0</v>
      </c>
      <c r="D23" s="285">
        <f>B23/'- 7 -'!$E23</f>
        <v>0</v>
      </c>
      <c r="E23" s="285">
        <v>0</v>
      </c>
      <c r="F23" s="291">
        <f>E23/'- 3 -'!$D23*100</f>
        <v>0</v>
      </c>
      <c r="G23" s="285">
        <f>E23/'- 7 -'!$E23</f>
        <v>0</v>
      </c>
      <c r="H23" s="285">
        <v>125431</v>
      </c>
      <c r="I23" s="291">
        <f>H23/'- 3 -'!$D23*100</f>
        <v>0.75726401358922768</v>
      </c>
      <c r="J23" s="285">
        <f>H23/'- 7 -'!$E23</f>
        <v>120.31750599520383</v>
      </c>
    </row>
    <row r="24" spans="1:10" ht="14.1" customHeight="1" x14ac:dyDescent="0.2">
      <c r="A24" s="19" t="s">
        <v>122</v>
      </c>
      <c r="B24" s="20">
        <v>72455</v>
      </c>
      <c r="C24" s="70">
        <f>B24/'- 3 -'!$D24*100</f>
        <v>0.12519952567428339</v>
      </c>
      <c r="D24" s="20">
        <f>B24/'- 7 -'!$E24</f>
        <v>18.61974147457148</v>
      </c>
      <c r="E24" s="20">
        <v>116185</v>
      </c>
      <c r="F24" s="70">
        <f>E24/'- 3 -'!$D24*100</f>
        <v>0.20076332745106087</v>
      </c>
      <c r="G24" s="20">
        <f>E24/'- 7 -'!$E24</f>
        <v>29.857631125844833</v>
      </c>
      <c r="H24" s="20">
        <v>597624</v>
      </c>
      <c r="I24" s="70">
        <f>H24/'- 3 -'!$D24*100</f>
        <v>1.032671883673562</v>
      </c>
      <c r="J24" s="20">
        <f>H24/'- 7 -'!$E24</f>
        <v>153.57952355254028</v>
      </c>
    </row>
    <row r="25" spans="1:10" ht="14.1" customHeight="1" x14ac:dyDescent="0.2">
      <c r="A25" s="284" t="s">
        <v>123</v>
      </c>
      <c r="B25" s="285">
        <v>167469</v>
      </c>
      <c r="C25" s="291">
        <f>B25/'- 3 -'!$D25*100</f>
        <v>8.9532365763908398E-2</v>
      </c>
      <c r="D25" s="285">
        <f>B25/'- 7 -'!$E25</f>
        <v>11.449540908065389</v>
      </c>
      <c r="E25" s="285">
        <v>1521280</v>
      </c>
      <c r="F25" s="291">
        <f>E25/'- 3 -'!$D25*100</f>
        <v>0.81330752192536271</v>
      </c>
      <c r="G25" s="285">
        <f>E25/'- 7 -'!$E25</f>
        <v>104.00705559011945</v>
      </c>
      <c r="H25" s="285">
        <v>4631268</v>
      </c>
      <c r="I25" s="291">
        <f>H25/'- 3 -'!$D25*100</f>
        <v>2.4759709589636558</v>
      </c>
      <c r="J25" s="285">
        <f>H25/'- 7 -'!$E25</f>
        <v>316.63109245421049</v>
      </c>
    </row>
    <row r="26" spans="1:10" ht="14.1" customHeight="1" x14ac:dyDescent="0.2">
      <c r="A26" s="19" t="s">
        <v>124</v>
      </c>
      <c r="B26" s="20">
        <v>16752</v>
      </c>
      <c r="C26" s="70">
        <f>B26/'- 3 -'!$D26*100</f>
        <v>4.107455971673854E-2</v>
      </c>
      <c r="D26" s="20">
        <f>B26/'- 7 -'!$E26</f>
        <v>5.6690355329949238</v>
      </c>
      <c r="E26" s="20">
        <v>208826</v>
      </c>
      <c r="F26" s="70">
        <f>E26/'- 3 -'!$D26*100</f>
        <v>0.51202459452051341</v>
      </c>
      <c r="G26" s="20">
        <f>E26/'- 7 -'!$E26</f>
        <v>70.668697123519465</v>
      </c>
      <c r="H26" s="20">
        <v>547101</v>
      </c>
      <c r="I26" s="70">
        <f>H26/'- 3 -'!$D26*100</f>
        <v>1.341447749259036</v>
      </c>
      <c r="J26" s="20">
        <f>H26/'- 7 -'!$E26</f>
        <v>185.14416243654821</v>
      </c>
    </row>
    <row r="27" spans="1:10" ht="14.1" customHeight="1" x14ac:dyDescent="0.2">
      <c r="A27" s="284" t="s">
        <v>125</v>
      </c>
      <c r="B27" s="285">
        <v>0</v>
      </c>
      <c r="C27" s="291">
        <f>B27/'- 3 -'!$D27*100</f>
        <v>0</v>
      </c>
      <c r="D27" s="285">
        <f>B27/'- 7 -'!$E27</f>
        <v>0</v>
      </c>
      <c r="E27" s="285">
        <v>596473</v>
      </c>
      <c r="F27" s="291">
        <f>E27/'- 3 -'!$D27*100</f>
        <v>1.4567431259004924</v>
      </c>
      <c r="G27" s="285">
        <f>E27/'- 7 -'!$E27</f>
        <v>196.79732092777724</v>
      </c>
      <c r="H27" s="285">
        <v>807394</v>
      </c>
      <c r="I27" s="291">
        <f>H27/'- 3 -'!$D27*100</f>
        <v>1.9718673928129222</v>
      </c>
      <c r="J27" s="285">
        <f>H27/'- 7 -'!$E27</f>
        <v>266.38754165429407</v>
      </c>
    </row>
    <row r="28" spans="1:10" ht="14.1" customHeight="1" x14ac:dyDescent="0.2">
      <c r="A28" s="19" t="s">
        <v>126</v>
      </c>
      <c r="B28" s="20">
        <v>97509</v>
      </c>
      <c r="C28" s="70">
        <f>B28/'- 3 -'!$D28*100</f>
        <v>0.33743917960638015</v>
      </c>
      <c r="D28" s="20">
        <f>B28/'- 7 -'!$E28</f>
        <v>50.01744036932547</v>
      </c>
      <c r="E28" s="20">
        <v>10745</v>
      </c>
      <c r="F28" s="70">
        <f>E28/'- 3 -'!$D28*100</f>
        <v>3.7184095671892382E-2</v>
      </c>
      <c r="G28" s="20">
        <f>E28/'- 7 -'!$E28</f>
        <v>5.5116696588868939</v>
      </c>
      <c r="H28" s="20">
        <v>293596</v>
      </c>
      <c r="I28" s="70">
        <f>H28/'- 3 -'!$D28*100</f>
        <v>1.0160169151126026</v>
      </c>
      <c r="J28" s="20">
        <f>H28/'- 7 -'!$E28</f>
        <v>150.60066683765069</v>
      </c>
    </row>
    <row r="29" spans="1:10" ht="14.1" customHeight="1" x14ac:dyDescent="0.2">
      <c r="A29" s="284" t="s">
        <v>127</v>
      </c>
      <c r="B29" s="285">
        <v>351392</v>
      </c>
      <c r="C29" s="291">
        <f>B29/'- 3 -'!$D29*100</f>
        <v>0.21578897956189882</v>
      </c>
      <c r="D29" s="285">
        <f>B29/'- 7 -'!$E29</f>
        <v>26.237185374340136</v>
      </c>
      <c r="E29" s="285">
        <v>601656</v>
      </c>
      <c r="F29" s="291">
        <f>E29/'- 3 -'!$D29*100</f>
        <v>0.36947549826772896</v>
      </c>
      <c r="G29" s="285">
        <f>E29/'- 7 -'!$E29</f>
        <v>44.923504244786415</v>
      </c>
      <c r="H29" s="285">
        <v>3524762</v>
      </c>
      <c r="I29" s="291">
        <f>H29/'- 3 -'!$D29*100</f>
        <v>2.1645478416655974</v>
      </c>
      <c r="J29" s="285">
        <f>H29/'- 7 -'!$E29</f>
        <v>263.18138715289444</v>
      </c>
    </row>
    <row r="30" spans="1:10" ht="14.1" customHeight="1" x14ac:dyDescent="0.2">
      <c r="A30" s="19" t="s">
        <v>128</v>
      </c>
      <c r="B30" s="20">
        <v>0</v>
      </c>
      <c r="C30" s="70">
        <f>B30/'- 3 -'!$D30*100</f>
        <v>0</v>
      </c>
      <c r="D30" s="20">
        <f>B30/'- 7 -'!$E30</f>
        <v>0</v>
      </c>
      <c r="E30" s="20">
        <v>0</v>
      </c>
      <c r="F30" s="70">
        <f>E30/'- 3 -'!$D30*100</f>
        <v>0</v>
      </c>
      <c r="G30" s="20">
        <f>E30/'- 7 -'!$E30</f>
        <v>0</v>
      </c>
      <c r="H30" s="20">
        <v>392447</v>
      </c>
      <c r="I30" s="70">
        <f>H30/'- 3 -'!$D30*100</f>
        <v>2.6699450536142946</v>
      </c>
      <c r="J30" s="20">
        <f>H30/'- 7 -'!$E30</f>
        <v>389.6415806195393</v>
      </c>
    </row>
    <row r="31" spans="1:10" ht="14.1" customHeight="1" x14ac:dyDescent="0.2">
      <c r="A31" s="284" t="s">
        <v>129</v>
      </c>
      <c r="B31" s="285">
        <v>0</v>
      </c>
      <c r="C31" s="291">
        <f>B31/'- 3 -'!$D31*100</f>
        <v>0</v>
      </c>
      <c r="D31" s="285">
        <f>B31/'- 7 -'!$E31</f>
        <v>0</v>
      </c>
      <c r="E31" s="285">
        <v>105898</v>
      </c>
      <c r="F31" s="291">
        <f>E31/'- 3 -'!$D31*100</f>
        <v>0.27844140021700958</v>
      </c>
      <c r="G31" s="285">
        <f>E31/'- 7 -'!$E31</f>
        <v>31.989487675205414</v>
      </c>
      <c r="H31" s="285">
        <v>490055</v>
      </c>
      <c r="I31" s="291">
        <f>H31/'- 3 -'!$D31*100</f>
        <v>1.2885191446802267</v>
      </c>
      <c r="J31" s="285">
        <f>H31/'- 7 -'!$E31</f>
        <v>148.03498066698887</v>
      </c>
    </row>
    <row r="32" spans="1:10" ht="14.1" customHeight="1" x14ac:dyDescent="0.2">
      <c r="A32" s="19" t="s">
        <v>130</v>
      </c>
      <c r="B32" s="20">
        <v>0</v>
      </c>
      <c r="C32" s="70">
        <f>B32/'- 3 -'!$D32*100</f>
        <v>0</v>
      </c>
      <c r="D32" s="20">
        <f>B32/'- 7 -'!$E32</f>
        <v>0</v>
      </c>
      <c r="E32" s="20">
        <v>125096</v>
      </c>
      <c r="F32" s="70">
        <f>E32/'- 3 -'!$D32*100</f>
        <v>0.39845000222642252</v>
      </c>
      <c r="G32" s="20">
        <f>E32/'- 7 -'!$E32</f>
        <v>57.212897324491195</v>
      </c>
      <c r="H32" s="20">
        <v>331331</v>
      </c>
      <c r="I32" s="70">
        <f>H32/'- 3 -'!$D32*100</f>
        <v>1.0553402002276875</v>
      </c>
      <c r="J32" s="20">
        <f>H32/'- 7 -'!$E32</f>
        <v>151.53487308483878</v>
      </c>
    </row>
    <row r="33" spans="1:10" ht="14.1" customHeight="1" x14ac:dyDescent="0.2">
      <c r="A33" s="284" t="s">
        <v>131</v>
      </c>
      <c r="B33" s="285">
        <v>0</v>
      </c>
      <c r="C33" s="291">
        <f>B33/'- 3 -'!$D33*100</f>
        <v>0</v>
      </c>
      <c r="D33" s="285">
        <f>B33/'- 7 -'!$E33</f>
        <v>0</v>
      </c>
      <c r="E33" s="285">
        <v>117839</v>
      </c>
      <c r="F33" s="291">
        <f>E33/'- 3 -'!$D33*100</f>
        <v>0.41566900614157581</v>
      </c>
      <c r="G33" s="285">
        <f>E33/'- 7 -'!$E33</f>
        <v>56.258474171679559</v>
      </c>
      <c r="H33" s="285">
        <v>393377</v>
      </c>
      <c r="I33" s="291">
        <f>H33/'- 3 -'!$D33*100</f>
        <v>1.3876104399133959</v>
      </c>
      <c r="J33" s="285">
        <f>H33/'- 7 -'!$E33</f>
        <v>187.80530888952546</v>
      </c>
    </row>
    <row r="34" spans="1:10" ht="14.1" customHeight="1" x14ac:dyDescent="0.2">
      <c r="A34" s="19" t="s">
        <v>132</v>
      </c>
      <c r="B34" s="20">
        <v>6977</v>
      </c>
      <c r="C34" s="70">
        <f>B34/'- 3 -'!$D34*100</f>
        <v>2.269493450818301E-2</v>
      </c>
      <c r="D34" s="20">
        <f>B34/'- 7 -'!$E34</f>
        <v>3.3271022689340111</v>
      </c>
      <c r="E34" s="20">
        <v>203478</v>
      </c>
      <c r="F34" s="70">
        <f>E34/'- 3 -'!$D34*100</f>
        <v>0.66187758117472584</v>
      </c>
      <c r="G34" s="20">
        <f>E34/'- 7 -'!$E34</f>
        <v>97.031978712649376</v>
      </c>
      <c r="H34" s="20">
        <v>234869</v>
      </c>
      <c r="I34" s="70">
        <f>H34/'- 3 -'!$D34*100</f>
        <v>0.76398689594416447</v>
      </c>
      <c r="J34" s="20">
        <f>H34/'- 7 -'!$E34</f>
        <v>112.00131615339863</v>
      </c>
    </row>
    <row r="35" spans="1:10" ht="14.1" customHeight="1" x14ac:dyDescent="0.2">
      <c r="A35" s="284" t="s">
        <v>133</v>
      </c>
      <c r="B35" s="285">
        <v>385925</v>
      </c>
      <c r="C35" s="291">
        <f>B35/'- 3 -'!$D35*100</f>
        <v>0.20491851915600937</v>
      </c>
      <c r="D35" s="285">
        <f>B35/'- 7 -'!$E35</f>
        <v>24.334762595371714</v>
      </c>
      <c r="E35" s="285">
        <v>800779</v>
      </c>
      <c r="F35" s="291">
        <f>E35/'- 3 -'!$D35*100</f>
        <v>0.42519776342872329</v>
      </c>
      <c r="G35" s="285">
        <f>E35/'- 7 -'!$E35</f>
        <v>50.493662904344539</v>
      </c>
      <c r="H35" s="285">
        <v>4434951</v>
      </c>
      <c r="I35" s="291">
        <f>H35/'- 3 -'!$D35*100</f>
        <v>2.3548710020067705</v>
      </c>
      <c r="J35" s="285">
        <f>H35/'- 7 -'!$E35</f>
        <v>279.64884292830567</v>
      </c>
    </row>
    <row r="36" spans="1:10" ht="14.1" customHeight="1" x14ac:dyDescent="0.2">
      <c r="A36" s="19" t="s">
        <v>134</v>
      </c>
      <c r="B36" s="20">
        <v>17612</v>
      </c>
      <c r="C36" s="70">
        <f>B36/'- 3 -'!$D36*100</f>
        <v>7.4425501222704665E-2</v>
      </c>
      <c r="D36" s="20">
        <f>B36/'- 7 -'!$E36</f>
        <v>10.416370948663355</v>
      </c>
      <c r="E36" s="20">
        <v>205528</v>
      </c>
      <c r="F36" s="70">
        <f>E36/'- 3 -'!$D36*100</f>
        <v>0.86852852687372506</v>
      </c>
      <c r="G36" s="20">
        <f>E36/'- 7 -'!$E36</f>
        <v>121.55665956943459</v>
      </c>
      <c r="H36" s="20">
        <v>260695</v>
      </c>
      <c r="I36" s="70">
        <f>H36/'- 3 -'!$D36*100</f>
        <v>1.101655464527197</v>
      </c>
      <c r="J36" s="20">
        <f>H36/'- 7 -'!$E36</f>
        <v>154.18440974686538</v>
      </c>
    </row>
    <row r="37" spans="1:10" ht="14.1" customHeight="1" x14ac:dyDescent="0.2">
      <c r="A37" s="284" t="s">
        <v>135</v>
      </c>
      <c r="B37" s="285">
        <v>65904</v>
      </c>
      <c r="C37" s="291">
        <f>B37/'- 3 -'!$D37*100</f>
        <v>0.12574090333612725</v>
      </c>
      <c r="D37" s="285">
        <f>B37/'- 7 -'!$E37</f>
        <v>15.710131108462456</v>
      </c>
      <c r="E37" s="285">
        <v>521695</v>
      </c>
      <c r="F37" s="291">
        <f>E37/'- 3 -'!$D37*100</f>
        <v>0.99536296076021047</v>
      </c>
      <c r="G37" s="285">
        <f>E37/'- 7 -'!$E37</f>
        <v>124.3611442193087</v>
      </c>
      <c r="H37" s="285">
        <v>538871</v>
      </c>
      <c r="I37" s="291">
        <f>H37/'- 3 -'!$D37*100</f>
        <v>1.0281337448658994</v>
      </c>
      <c r="J37" s="285">
        <f>H37/'- 7 -'!$E37</f>
        <v>128.45554231227652</v>
      </c>
    </row>
    <row r="38" spans="1:10" ht="14.1" customHeight="1" x14ac:dyDescent="0.2">
      <c r="A38" s="19" t="s">
        <v>136</v>
      </c>
      <c r="B38" s="20">
        <v>83126</v>
      </c>
      <c r="C38" s="70">
        <f>B38/'- 3 -'!$D38*100</f>
        <v>5.9015661002558985E-2</v>
      </c>
      <c r="D38" s="20">
        <f>B38/'- 7 -'!$E38</f>
        <v>7.5096664618942643</v>
      </c>
      <c r="E38" s="20">
        <v>413214</v>
      </c>
      <c r="F38" s="70">
        <f>E38/'- 3 -'!$D38*100</f>
        <v>0.29336305542804186</v>
      </c>
      <c r="G38" s="20">
        <f>E38/'- 7 -'!$E38</f>
        <v>37.330069020344737</v>
      </c>
      <c r="H38" s="20">
        <v>1761214</v>
      </c>
      <c r="I38" s="70">
        <f>H38/'- 3 -'!$D38*100</f>
        <v>1.2503814495700614</v>
      </c>
      <c r="J38" s="20">
        <f>H38/'- 7 -'!$E38</f>
        <v>159.10942073501246</v>
      </c>
    </row>
    <row r="39" spans="1:10" ht="14.1" customHeight="1" x14ac:dyDescent="0.2">
      <c r="A39" s="284" t="s">
        <v>137</v>
      </c>
      <c r="B39" s="285">
        <v>0</v>
      </c>
      <c r="C39" s="291">
        <f>B39/'- 3 -'!$D39*100</f>
        <v>0</v>
      </c>
      <c r="D39" s="285">
        <f>B39/'- 7 -'!$E39</f>
        <v>0</v>
      </c>
      <c r="E39" s="285">
        <v>106083</v>
      </c>
      <c r="F39" s="291">
        <f>E39/'- 3 -'!$D39*100</f>
        <v>0.47589725719025072</v>
      </c>
      <c r="G39" s="285">
        <f>E39/'- 7 -'!$E39</f>
        <v>70.114342366159946</v>
      </c>
      <c r="H39" s="285">
        <v>215291</v>
      </c>
      <c r="I39" s="291">
        <f>H39/'- 3 -'!$D39*100</f>
        <v>0.96581352712259516</v>
      </c>
      <c r="J39" s="285">
        <f>H39/'- 7 -'!$E39</f>
        <v>142.29411764705881</v>
      </c>
    </row>
    <row r="40" spans="1:10" ht="14.1" customHeight="1" x14ac:dyDescent="0.2">
      <c r="A40" s="19" t="s">
        <v>138</v>
      </c>
      <c r="B40" s="20">
        <v>36302</v>
      </c>
      <c r="C40" s="70">
        <f>B40/'- 3 -'!$D40*100</f>
        <v>3.4269409041307007E-2</v>
      </c>
      <c r="D40" s="20">
        <f>B40/'- 7 -'!$E40</f>
        <v>4.4667839696816829</v>
      </c>
      <c r="E40" s="20">
        <v>980830</v>
      </c>
      <c r="F40" s="70">
        <f>E40/'- 3 -'!$D40*100</f>
        <v>0.92591219409358017</v>
      </c>
      <c r="G40" s="20">
        <f>E40/'- 7 -'!$E40</f>
        <v>120.68634568296196</v>
      </c>
      <c r="H40" s="20">
        <v>1252544</v>
      </c>
      <c r="I40" s="70">
        <f>H40/'- 3 -'!$D40*100</f>
        <v>1.182412613030545</v>
      </c>
      <c r="J40" s="20">
        <f>H40/'- 7 -'!$E40</f>
        <v>154.11942759409877</v>
      </c>
    </row>
    <row r="41" spans="1:10" ht="14.1" customHeight="1" x14ac:dyDescent="0.2">
      <c r="A41" s="284" t="s">
        <v>139</v>
      </c>
      <c r="B41" s="285">
        <v>39036</v>
      </c>
      <c r="C41" s="291">
        <f>B41/'- 3 -'!$D41*100</f>
        <v>6.0114702104054618E-2</v>
      </c>
      <c r="D41" s="285">
        <f>B41/'- 7 -'!$E41</f>
        <v>8.7810145090540992</v>
      </c>
      <c r="E41" s="285">
        <v>481951</v>
      </c>
      <c r="F41" s="291">
        <f>E41/'- 3 -'!$D41*100</f>
        <v>0.74219542969953944</v>
      </c>
      <c r="G41" s="285">
        <f>E41/'- 7 -'!$E41</f>
        <v>108.41322685862107</v>
      </c>
      <c r="H41" s="285">
        <v>586617</v>
      </c>
      <c r="I41" s="291">
        <f>H41/'- 3 -'!$D41*100</f>
        <v>0.90337909120233129</v>
      </c>
      <c r="J41" s="285">
        <f>H41/'- 7 -'!$E41</f>
        <v>131.95748509728941</v>
      </c>
    </row>
    <row r="42" spans="1:10" ht="14.1" customHeight="1" x14ac:dyDescent="0.2">
      <c r="A42" s="19" t="s">
        <v>140</v>
      </c>
      <c r="B42" s="20">
        <v>17537</v>
      </c>
      <c r="C42" s="70">
        <f>B42/'- 3 -'!$D42*100</f>
        <v>8.4032506113643934E-2</v>
      </c>
      <c r="D42" s="20">
        <f>B42/'- 7 -'!$E42</f>
        <v>12.419971671388103</v>
      </c>
      <c r="E42" s="20">
        <v>0</v>
      </c>
      <c r="F42" s="70">
        <f>E42/'- 3 -'!$D42*100</f>
        <v>0</v>
      </c>
      <c r="G42" s="20">
        <f>E42/'- 7 -'!$E42</f>
        <v>0</v>
      </c>
      <c r="H42" s="20">
        <v>260973</v>
      </c>
      <c r="I42" s="70">
        <f>H42/'- 3 -'!$D42*100</f>
        <v>1.2505112173117408</v>
      </c>
      <c r="J42" s="20">
        <f>H42/'- 7 -'!$E42</f>
        <v>184.82507082152975</v>
      </c>
    </row>
    <row r="43" spans="1:10" ht="14.1" customHeight="1" x14ac:dyDescent="0.2">
      <c r="A43" s="284" t="s">
        <v>141</v>
      </c>
      <c r="B43" s="285">
        <v>0</v>
      </c>
      <c r="C43" s="291">
        <f>B43/'- 3 -'!$D43*100</f>
        <v>0</v>
      </c>
      <c r="D43" s="285">
        <f>B43/'- 7 -'!$E43</f>
        <v>0</v>
      </c>
      <c r="E43" s="285">
        <v>45923</v>
      </c>
      <c r="F43" s="291">
        <f>E43/'- 3 -'!$D43*100</f>
        <v>0.34139514441736457</v>
      </c>
      <c r="G43" s="285">
        <f>E43/'- 7 -'!$E43</f>
        <v>47.392156862745097</v>
      </c>
      <c r="H43" s="285">
        <v>211410</v>
      </c>
      <c r="I43" s="291">
        <f>H43/'- 3 -'!$D43*100</f>
        <v>1.5716383398574798</v>
      </c>
      <c r="J43" s="285">
        <f>H43/'- 7 -'!$E43</f>
        <v>218.17337461300309</v>
      </c>
    </row>
    <row r="44" spans="1:10" ht="14.1" customHeight="1" x14ac:dyDescent="0.2">
      <c r="A44" s="19" t="s">
        <v>142</v>
      </c>
      <c r="B44" s="20">
        <v>0</v>
      </c>
      <c r="C44" s="70">
        <f>B44/'- 3 -'!$D44*100</f>
        <v>0</v>
      </c>
      <c r="D44" s="20">
        <f>B44/'- 7 -'!$E44</f>
        <v>0</v>
      </c>
      <c r="E44" s="20">
        <v>0</v>
      </c>
      <c r="F44" s="70">
        <f>E44/'- 3 -'!$D44*100</f>
        <v>0</v>
      </c>
      <c r="G44" s="20">
        <f>E44/'- 7 -'!$E44</f>
        <v>0</v>
      </c>
      <c r="H44" s="20">
        <v>127958</v>
      </c>
      <c r="I44" s="70">
        <f>H44/'- 3 -'!$D44*100</f>
        <v>1.1672779402823459</v>
      </c>
      <c r="J44" s="20">
        <f>H44/'- 7 -'!$E44</f>
        <v>184.37752161383284</v>
      </c>
    </row>
    <row r="45" spans="1:10" ht="14.1" customHeight="1" x14ac:dyDescent="0.2">
      <c r="A45" s="284" t="s">
        <v>143</v>
      </c>
      <c r="B45" s="285">
        <v>0</v>
      </c>
      <c r="C45" s="291">
        <f>B45/'- 3 -'!$D45*100</f>
        <v>0</v>
      </c>
      <c r="D45" s="285">
        <f>B45/'- 7 -'!$E45</f>
        <v>0</v>
      </c>
      <c r="E45" s="285">
        <v>0</v>
      </c>
      <c r="F45" s="291">
        <f>E45/'- 3 -'!$D45*100</f>
        <v>0</v>
      </c>
      <c r="G45" s="285">
        <f>E45/'- 7 -'!$E45</f>
        <v>0</v>
      </c>
      <c r="H45" s="285">
        <v>235553</v>
      </c>
      <c r="I45" s="291">
        <f>H45/'- 3 -'!$D45*100</f>
        <v>1.180481701563894</v>
      </c>
      <c r="J45" s="285">
        <f>H45/'- 7 -'!$E45</f>
        <v>136.3153935185185</v>
      </c>
    </row>
    <row r="46" spans="1:10" ht="14.1" customHeight="1" x14ac:dyDescent="0.2">
      <c r="A46" s="19" t="s">
        <v>144</v>
      </c>
      <c r="B46" s="20">
        <v>274030</v>
      </c>
      <c r="C46" s="70">
        <f>B46/'- 3 -'!$D46*100</f>
        <v>6.904553578407284E-2</v>
      </c>
      <c r="D46" s="20">
        <f>B46/'- 7 -'!$E46</f>
        <v>9.1651588174894894</v>
      </c>
      <c r="E46" s="20">
        <v>656330</v>
      </c>
      <c r="F46" s="70">
        <f>E46/'- 3 -'!$D46*100</f>
        <v>0.16537115097310706</v>
      </c>
      <c r="G46" s="20">
        <f>E46/'- 7 -'!$E46</f>
        <v>21.951496867798696</v>
      </c>
      <c r="H46" s="20">
        <v>2698669</v>
      </c>
      <c r="I46" s="70">
        <f>H46/'- 3 -'!$D46*100</f>
        <v>0.67996586873286879</v>
      </c>
      <c r="J46" s="20">
        <f>H46/'- 7 -'!$E46</f>
        <v>90.259205126575722</v>
      </c>
    </row>
    <row r="47" spans="1:10" ht="5.0999999999999996" customHeight="1" x14ac:dyDescent="0.2">
      <c r="A47" s="21"/>
      <c r="B47" s="22"/>
      <c r="C47"/>
      <c r="D47" s="22"/>
      <c r="E47" s="22"/>
      <c r="F47"/>
      <c r="G47" s="22"/>
      <c r="H47"/>
      <c r="I47"/>
      <c r="J47"/>
    </row>
    <row r="48" spans="1:10" ht="14.1" customHeight="1" x14ac:dyDescent="0.2">
      <c r="A48" s="286" t="s">
        <v>145</v>
      </c>
      <c r="B48" s="287">
        <f>SUM(B11:B46)</f>
        <v>2067604</v>
      </c>
      <c r="C48" s="294">
        <f>B48/'- 3 -'!$D48*100</f>
        <v>8.7725596067945111E-2</v>
      </c>
      <c r="D48" s="287">
        <f>B48/'- 7 -'!$E48</f>
        <v>11.656428881142686</v>
      </c>
      <c r="E48" s="287">
        <f>SUM(E11:E46)</f>
        <v>13803683</v>
      </c>
      <c r="F48" s="294">
        <f>E48/'- 3 -'!$D48*100</f>
        <v>0.58567129832790066</v>
      </c>
      <c r="G48" s="287">
        <f>E48/'- 7 -'!$E48</f>
        <v>77.820341413219509</v>
      </c>
      <c r="H48" s="287">
        <f>SUM(H11:H46)</f>
        <v>31624120</v>
      </c>
      <c r="I48" s="294">
        <f>H48/'- 3 -'!$D48*100</f>
        <v>1.3417679483712666</v>
      </c>
      <c r="J48" s="287">
        <f>H48/'- 7 -'!$E48</f>
        <v>178.28573832741765</v>
      </c>
    </row>
    <row r="49" spans="1:10" ht="5.0999999999999996" customHeight="1" x14ac:dyDescent="0.2">
      <c r="A49" s="21" t="s">
        <v>7</v>
      </c>
      <c r="B49" s="22"/>
      <c r="C49"/>
      <c r="D49" s="22"/>
      <c r="E49" s="22"/>
      <c r="F49"/>
      <c r="H49"/>
      <c r="I49"/>
      <c r="J49"/>
    </row>
    <row r="50" spans="1:10" ht="14.1" customHeight="1" x14ac:dyDescent="0.2">
      <c r="A50" s="19" t="s">
        <v>146</v>
      </c>
      <c r="B50" s="20">
        <v>0</v>
      </c>
      <c r="C50" s="70">
        <f>B50/'- 3 -'!$D50*100</f>
        <v>0</v>
      </c>
      <c r="D50" s="20">
        <f>B50/'- 7 -'!$E50</f>
        <v>0</v>
      </c>
      <c r="E50" s="20">
        <v>0</v>
      </c>
      <c r="F50" s="70">
        <f>E50/'- 3 -'!$D50*100</f>
        <v>0</v>
      </c>
      <c r="G50" s="20">
        <f>E50/'- 7 -'!$E50</f>
        <v>0</v>
      </c>
      <c r="H50" s="20">
        <v>11106</v>
      </c>
      <c r="I50" s="70">
        <f>H50/'- 3 -'!$D50*100</f>
        <v>0.3430815743941163</v>
      </c>
      <c r="J50" s="20">
        <f>H50/'- 7 -'!$E50</f>
        <v>67.719512195121951</v>
      </c>
    </row>
    <row r="51" spans="1:10" ht="14.1" customHeight="1" x14ac:dyDescent="0.2">
      <c r="A51" s="284" t="s">
        <v>607</v>
      </c>
      <c r="B51" s="285">
        <v>0</v>
      </c>
      <c r="C51" s="291">
        <f>B51/'- 3 -'!$D51*100</f>
        <v>0</v>
      </c>
      <c r="D51" s="285">
        <f>B51/'- 7 -'!$E51</f>
        <v>0</v>
      </c>
      <c r="E51" s="285">
        <v>557416</v>
      </c>
      <c r="F51" s="291">
        <f>E51/'- 3 -'!$D51*100</f>
        <v>1.8365376216980132</v>
      </c>
      <c r="G51" s="285">
        <f>E51/'- 7 -'!$E51</f>
        <v>512.33088235294122</v>
      </c>
      <c r="H51" s="285">
        <v>8845</v>
      </c>
      <c r="I51" s="291">
        <f>H51/'- 3 -'!$D51*100</f>
        <v>2.9141924996625372E-2</v>
      </c>
      <c r="J51" s="285">
        <f>H51/'- 7 -'!$E51</f>
        <v>8.1295955882352935</v>
      </c>
    </row>
    <row r="52" spans="1:10" ht="50.1" customHeight="1" x14ac:dyDescent="0.2">
      <c r="A52" s="184"/>
      <c r="B52" s="184"/>
      <c r="C52" s="184"/>
      <c r="D52" s="184"/>
      <c r="E52" s="184"/>
      <c r="F52" s="184"/>
      <c r="G52" s="184"/>
      <c r="H52" s="184"/>
      <c r="I52" s="184"/>
      <c r="J52" s="184"/>
    </row>
  </sheetData>
  <mergeCells count="6">
    <mergeCell ref="D8:D9"/>
    <mergeCell ref="G8:G9"/>
    <mergeCell ref="J8:J9"/>
    <mergeCell ref="B6:D7"/>
    <mergeCell ref="E6:G7"/>
    <mergeCell ref="H6:J7"/>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J53"/>
  <sheetViews>
    <sheetView showGridLines="0" showZeros="0" workbookViewId="0"/>
  </sheetViews>
  <sheetFormatPr defaultColWidth="15.83203125" defaultRowHeight="12" x14ac:dyDescent="0.2"/>
  <cols>
    <col min="1" max="1" width="32.83203125" style="2" customWidth="1"/>
    <col min="2" max="2" width="15.83203125" style="2" customWidth="1"/>
    <col min="3" max="3" width="7.83203125" style="2" customWidth="1"/>
    <col min="4" max="4" width="9.83203125" style="2" customWidth="1"/>
    <col min="5" max="5" width="15.83203125" style="2" customWidth="1"/>
    <col min="6" max="6" width="7.83203125" style="2" customWidth="1"/>
    <col min="7" max="7" width="9.83203125" style="2" customWidth="1"/>
    <col min="8" max="8" width="14.83203125" style="2" customWidth="1"/>
    <col min="9" max="9" width="7.83203125" style="2" customWidth="1"/>
    <col min="10" max="10" width="9.83203125" style="2" customWidth="1"/>
    <col min="11" max="16384" width="15.83203125" style="2"/>
  </cols>
  <sheetData>
    <row r="1" spans="1:10" ht="6.95" customHeight="1" x14ac:dyDescent="0.2">
      <c r="A1" s="7"/>
      <c r="B1" s="8"/>
      <c r="C1" s="8"/>
      <c r="D1" s="8"/>
      <c r="E1" s="8"/>
      <c r="F1" s="8"/>
      <c r="G1" s="8"/>
      <c r="H1" s="8"/>
      <c r="I1" s="8"/>
      <c r="J1" s="8"/>
    </row>
    <row r="2" spans="1:10" ht="15.95" customHeight="1" x14ac:dyDescent="0.2">
      <c r="A2" s="134"/>
      <c r="B2" s="9" t="s">
        <v>263</v>
      </c>
      <c r="C2" s="10"/>
      <c r="D2" s="10"/>
      <c r="E2" s="10"/>
      <c r="F2" s="10"/>
      <c r="G2" s="10"/>
      <c r="H2" s="73"/>
      <c r="I2" s="153"/>
      <c r="J2" s="395" t="s">
        <v>408</v>
      </c>
    </row>
    <row r="3" spans="1:10" ht="15.95" customHeight="1" x14ac:dyDescent="0.2">
      <c r="A3" s="541"/>
      <c r="B3" s="11" t="str">
        <f>OPYEAR</f>
        <v>OPERATING FUND 2017/2018 ACTUAL</v>
      </c>
      <c r="C3" s="12"/>
      <c r="D3" s="12"/>
      <c r="E3" s="12"/>
      <c r="F3" s="12"/>
      <c r="G3" s="12"/>
      <c r="H3" s="75"/>
      <c r="I3" s="75"/>
      <c r="J3" s="66"/>
    </row>
    <row r="4" spans="1:10" ht="15.95" customHeight="1" x14ac:dyDescent="0.2">
      <c r="B4" s="8"/>
      <c r="C4" s="8"/>
      <c r="D4" s="8"/>
      <c r="E4" s="8"/>
      <c r="F4" s="8"/>
      <c r="G4" s="8"/>
      <c r="H4" s="8"/>
      <c r="I4" s="8"/>
      <c r="J4" s="8"/>
    </row>
    <row r="5" spans="1:10" ht="15.95" customHeight="1" x14ac:dyDescent="0.2">
      <c r="B5" s="393" t="s">
        <v>249</v>
      </c>
      <c r="C5" s="172"/>
      <c r="D5" s="173"/>
      <c r="E5" s="181"/>
      <c r="F5" s="181"/>
      <c r="G5" s="182"/>
    </row>
    <row r="6" spans="1:10" ht="15.95" customHeight="1" x14ac:dyDescent="0.2">
      <c r="B6" s="638" t="s">
        <v>497</v>
      </c>
      <c r="C6" s="646"/>
      <c r="D6" s="639"/>
      <c r="E6" s="387"/>
      <c r="F6" s="388"/>
      <c r="G6" s="389"/>
    </row>
    <row r="7" spans="1:10" ht="15.95" customHeight="1" x14ac:dyDescent="0.2">
      <c r="B7" s="640"/>
      <c r="C7" s="647"/>
      <c r="D7" s="641"/>
      <c r="E7" s="643" t="s">
        <v>281</v>
      </c>
      <c r="F7" s="645"/>
      <c r="G7" s="644"/>
    </row>
    <row r="8" spans="1:10" ht="15.95" customHeight="1" x14ac:dyDescent="0.2">
      <c r="A8" s="67"/>
      <c r="B8" s="137"/>
      <c r="C8" s="138"/>
      <c r="D8" s="591" t="s">
        <v>476</v>
      </c>
      <c r="E8" s="137"/>
      <c r="F8" s="139"/>
      <c r="G8" s="591" t="s">
        <v>476</v>
      </c>
    </row>
    <row r="9" spans="1:10" ht="15.95" customHeight="1" x14ac:dyDescent="0.2">
      <c r="A9" s="35" t="s">
        <v>42</v>
      </c>
      <c r="B9" s="77" t="s">
        <v>43</v>
      </c>
      <c r="C9" s="77" t="s">
        <v>44</v>
      </c>
      <c r="D9" s="593"/>
      <c r="E9" s="77" t="s">
        <v>43</v>
      </c>
      <c r="F9" s="77" t="s">
        <v>44</v>
      </c>
      <c r="G9" s="593"/>
    </row>
    <row r="10" spans="1:10" ht="5.0999999999999996" customHeight="1" x14ac:dyDescent="0.2">
      <c r="A10" s="6"/>
    </row>
    <row r="11" spans="1:10" ht="14.1" customHeight="1" x14ac:dyDescent="0.2">
      <c r="A11" s="284" t="s">
        <v>110</v>
      </c>
      <c r="B11" s="285">
        <v>176926</v>
      </c>
      <c r="C11" s="291">
        <f>B11/'- 3 -'!$D11*100</f>
        <v>0.89403579296345126</v>
      </c>
      <c r="D11" s="285">
        <f>B11/'- 7 -'!$E11</f>
        <v>98.390612835057283</v>
      </c>
      <c r="E11" s="285">
        <v>10998</v>
      </c>
      <c r="F11" s="291">
        <f>E11/'- 3 -'!$D11*100</f>
        <v>5.5574678967545962E-2</v>
      </c>
      <c r="G11" s="285">
        <f>E11/'- 7 -'!$E11</f>
        <v>6.1161161161161157</v>
      </c>
    </row>
    <row r="12" spans="1:10" ht="14.1" customHeight="1" x14ac:dyDescent="0.2">
      <c r="A12" s="19" t="s">
        <v>111</v>
      </c>
      <c r="B12" s="20">
        <v>396019</v>
      </c>
      <c r="C12" s="70">
        <f>B12/'- 3 -'!$D12*100</f>
        <v>1.1632203267111774</v>
      </c>
      <c r="D12" s="20">
        <f>B12/'- 7 -'!$E12</f>
        <v>191.26732673267327</v>
      </c>
      <c r="E12" s="20">
        <v>141235</v>
      </c>
      <c r="F12" s="70">
        <f>E12/'- 3 -'!$D12*100</f>
        <v>0.41484732511079803</v>
      </c>
      <c r="G12" s="20">
        <f>E12/'- 7 -'!$E12</f>
        <v>68.212992030910414</v>
      </c>
    </row>
    <row r="13" spans="1:10" ht="14.1" customHeight="1" x14ac:dyDescent="0.2">
      <c r="A13" s="284" t="s">
        <v>112</v>
      </c>
      <c r="B13" s="285">
        <v>1377073</v>
      </c>
      <c r="C13" s="291">
        <f>B13/'- 3 -'!$D13*100</f>
        <v>1.391517845810939</v>
      </c>
      <c r="D13" s="285">
        <f>B13/'- 7 -'!$E13</f>
        <v>163.30487211936091</v>
      </c>
      <c r="E13" s="285">
        <v>86134</v>
      </c>
      <c r="F13" s="291">
        <f>E13/'- 3 -'!$D13*100</f>
        <v>8.7037505005965118E-2</v>
      </c>
      <c r="G13" s="285">
        <f>E13/'- 7 -'!$E13</f>
        <v>10.214492517919554</v>
      </c>
    </row>
    <row r="14" spans="1:10" ht="14.1" customHeight="1" x14ac:dyDescent="0.2">
      <c r="A14" s="19" t="s">
        <v>359</v>
      </c>
      <c r="B14" s="20">
        <v>463922</v>
      </c>
      <c r="C14" s="70">
        <f>B14/'- 3 -'!$D14*100</f>
        <v>0.52680391209039634</v>
      </c>
      <c r="D14" s="20">
        <f>B14/'- 7 -'!$E14</f>
        <v>82.730641519931808</v>
      </c>
      <c r="E14" s="20">
        <v>73342</v>
      </c>
      <c r="F14" s="70">
        <f>E14/'- 3 -'!$D14*100</f>
        <v>8.3283078880789979E-2</v>
      </c>
      <c r="G14" s="20">
        <f>E14/'- 7 -'!$E14</f>
        <v>13.078988947182584</v>
      </c>
    </row>
    <row r="15" spans="1:10" ht="14.1" customHeight="1" x14ac:dyDescent="0.2">
      <c r="A15" s="284" t="s">
        <v>113</v>
      </c>
      <c r="B15" s="285">
        <v>161406</v>
      </c>
      <c r="C15" s="291">
        <f>B15/'- 3 -'!$D15*100</f>
        <v>0.8077795386338984</v>
      </c>
      <c r="D15" s="285">
        <f>B15/'- 7 -'!$E15</f>
        <v>116.97782287288013</v>
      </c>
      <c r="E15" s="285">
        <v>3917</v>
      </c>
      <c r="F15" s="291">
        <f>E15/'- 3 -'!$D15*100</f>
        <v>1.9603189799815249E-2</v>
      </c>
      <c r="G15" s="285">
        <f>E15/'- 7 -'!$E15</f>
        <v>2.8388172198869404</v>
      </c>
    </row>
    <row r="16" spans="1:10" ht="14.1" customHeight="1" x14ac:dyDescent="0.2">
      <c r="A16" s="19" t="s">
        <v>114</v>
      </c>
      <c r="B16" s="20">
        <v>117977</v>
      </c>
      <c r="C16" s="70">
        <f>B16/'- 3 -'!$D16*100</f>
        <v>0.81555559426743429</v>
      </c>
      <c r="D16" s="20">
        <f>B16/'- 7 -'!$E16</f>
        <v>129.23321283820792</v>
      </c>
      <c r="E16" s="20">
        <v>31682</v>
      </c>
      <c r="F16" s="70">
        <f>E16/'- 3 -'!$D16*100</f>
        <v>0.2190124544409576</v>
      </c>
      <c r="G16" s="20">
        <f>E16/'- 7 -'!$E16</f>
        <v>34.704786942710044</v>
      </c>
    </row>
    <row r="17" spans="1:7" ht="14.1" customHeight="1" x14ac:dyDescent="0.2">
      <c r="A17" s="284" t="s">
        <v>115</v>
      </c>
      <c r="B17" s="285">
        <v>121559</v>
      </c>
      <c r="C17" s="291">
        <f>B17/'- 3 -'!$D17*100</f>
        <v>0.66286694712414751</v>
      </c>
      <c r="D17" s="285">
        <f>B17/'- 7 -'!$E17</f>
        <v>87.027665558680653</v>
      </c>
      <c r="E17" s="285">
        <v>1500</v>
      </c>
      <c r="F17" s="291">
        <f>E17/'- 3 -'!$D17*100</f>
        <v>8.1795705845410151E-3</v>
      </c>
      <c r="G17" s="285">
        <f>E17/'- 7 -'!$E17</f>
        <v>1.0738941447200205</v>
      </c>
    </row>
    <row r="18" spans="1:7" ht="14.1" customHeight="1" x14ac:dyDescent="0.2">
      <c r="A18" s="19" t="s">
        <v>116</v>
      </c>
      <c r="B18" s="20">
        <v>872444</v>
      </c>
      <c r="C18" s="70">
        <f>B18/'- 3 -'!$D18*100</f>
        <v>0.65561009897033973</v>
      </c>
      <c r="D18" s="20">
        <f>B18/'- 7 -'!$E18</f>
        <v>143.20907404671624</v>
      </c>
      <c r="E18" s="20">
        <v>2050563</v>
      </c>
      <c r="F18" s="70">
        <f>E18/'- 3 -'!$D18*100</f>
        <v>1.5409239004164357</v>
      </c>
      <c r="G18" s="20">
        <f>E18/'- 7 -'!$E18</f>
        <v>336.59378539419902</v>
      </c>
    </row>
    <row r="19" spans="1:7" ht="14.1" customHeight="1" x14ac:dyDescent="0.2">
      <c r="A19" s="284" t="s">
        <v>117</v>
      </c>
      <c r="B19" s="285">
        <v>609807</v>
      </c>
      <c r="C19" s="291">
        <f>B19/'- 3 -'!$D19*100</f>
        <v>1.2388078409257353</v>
      </c>
      <c r="D19" s="285">
        <f>B19/'- 7 -'!$E19</f>
        <v>137.54217791411043</v>
      </c>
      <c r="E19" s="285">
        <v>282432</v>
      </c>
      <c r="F19" s="291">
        <f>E19/'- 3 -'!$D19*100</f>
        <v>0.57375362389795004</v>
      </c>
      <c r="G19" s="285">
        <f>E19/'- 7 -'!$E19</f>
        <v>63.702634428004323</v>
      </c>
    </row>
    <row r="20" spans="1:7" ht="14.1" customHeight="1" x14ac:dyDescent="0.2">
      <c r="A20" s="19" t="s">
        <v>118</v>
      </c>
      <c r="B20" s="20">
        <v>988941</v>
      </c>
      <c r="C20" s="70">
        <f>B20/'- 3 -'!$D20*100</f>
        <v>1.1661113668363399</v>
      </c>
      <c r="D20" s="20">
        <f>B20/'- 7 -'!$E20</f>
        <v>126.90119337867317</v>
      </c>
      <c r="E20" s="20">
        <v>275189</v>
      </c>
      <c r="F20" s="70">
        <f>E20/'- 3 -'!$D20*100</f>
        <v>0.32448955087141251</v>
      </c>
      <c r="G20" s="20">
        <f>E20/'- 7 -'!$E20</f>
        <v>35.312331579622736</v>
      </c>
    </row>
    <row r="21" spans="1:7" ht="14.1" customHeight="1" x14ac:dyDescent="0.2">
      <c r="A21" s="284" t="s">
        <v>119</v>
      </c>
      <c r="B21" s="285">
        <v>394384</v>
      </c>
      <c r="C21" s="291">
        <f>B21/'- 3 -'!$D21*100</f>
        <v>1.0712463691179084</v>
      </c>
      <c r="D21" s="285">
        <f>B21/'- 7 -'!$E21</f>
        <v>141.75256990870534</v>
      </c>
      <c r="E21" s="285">
        <v>84492</v>
      </c>
      <c r="F21" s="291">
        <f>E21/'- 3 -'!$D21*100</f>
        <v>0.22950157262847967</v>
      </c>
      <c r="G21" s="285">
        <f>E21/'- 7 -'!$E21</f>
        <v>30.368772913521674</v>
      </c>
    </row>
    <row r="22" spans="1:7" ht="14.1" customHeight="1" x14ac:dyDescent="0.2">
      <c r="A22" s="19" t="s">
        <v>120</v>
      </c>
      <c r="B22" s="20">
        <v>146755</v>
      </c>
      <c r="C22" s="70">
        <f>B22/'- 3 -'!$D22*100</f>
        <v>0.71160877795163446</v>
      </c>
      <c r="D22" s="20">
        <f>B22/'- 7 -'!$E22</f>
        <v>98.269050488817456</v>
      </c>
      <c r="E22" s="20">
        <v>25653</v>
      </c>
      <c r="F22" s="70">
        <f>E22/'- 3 -'!$D22*100</f>
        <v>0.12439031025037156</v>
      </c>
      <c r="G22" s="20">
        <f>E22/'- 7 -'!$E22</f>
        <v>17.17758135797509</v>
      </c>
    </row>
    <row r="23" spans="1:7" ht="14.1" customHeight="1" x14ac:dyDescent="0.2">
      <c r="A23" s="284" t="s">
        <v>121</v>
      </c>
      <c r="B23" s="285">
        <v>426741</v>
      </c>
      <c r="C23" s="291">
        <f>B23/'- 3 -'!$D23*100</f>
        <v>2.5763615248469729</v>
      </c>
      <c r="D23" s="285">
        <f>B23/'- 7 -'!$E23</f>
        <v>409.34388489208635</v>
      </c>
      <c r="E23" s="285">
        <v>26121</v>
      </c>
      <c r="F23" s="291">
        <f>E23/'- 3 -'!$D23*100</f>
        <v>0.15770019611550748</v>
      </c>
      <c r="G23" s="285">
        <f>E23/'- 7 -'!$E23</f>
        <v>25.056115107913669</v>
      </c>
    </row>
    <row r="24" spans="1:7" ht="14.1" customHeight="1" x14ac:dyDescent="0.2">
      <c r="A24" s="19" t="s">
        <v>122</v>
      </c>
      <c r="B24" s="20">
        <v>626682</v>
      </c>
      <c r="C24" s="70">
        <f>B24/'- 3 -'!$D24*100</f>
        <v>1.082883019096146</v>
      </c>
      <c r="D24" s="20">
        <f>B24/'- 7 -'!$E24</f>
        <v>161.0469508904479</v>
      </c>
      <c r="E24" s="20">
        <v>135570</v>
      </c>
      <c r="F24" s="70">
        <f>E24/'- 3 -'!$D24*100</f>
        <v>0.2342598812457746</v>
      </c>
      <c r="G24" s="20">
        <f>E24/'- 7 -'!$E24</f>
        <v>34.839256803638882</v>
      </c>
    </row>
    <row r="25" spans="1:7" ht="14.1" customHeight="1" x14ac:dyDescent="0.2">
      <c r="A25" s="284" t="s">
        <v>123</v>
      </c>
      <c r="B25" s="285">
        <v>1468155</v>
      </c>
      <c r="C25" s="291">
        <f>B25/'- 3 -'!$D25*100</f>
        <v>0.78490580619763017</v>
      </c>
      <c r="D25" s="285">
        <f>B25/'- 7 -'!$E25</f>
        <v>100.37499914539849</v>
      </c>
      <c r="E25" s="285">
        <v>711615</v>
      </c>
      <c r="F25" s="291">
        <f>E25/'- 3 -'!$D25*100</f>
        <v>0.38044398941346563</v>
      </c>
      <c r="G25" s="285">
        <f>E25/'- 7 -'!$E25</f>
        <v>48.651780647719583</v>
      </c>
    </row>
    <row r="26" spans="1:7" ht="14.1" customHeight="1" x14ac:dyDescent="0.2">
      <c r="A26" s="19" t="s">
        <v>124</v>
      </c>
      <c r="B26" s="20">
        <v>325468</v>
      </c>
      <c r="C26" s="70">
        <f>B26/'- 3 -'!$D26*100</f>
        <v>0.79802141845077956</v>
      </c>
      <c r="D26" s="20">
        <f>B26/'- 7 -'!$E26</f>
        <v>110.1414551607445</v>
      </c>
      <c r="E26" s="20">
        <v>300884</v>
      </c>
      <c r="F26" s="70">
        <f>E26/'- 3 -'!$D26*100</f>
        <v>0.737743423221774</v>
      </c>
      <c r="G26" s="20">
        <f>E26/'- 7 -'!$E26</f>
        <v>101.82199661590525</v>
      </c>
    </row>
    <row r="27" spans="1:7" ht="14.1" customHeight="1" x14ac:dyDescent="0.2">
      <c r="A27" s="284" t="s">
        <v>125</v>
      </c>
      <c r="B27" s="285">
        <v>177385</v>
      </c>
      <c r="C27" s="291">
        <f>B27/'- 3 -'!$D27*100</f>
        <v>0.43322058062621249</v>
      </c>
      <c r="D27" s="285">
        <f>B27/'- 7 -'!$E27</f>
        <v>58.525520472466923</v>
      </c>
      <c r="E27" s="285">
        <v>3246</v>
      </c>
      <c r="F27" s="291">
        <f>E27/'- 3 -'!$D27*100</f>
        <v>7.927581276391385E-3</v>
      </c>
      <c r="G27" s="285">
        <f>E27/'- 7 -'!$E27</f>
        <v>1.0709690191032366</v>
      </c>
    </row>
    <row r="28" spans="1:7" ht="14.1" customHeight="1" x14ac:dyDescent="0.2">
      <c r="A28" s="19" t="s">
        <v>126</v>
      </c>
      <c r="B28" s="20">
        <v>393632</v>
      </c>
      <c r="C28" s="70">
        <f>B28/'- 3 -'!$D28*100</f>
        <v>1.3622010188476819</v>
      </c>
      <c r="D28" s="20">
        <f>B28/'- 7 -'!$E28</f>
        <v>201.9143370094896</v>
      </c>
      <c r="E28" s="20">
        <v>0</v>
      </c>
      <c r="F28" s="70">
        <f>E28/'- 3 -'!$D28*100</f>
        <v>0</v>
      </c>
      <c r="G28" s="20">
        <f>E28/'- 7 -'!$E28</f>
        <v>0</v>
      </c>
    </row>
    <row r="29" spans="1:7" ht="14.1" customHeight="1" x14ac:dyDescent="0.2">
      <c r="A29" s="284" t="s">
        <v>127</v>
      </c>
      <c r="B29" s="285">
        <v>1370241</v>
      </c>
      <c r="C29" s="291">
        <f>B29/'- 3 -'!$D29*100</f>
        <v>0.84146169276442218</v>
      </c>
      <c r="D29" s="285">
        <f>B29/'- 7 -'!$E29</f>
        <v>102.31100060479807</v>
      </c>
      <c r="E29" s="285">
        <v>496131</v>
      </c>
      <c r="F29" s="291">
        <f>E29/'- 3 -'!$D29*100</f>
        <v>0.30467285031823271</v>
      </c>
      <c r="G29" s="285">
        <f>E29/'- 7 -'!$E29</f>
        <v>37.044329458145732</v>
      </c>
    </row>
    <row r="30" spans="1:7" ht="14.1" customHeight="1" x14ac:dyDescent="0.2">
      <c r="A30" s="19" t="s">
        <v>128</v>
      </c>
      <c r="B30" s="20">
        <v>129027</v>
      </c>
      <c r="C30" s="70">
        <f>B30/'- 3 -'!$D30*100</f>
        <v>0.87781280130231998</v>
      </c>
      <c r="D30" s="20">
        <f>B30/'- 7 -'!$E30</f>
        <v>128.10464654487689</v>
      </c>
      <c r="E30" s="20">
        <v>7411</v>
      </c>
      <c r="F30" s="70">
        <f>E30/'- 3 -'!$D30*100</f>
        <v>5.0419452288679834E-2</v>
      </c>
      <c r="G30" s="20">
        <f>E30/'- 7 -'!$E30</f>
        <v>7.3580222398729145</v>
      </c>
    </row>
    <row r="31" spans="1:7" ht="14.1" customHeight="1" x14ac:dyDescent="0.2">
      <c r="A31" s="284" t="s">
        <v>129</v>
      </c>
      <c r="B31" s="285">
        <v>289050</v>
      </c>
      <c r="C31" s="291">
        <f>B31/'- 3 -'!$D31*100</f>
        <v>0.76000950662643896</v>
      </c>
      <c r="D31" s="285">
        <f>B31/'- 7 -'!$E31</f>
        <v>87.315732237796041</v>
      </c>
      <c r="E31" s="285">
        <v>539916</v>
      </c>
      <c r="F31" s="291">
        <f>E31/'- 3 -'!$D31*100</f>
        <v>1.419620455906315</v>
      </c>
      <c r="G31" s="285">
        <f>E31/'- 7 -'!$E31</f>
        <v>163.09690671822136</v>
      </c>
    </row>
    <row r="32" spans="1:7" ht="14.1" customHeight="1" x14ac:dyDescent="0.2">
      <c r="A32" s="19" t="s">
        <v>130</v>
      </c>
      <c r="B32" s="20">
        <v>648017</v>
      </c>
      <c r="C32" s="70">
        <f>B32/'- 3 -'!$D32*100</f>
        <v>2.0640338227661927</v>
      </c>
      <c r="D32" s="20">
        <f>B32/'- 7 -'!$E32</f>
        <v>296.37182712096961</v>
      </c>
      <c r="E32" s="20">
        <v>1767</v>
      </c>
      <c r="F32" s="70">
        <f>E32/'- 3 -'!$D32*100</f>
        <v>5.6281667993707922E-3</v>
      </c>
      <c r="G32" s="20">
        <f>E32/'- 7 -'!$E32</f>
        <v>0.80814086439515209</v>
      </c>
    </row>
    <row r="33" spans="1:7" ht="14.1" customHeight="1" x14ac:dyDescent="0.2">
      <c r="A33" s="284" t="s">
        <v>131</v>
      </c>
      <c r="B33" s="285">
        <v>293525</v>
      </c>
      <c r="C33" s="291">
        <f>B33/'- 3 -'!$D33*100</f>
        <v>1.0353893450191025</v>
      </c>
      <c r="D33" s="285">
        <f>B33/'- 7 -'!$E33</f>
        <v>140.13415449250454</v>
      </c>
      <c r="E33" s="285">
        <v>11909</v>
      </c>
      <c r="F33" s="291">
        <f>E33/'- 3 -'!$D33*100</f>
        <v>4.2008182300766521E-2</v>
      </c>
      <c r="G33" s="285">
        <f>E33/'- 7 -'!$E33</f>
        <v>5.6855724243292274</v>
      </c>
    </row>
    <row r="34" spans="1:7" ht="14.1" customHeight="1" x14ac:dyDescent="0.2">
      <c r="A34" s="19" t="s">
        <v>132</v>
      </c>
      <c r="B34" s="20">
        <v>398945</v>
      </c>
      <c r="C34" s="70">
        <f>B34/'- 3 -'!$D34*100</f>
        <v>1.2976968105728923</v>
      </c>
      <c r="D34" s="20">
        <f>B34/'- 7 -'!$E34</f>
        <v>190.24377449905103</v>
      </c>
      <c r="E34" s="20">
        <v>109468</v>
      </c>
      <c r="F34" s="70">
        <f>E34/'- 3 -'!$D34*100</f>
        <v>0.35607984674527415</v>
      </c>
      <c r="G34" s="20">
        <f>E34/'- 7 -'!$E34</f>
        <v>52.201695739668672</v>
      </c>
    </row>
    <row r="35" spans="1:7" ht="14.1" customHeight="1" x14ac:dyDescent="0.2">
      <c r="A35" s="284" t="s">
        <v>133</v>
      </c>
      <c r="B35" s="285">
        <v>1967844</v>
      </c>
      <c r="C35" s="291">
        <f>B35/'- 3 -'!$D35*100</f>
        <v>1.0448861266050091</v>
      </c>
      <c r="D35" s="285">
        <f>B35/'- 7 -'!$E35</f>
        <v>124.08373794060155</v>
      </c>
      <c r="E35" s="285">
        <v>435246</v>
      </c>
      <c r="F35" s="291">
        <f>E35/'- 3 -'!$D35*100</f>
        <v>0.23110699174341245</v>
      </c>
      <c r="G35" s="285">
        <f>E35/'- 7 -'!$E35</f>
        <v>27.444731698089413</v>
      </c>
    </row>
    <row r="36" spans="1:7" ht="14.1" customHeight="1" x14ac:dyDescent="0.2">
      <c r="A36" s="19" t="s">
        <v>134</v>
      </c>
      <c r="B36" s="20">
        <v>184965</v>
      </c>
      <c r="C36" s="70">
        <f>B36/'- 3 -'!$D36*100</f>
        <v>0.78163257061421576</v>
      </c>
      <c r="D36" s="20">
        <f>B36/'- 7 -'!$E36</f>
        <v>109.39496096522356</v>
      </c>
      <c r="E36" s="20">
        <v>14224</v>
      </c>
      <c r="F36" s="70">
        <f>E36/'- 3 -'!$D36*100</f>
        <v>6.0108353928670859E-2</v>
      </c>
      <c r="G36" s="20">
        <f>E36/'- 7 -'!$E36</f>
        <v>8.4125857582209616</v>
      </c>
    </row>
    <row r="37" spans="1:7" ht="14.1" customHeight="1" x14ac:dyDescent="0.2">
      <c r="A37" s="284" t="s">
        <v>135</v>
      </c>
      <c r="B37" s="285">
        <v>500979</v>
      </c>
      <c r="C37" s="291">
        <f>B37/'- 3 -'!$D37*100</f>
        <v>0.95583806768071278</v>
      </c>
      <c r="D37" s="285">
        <f>B37/'- 7 -'!$E37</f>
        <v>119.42288438617402</v>
      </c>
      <c r="E37" s="285">
        <v>115610</v>
      </c>
      <c r="F37" s="291">
        <f>E37/'- 3 -'!$D37*100</f>
        <v>0.22057698826610939</v>
      </c>
      <c r="G37" s="285">
        <f>E37/'- 7 -'!$E37</f>
        <v>27.558998808104885</v>
      </c>
    </row>
    <row r="38" spans="1:7" ht="14.1" customHeight="1" x14ac:dyDescent="0.2">
      <c r="A38" s="19" t="s">
        <v>136</v>
      </c>
      <c r="B38" s="20">
        <v>1082341</v>
      </c>
      <c r="C38" s="70">
        <f>B38/'- 3 -'!$D38*100</f>
        <v>0.76841264520331409</v>
      </c>
      <c r="D38" s="20">
        <f>B38/'- 7 -'!$E38</f>
        <v>97.77951432804538</v>
      </c>
      <c r="E38" s="20">
        <v>1781860</v>
      </c>
      <c r="F38" s="70">
        <f>E38/'- 3 -'!$D38*100</f>
        <v>1.265039166013278</v>
      </c>
      <c r="G38" s="20">
        <f>E38/'- 7 -'!$E38</f>
        <v>160.97459617677879</v>
      </c>
    </row>
    <row r="39" spans="1:7" ht="14.1" customHeight="1" x14ac:dyDescent="0.2">
      <c r="A39" s="284" t="s">
        <v>137</v>
      </c>
      <c r="B39" s="285">
        <v>127563</v>
      </c>
      <c r="C39" s="291">
        <f>B39/'- 3 -'!$D39*100</f>
        <v>0.57225834317430646</v>
      </c>
      <c r="D39" s="285">
        <f>B39/'- 7 -'!$E39</f>
        <v>84.311302048909454</v>
      </c>
      <c r="E39" s="285">
        <v>34424</v>
      </c>
      <c r="F39" s="291">
        <f>E39/'- 3 -'!$D39*100</f>
        <v>0.15442895828282752</v>
      </c>
      <c r="G39" s="285">
        <f>E39/'- 7 -'!$E39</f>
        <v>22.75214805023133</v>
      </c>
    </row>
    <row r="40" spans="1:7" ht="14.1" customHeight="1" x14ac:dyDescent="0.2">
      <c r="A40" s="19" t="s">
        <v>138</v>
      </c>
      <c r="B40" s="20">
        <v>910618</v>
      </c>
      <c r="C40" s="70">
        <f>B40/'- 3 -'!$D40*100</f>
        <v>0.85963144516491929</v>
      </c>
      <c r="D40" s="20">
        <f>B40/'- 7 -'!$E40</f>
        <v>112.0471016721832</v>
      </c>
      <c r="E40" s="20">
        <v>234963</v>
      </c>
      <c r="F40" s="70">
        <f>E40/'- 3 -'!$D40*100</f>
        <v>0.22180714992486966</v>
      </c>
      <c r="G40" s="20">
        <f>E40/'- 7 -'!$E40</f>
        <v>28.911050682285197</v>
      </c>
    </row>
    <row r="41" spans="1:7" ht="14.1" customHeight="1" x14ac:dyDescent="0.2">
      <c r="A41" s="284" t="s">
        <v>139</v>
      </c>
      <c r="B41" s="285">
        <v>458585</v>
      </c>
      <c r="C41" s="291">
        <f>B41/'- 3 -'!$D41*100</f>
        <v>0.70621223138610223</v>
      </c>
      <c r="D41" s="285">
        <f>B41/'- 7 -'!$E41</f>
        <v>103.15712518276909</v>
      </c>
      <c r="E41" s="285">
        <v>37696</v>
      </c>
      <c r="F41" s="291">
        <f>E41/'- 3 -'!$D41*100</f>
        <v>5.8051127434020973E-2</v>
      </c>
      <c r="G41" s="285">
        <f>E41/'- 7 -'!$E41</f>
        <v>8.4795860983016542</v>
      </c>
    </row>
    <row r="42" spans="1:7" ht="14.1" customHeight="1" x14ac:dyDescent="0.2">
      <c r="A42" s="19" t="s">
        <v>140</v>
      </c>
      <c r="B42" s="20">
        <v>111762</v>
      </c>
      <c r="C42" s="70">
        <f>B42/'- 3 -'!$D42*100</f>
        <v>0.53553292742618885</v>
      </c>
      <c r="D42" s="20">
        <f>B42/'- 7 -'!$E42</f>
        <v>79.151558073654385</v>
      </c>
      <c r="E42" s="20">
        <v>19725</v>
      </c>
      <c r="F42" s="70">
        <f>E42/'- 3 -'!$D42*100</f>
        <v>9.4516803506393729E-2</v>
      </c>
      <c r="G42" s="20">
        <f>E42/'- 7 -'!$E42</f>
        <v>13.969546742209632</v>
      </c>
    </row>
    <row r="43" spans="1:7" ht="14.1" customHeight="1" x14ac:dyDescent="0.2">
      <c r="A43" s="284" t="s">
        <v>141</v>
      </c>
      <c r="B43" s="285">
        <v>146584</v>
      </c>
      <c r="C43" s="291">
        <f>B43/'- 3 -'!$D43*100</f>
        <v>1.0897168270643245</v>
      </c>
      <c r="D43" s="285">
        <f>B43/'- 7 -'!$E43</f>
        <v>151.2734778121775</v>
      </c>
      <c r="E43" s="285">
        <v>21507</v>
      </c>
      <c r="F43" s="291">
        <f>E43/'- 3 -'!$D43*100</f>
        <v>0.15988470637772489</v>
      </c>
      <c r="G43" s="285">
        <f>E43/'- 7 -'!$E43</f>
        <v>22.195046439628484</v>
      </c>
    </row>
    <row r="44" spans="1:7" ht="14.1" customHeight="1" x14ac:dyDescent="0.2">
      <c r="A44" s="19" t="s">
        <v>142</v>
      </c>
      <c r="B44" s="20">
        <v>49464</v>
      </c>
      <c r="C44" s="70">
        <f>B44/'- 3 -'!$D44*100</f>
        <v>0.45122802824462682</v>
      </c>
      <c r="D44" s="20">
        <f>B44/'- 7 -'!$E44</f>
        <v>71.273775216138333</v>
      </c>
      <c r="E44" s="20">
        <v>73265</v>
      </c>
      <c r="F44" s="70">
        <f>E44/'- 3 -'!$D44*100</f>
        <v>0.66834913248711347</v>
      </c>
      <c r="G44" s="20">
        <f>E44/'- 7 -'!$E44</f>
        <v>105.56916426512969</v>
      </c>
    </row>
    <row r="45" spans="1:7" ht="14.1" customHeight="1" x14ac:dyDescent="0.2">
      <c r="A45" s="284" t="s">
        <v>143</v>
      </c>
      <c r="B45" s="285">
        <v>127308</v>
      </c>
      <c r="C45" s="291">
        <f>B45/'- 3 -'!$D45*100</f>
        <v>0.63800828035599721</v>
      </c>
      <c r="D45" s="285">
        <f>B45/'- 7 -'!$E45</f>
        <v>73.673611111111114</v>
      </c>
      <c r="E45" s="285">
        <v>173367</v>
      </c>
      <c r="F45" s="291">
        <f>E45/'- 3 -'!$D45*100</f>
        <v>0.86883449225875975</v>
      </c>
      <c r="G45" s="285">
        <f>E45/'- 7 -'!$E45</f>
        <v>100.328125</v>
      </c>
    </row>
    <row r="46" spans="1:7" ht="14.1" customHeight="1" x14ac:dyDescent="0.2">
      <c r="A46" s="19" t="s">
        <v>144</v>
      </c>
      <c r="B46" s="20">
        <v>3045684</v>
      </c>
      <c r="C46" s="70">
        <f>B46/'- 3 -'!$D46*100</f>
        <v>0.76740095467276603</v>
      </c>
      <c r="D46" s="20">
        <f>B46/'- 7 -'!$E46</f>
        <v>101.86540731995278</v>
      </c>
      <c r="E46" s="20">
        <v>2790584</v>
      </c>
      <c r="F46" s="70">
        <f>E46/'- 3 -'!$D46*100</f>
        <v>0.70312508641557891</v>
      </c>
      <c r="G46" s="20">
        <f>E46/'- 7 -'!$E46</f>
        <v>93.333377927763721</v>
      </c>
    </row>
    <row r="47" spans="1:7" ht="5.0999999999999996" customHeight="1" x14ac:dyDescent="0.2">
      <c r="A47" s="21"/>
      <c r="B47" s="22"/>
      <c r="C47"/>
      <c r="D47" s="22"/>
      <c r="E47" s="22"/>
      <c r="F47"/>
      <c r="G47"/>
    </row>
    <row r="48" spans="1:7" ht="14.1" customHeight="1" x14ac:dyDescent="0.2">
      <c r="A48" s="286" t="s">
        <v>145</v>
      </c>
      <c r="B48" s="287">
        <f>SUM(B11:B46)</f>
        <v>21087778</v>
      </c>
      <c r="C48" s="294">
        <f>B48/'- 3 -'!$D48*100</f>
        <v>0.89472543813926619</v>
      </c>
      <c r="D48" s="287">
        <f>B48/'- 7 -'!$E48</f>
        <v>118.88552378420884</v>
      </c>
      <c r="E48" s="287">
        <f>SUM(E11:E46)</f>
        <v>11143646</v>
      </c>
      <c r="F48" s="294">
        <f>E48/'- 3 -'!$D48*100</f>
        <v>0.47280958429185294</v>
      </c>
      <c r="G48" s="287">
        <f>E48/'- 7 -'!$E48</f>
        <v>62.823982288499231</v>
      </c>
    </row>
    <row r="49" spans="1:10" ht="5.0999999999999996" customHeight="1" x14ac:dyDescent="0.2">
      <c r="A49" s="21" t="s">
        <v>7</v>
      </c>
      <c r="B49" s="22"/>
      <c r="C49"/>
      <c r="D49" s="22"/>
      <c r="E49" s="22"/>
      <c r="F49"/>
      <c r="G49"/>
    </row>
    <row r="50" spans="1:10" ht="14.1" customHeight="1" x14ac:dyDescent="0.2">
      <c r="A50" s="19" t="s">
        <v>146</v>
      </c>
      <c r="B50" s="20">
        <v>39432</v>
      </c>
      <c r="C50" s="70">
        <f>B50/'- 3 -'!$D50*100</f>
        <v>1.2181156709444256</v>
      </c>
      <c r="D50" s="20">
        <f>B50/'- 7 -'!$E50</f>
        <v>240.4390243902439</v>
      </c>
      <c r="E50" s="20">
        <v>62357</v>
      </c>
      <c r="F50" s="70">
        <f>E50/'- 3 -'!$D50*100</f>
        <v>1.9263044961726914</v>
      </c>
      <c r="G50" s="20">
        <f>E50/'- 7 -'!$E50</f>
        <v>380.22560975609758</v>
      </c>
    </row>
    <row r="51" spans="1:10" ht="14.1" customHeight="1" x14ac:dyDescent="0.2">
      <c r="A51" s="284" t="s">
        <v>607</v>
      </c>
      <c r="B51" s="285">
        <v>5631</v>
      </c>
      <c r="C51" s="291">
        <f>B51/'- 3 -'!$D51*100</f>
        <v>1.85526489153191E-2</v>
      </c>
      <c r="D51" s="285">
        <f>B51/'- 7 -'!$E51</f>
        <v>5.1755514705882355</v>
      </c>
      <c r="E51" s="285">
        <v>39523</v>
      </c>
      <c r="F51" s="291">
        <f>E51/'- 3 -'!$D51*100</f>
        <v>0.13021778424438943</v>
      </c>
      <c r="G51" s="285">
        <f>E51/'- 7 -'!$E51</f>
        <v>36.326286764705884</v>
      </c>
    </row>
    <row r="52" spans="1:10" ht="50.1" customHeight="1" x14ac:dyDescent="0.2">
      <c r="A52" s="23"/>
      <c r="B52" s="23"/>
      <c r="C52" s="23"/>
      <c r="D52" s="23"/>
      <c r="E52" s="23"/>
      <c r="F52" s="23"/>
      <c r="G52" s="23"/>
      <c r="H52" s="23"/>
      <c r="I52" s="23"/>
      <c r="J52" s="23"/>
    </row>
    <row r="53" spans="1:10" ht="15" customHeight="1" x14ac:dyDescent="0.2">
      <c r="A53" s="85" t="s">
        <v>346</v>
      </c>
    </row>
  </sheetData>
  <mergeCells count="4">
    <mergeCell ref="D8:D9"/>
    <mergeCell ref="G8:G9"/>
    <mergeCell ref="B6:D7"/>
    <mergeCell ref="E7:G7"/>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G52"/>
  <sheetViews>
    <sheetView showGridLines="0" showZeros="0" workbookViewId="0"/>
  </sheetViews>
  <sheetFormatPr defaultColWidth="15.83203125" defaultRowHeight="12" x14ac:dyDescent="0.2"/>
  <cols>
    <col min="1" max="1" width="32.83203125" style="2" customWidth="1"/>
    <col min="2" max="2" width="16.83203125" style="2" customWidth="1"/>
    <col min="3" max="3" width="15.83203125" style="2"/>
    <col min="4" max="4" width="17.83203125" style="2" customWidth="1"/>
    <col min="5" max="5" width="15.83203125" style="2"/>
    <col min="6" max="6" width="17.83203125" style="2" customWidth="1"/>
    <col min="7" max="16384" width="15.83203125" style="2"/>
  </cols>
  <sheetData>
    <row r="1" spans="1:7" ht="6.95" customHeight="1" x14ac:dyDescent="0.2">
      <c r="A1" s="7"/>
      <c r="B1" s="8"/>
      <c r="C1" s="8"/>
      <c r="D1" s="8"/>
      <c r="E1" s="8"/>
      <c r="F1" s="8"/>
      <c r="G1" s="8"/>
    </row>
    <row r="2" spans="1:7" ht="15.95" customHeight="1" x14ac:dyDescent="0.2">
      <c r="A2" s="134"/>
      <c r="B2" s="9" t="s">
        <v>263</v>
      </c>
      <c r="C2" s="10"/>
      <c r="D2" s="10"/>
      <c r="E2" s="10"/>
      <c r="F2" s="73"/>
      <c r="G2" s="395" t="s">
        <v>409</v>
      </c>
    </row>
    <row r="3" spans="1:7" ht="15.95" customHeight="1" x14ac:dyDescent="0.2">
      <c r="A3" s="11"/>
      <c r="B3" s="11" t="str">
        <f>OPYEAR</f>
        <v>OPERATING FUND 2017/2018 ACTUAL</v>
      </c>
      <c r="C3" s="12"/>
      <c r="D3" s="12"/>
      <c r="E3" s="12"/>
      <c r="F3" s="75"/>
      <c r="G3" s="66"/>
    </row>
    <row r="4" spans="1:7" ht="15.95" customHeight="1" x14ac:dyDescent="0.2">
      <c r="B4" s="8"/>
      <c r="C4" s="8"/>
      <c r="D4" s="8"/>
      <c r="E4" s="8"/>
      <c r="F4" s="8"/>
      <c r="G4" s="8"/>
    </row>
    <row r="5" spans="1:7" ht="15.95" customHeight="1" x14ac:dyDescent="0.2">
      <c r="B5" s="8"/>
      <c r="C5" s="8"/>
      <c r="D5" s="8"/>
      <c r="E5" s="8"/>
      <c r="F5" s="8"/>
      <c r="G5" s="8"/>
    </row>
    <row r="6" spans="1:7" ht="15.95" customHeight="1" x14ac:dyDescent="0.2">
      <c r="B6" s="164" t="s">
        <v>15</v>
      </c>
      <c r="C6" s="165"/>
      <c r="D6" s="166"/>
      <c r="E6" s="166"/>
      <c r="F6" s="166"/>
      <c r="G6" s="167"/>
    </row>
    <row r="7" spans="1:7" ht="15.95" customHeight="1" x14ac:dyDescent="0.2">
      <c r="B7" s="309"/>
      <c r="C7" s="310"/>
      <c r="D7" s="309"/>
      <c r="E7" s="310"/>
      <c r="F7" s="638" t="s">
        <v>498</v>
      </c>
      <c r="G7" s="639"/>
    </row>
    <row r="8" spans="1:7" ht="15.95" customHeight="1" x14ac:dyDescent="0.2">
      <c r="A8" s="67"/>
      <c r="B8" s="684" t="s">
        <v>19</v>
      </c>
      <c r="C8" s="644"/>
      <c r="D8" s="643" t="s">
        <v>34</v>
      </c>
      <c r="E8" s="644"/>
      <c r="F8" s="640"/>
      <c r="G8" s="641"/>
    </row>
    <row r="9" spans="1:7" ht="15.95" customHeight="1" x14ac:dyDescent="0.2">
      <c r="A9" s="35" t="s">
        <v>42</v>
      </c>
      <c r="B9" s="168" t="s">
        <v>43</v>
      </c>
      <c r="C9" s="168" t="s">
        <v>44</v>
      </c>
      <c r="D9" s="168" t="s">
        <v>43</v>
      </c>
      <c r="E9" s="168" t="s">
        <v>44</v>
      </c>
      <c r="F9" s="168" t="s">
        <v>43</v>
      </c>
      <c r="G9" s="168" t="s">
        <v>44</v>
      </c>
    </row>
    <row r="10" spans="1:7" ht="5.0999999999999996" customHeight="1" x14ac:dyDescent="0.2">
      <c r="A10" s="6"/>
    </row>
    <row r="11" spans="1:7" ht="14.1" customHeight="1" x14ac:dyDescent="0.2">
      <c r="A11" s="284" t="s">
        <v>110</v>
      </c>
      <c r="B11" s="285">
        <v>84790</v>
      </c>
      <c r="C11" s="291">
        <f>B11/'- 3 -'!$D11*100</f>
        <v>0.42845763135644871</v>
      </c>
      <c r="D11" s="285">
        <v>1070117</v>
      </c>
      <c r="E11" s="291">
        <f>D11/'- 3 -'!$D11*100</f>
        <v>5.4074748802248944</v>
      </c>
      <c r="F11" s="285">
        <v>12068</v>
      </c>
      <c r="G11" s="291">
        <f>F11/'- 3 -'!$D11*100</f>
        <v>6.0981562627781843E-2</v>
      </c>
    </row>
    <row r="12" spans="1:7" ht="14.1" customHeight="1" x14ac:dyDescent="0.2">
      <c r="A12" s="19" t="s">
        <v>111</v>
      </c>
      <c r="B12" s="20">
        <v>119019</v>
      </c>
      <c r="C12" s="70">
        <f>B12/'- 3 -'!$D12*100</f>
        <v>0.34959262071980796</v>
      </c>
      <c r="D12" s="20">
        <v>2127045</v>
      </c>
      <c r="E12" s="70">
        <f>D12/'- 3 -'!$D12*100</f>
        <v>6.2477355375105139</v>
      </c>
      <c r="F12" s="20">
        <v>0</v>
      </c>
      <c r="G12" s="70">
        <f>F12/'- 3 -'!$D12*100</f>
        <v>0</v>
      </c>
    </row>
    <row r="13" spans="1:7" ht="14.1" customHeight="1" x14ac:dyDescent="0.2">
      <c r="A13" s="284" t="s">
        <v>112</v>
      </c>
      <c r="B13" s="285">
        <v>216814</v>
      </c>
      <c r="C13" s="291">
        <f>B13/'- 3 -'!$D13*100</f>
        <v>0.21908827652684562</v>
      </c>
      <c r="D13" s="285">
        <v>2159596</v>
      </c>
      <c r="E13" s="291">
        <f>D13/'- 3 -'!$D13*100</f>
        <v>2.1822491427411039</v>
      </c>
      <c r="F13" s="285">
        <v>0</v>
      </c>
      <c r="G13" s="291">
        <f>F13/'- 3 -'!$D13*100</f>
        <v>0</v>
      </c>
    </row>
    <row r="14" spans="1:7" ht="14.1" customHeight="1" x14ac:dyDescent="0.2">
      <c r="A14" s="19" t="s">
        <v>359</v>
      </c>
      <c r="B14" s="20">
        <v>260739</v>
      </c>
      <c r="C14" s="70">
        <f>B14/'- 3 -'!$D14*100</f>
        <v>0.29608064552777802</v>
      </c>
      <c r="D14" s="20">
        <v>8176887</v>
      </c>
      <c r="E14" s="70">
        <f>D14/'- 3 -'!$D14*100</f>
        <v>9.2852161792738954</v>
      </c>
      <c r="F14" s="20">
        <v>261425</v>
      </c>
      <c r="G14" s="70">
        <f>F14/'- 3 -'!$D14*100</f>
        <v>0.29685962881310191</v>
      </c>
    </row>
    <row r="15" spans="1:7" ht="14.1" customHeight="1" x14ac:dyDescent="0.2">
      <c r="A15" s="284" t="s">
        <v>113</v>
      </c>
      <c r="B15" s="285">
        <v>83653</v>
      </c>
      <c r="C15" s="291">
        <f>B15/'- 3 -'!$D15*100</f>
        <v>0.41865346855347074</v>
      </c>
      <c r="D15" s="285">
        <v>1516088</v>
      </c>
      <c r="E15" s="291">
        <f>D15/'- 3 -'!$D15*100</f>
        <v>7.58748042308458</v>
      </c>
      <c r="F15" s="285">
        <v>5778</v>
      </c>
      <c r="G15" s="291">
        <f>F15/'- 3 -'!$D15*100</f>
        <v>2.8916831928346313E-2</v>
      </c>
    </row>
    <row r="16" spans="1:7" ht="14.1" customHeight="1" x14ac:dyDescent="0.2">
      <c r="A16" s="19" t="s">
        <v>114</v>
      </c>
      <c r="B16" s="20">
        <v>0</v>
      </c>
      <c r="C16" s="70">
        <f>B16/'- 3 -'!$D16*100</f>
        <v>0</v>
      </c>
      <c r="D16" s="20">
        <v>322980</v>
      </c>
      <c r="E16" s="70">
        <f>D16/'- 3 -'!$D16*100</f>
        <v>2.2327076111148441</v>
      </c>
      <c r="F16" s="20">
        <v>0</v>
      </c>
      <c r="G16" s="70">
        <f>F16/'- 3 -'!$D16*100</f>
        <v>0</v>
      </c>
    </row>
    <row r="17" spans="1:7" ht="14.1" customHeight="1" x14ac:dyDescent="0.2">
      <c r="A17" s="284" t="s">
        <v>115</v>
      </c>
      <c r="B17" s="285">
        <v>61561</v>
      </c>
      <c r="C17" s="291">
        <f>B17/'- 3 -'!$D17*100</f>
        <v>0.33569502983661964</v>
      </c>
      <c r="D17" s="285">
        <v>1366587</v>
      </c>
      <c r="E17" s="291">
        <f>D17/'- 3 -'!$D17*100</f>
        <v>7.4520632176107684</v>
      </c>
      <c r="F17" s="285">
        <v>0</v>
      </c>
      <c r="G17" s="291">
        <f>F17/'- 3 -'!$D17*100</f>
        <v>0</v>
      </c>
    </row>
    <row r="18" spans="1:7" ht="14.1" customHeight="1" x14ac:dyDescent="0.2">
      <c r="A18" s="19" t="s">
        <v>116</v>
      </c>
      <c r="B18" s="20">
        <v>330555</v>
      </c>
      <c r="C18" s="70">
        <f>B18/'- 3 -'!$D18*100</f>
        <v>0.24840012226015731</v>
      </c>
      <c r="D18" s="20">
        <v>7555526</v>
      </c>
      <c r="E18" s="70">
        <f>D18/'- 3 -'!$D18*100</f>
        <v>5.6777044126992395</v>
      </c>
      <c r="F18" s="20">
        <v>66956</v>
      </c>
      <c r="G18" s="70">
        <f>F18/'- 3 -'!$D18*100</f>
        <v>5.0315011377988814E-2</v>
      </c>
    </row>
    <row r="19" spans="1:7" ht="14.1" customHeight="1" x14ac:dyDescent="0.2">
      <c r="A19" s="284" t="s">
        <v>117</v>
      </c>
      <c r="B19" s="285">
        <v>152382</v>
      </c>
      <c r="C19" s="291">
        <f>B19/'- 3 -'!$D19*100</f>
        <v>0.30956026483124233</v>
      </c>
      <c r="D19" s="285">
        <v>2681409</v>
      </c>
      <c r="E19" s="291">
        <f>D19/'- 3 -'!$D19*100</f>
        <v>5.4472160764452271</v>
      </c>
      <c r="F19" s="285">
        <v>28575</v>
      </c>
      <c r="G19" s="291">
        <f>F19/'- 3 -'!$D19*100</f>
        <v>5.8049405884899458E-2</v>
      </c>
    </row>
    <row r="20" spans="1:7" ht="14.1" customHeight="1" x14ac:dyDescent="0.2">
      <c r="A20" s="19" t="s">
        <v>118</v>
      </c>
      <c r="B20" s="20">
        <v>360087</v>
      </c>
      <c r="C20" s="70">
        <f>B20/'- 3 -'!$D20*100</f>
        <v>0.42459716378428758</v>
      </c>
      <c r="D20" s="20">
        <v>3058301</v>
      </c>
      <c r="E20" s="70">
        <f>D20/'- 3 -'!$D20*100</f>
        <v>3.6062005309790424</v>
      </c>
      <c r="F20" s="20">
        <v>1380</v>
      </c>
      <c r="G20" s="70">
        <f>F20/'- 3 -'!$D20*100</f>
        <v>1.6272292141130248E-3</v>
      </c>
    </row>
    <row r="21" spans="1:7" ht="14.1" customHeight="1" x14ac:dyDescent="0.2">
      <c r="A21" s="284" t="s">
        <v>119</v>
      </c>
      <c r="B21" s="285">
        <v>156215</v>
      </c>
      <c r="C21" s="291">
        <f>B21/'- 3 -'!$D21*100</f>
        <v>0.42431932216254731</v>
      </c>
      <c r="D21" s="285">
        <v>1931615</v>
      </c>
      <c r="E21" s="291">
        <f>D21/'- 3 -'!$D21*100</f>
        <v>5.246753304605889</v>
      </c>
      <c r="F21" s="285">
        <v>0</v>
      </c>
      <c r="G21" s="291">
        <f>F21/'- 3 -'!$D21*100</f>
        <v>0</v>
      </c>
    </row>
    <row r="22" spans="1:7" ht="14.1" customHeight="1" x14ac:dyDescent="0.2">
      <c r="A22" s="19" t="s">
        <v>120</v>
      </c>
      <c r="B22" s="20">
        <v>97037</v>
      </c>
      <c r="C22" s="70">
        <f>B22/'- 3 -'!$D22*100</f>
        <v>0.4705283021777299</v>
      </c>
      <c r="D22" s="20">
        <v>358997</v>
      </c>
      <c r="E22" s="70">
        <f>D22/'- 3 -'!$D22*100</f>
        <v>1.7407612446479024</v>
      </c>
      <c r="F22" s="20">
        <v>1428</v>
      </c>
      <c r="G22" s="70">
        <f>F22/'- 3 -'!$D22*100</f>
        <v>6.9243115049908623E-3</v>
      </c>
    </row>
    <row r="23" spans="1:7" ht="14.1" customHeight="1" x14ac:dyDescent="0.2">
      <c r="A23" s="284" t="s">
        <v>121</v>
      </c>
      <c r="B23" s="285">
        <v>117075</v>
      </c>
      <c r="C23" s="291">
        <f>B23/'- 3 -'!$D23*100</f>
        <v>0.70681637227606275</v>
      </c>
      <c r="D23" s="285">
        <v>1559950</v>
      </c>
      <c r="E23" s="291">
        <f>D23/'- 3 -'!$D23*100</f>
        <v>9.4178791367247001</v>
      </c>
      <c r="F23" s="285">
        <v>0</v>
      </c>
      <c r="G23" s="291">
        <f>F23/'- 3 -'!$D23*100</f>
        <v>0</v>
      </c>
    </row>
    <row r="24" spans="1:7" ht="14.1" customHeight="1" x14ac:dyDescent="0.2">
      <c r="A24" s="19" t="s">
        <v>122</v>
      </c>
      <c r="B24" s="20">
        <v>209789</v>
      </c>
      <c r="C24" s="70">
        <f>B24/'- 3 -'!$D24*100</f>
        <v>0.36250753283668813</v>
      </c>
      <c r="D24" s="20">
        <v>2325502</v>
      </c>
      <c r="E24" s="70">
        <f>D24/'- 3 -'!$D24*100</f>
        <v>4.0183803375142819</v>
      </c>
      <c r="F24" s="20">
        <v>3172</v>
      </c>
      <c r="G24" s="70">
        <f>F24/'- 3 -'!$D24*100</f>
        <v>5.4810971698133586E-3</v>
      </c>
    </row>
    <row r="25" spans="1:7" ht="14.1" customHeight="1" x14ac:dyDescent="0.2">
      <c r="A25" s="284" t="s">
        <v>123</v>
      </c>
      <c r="B25" s="285">
        <v>390796</v>
      </c>
      <c r="C25" s="291">
        <f>B25/'- 3 -'!$D25*100</f>
        <v>0.20892756516771668</v>
      </c>
      <c r="D25" s="285">
        <v>3749175</v>
      </c>
      <c r="E25" s="291">
        <f>D25/'- 3 -'!$D25*100</f>
        <v>2.0043859306074632</v>
      </c>
      <c r="F25" s="285">
        <v>5799</v>
      </c>
      <c r="G25" s="291">
        <f>F25/'- 3 -'!$D25*100</f>
        <v>3.1002644612728612E-3</v>
      </c>
    </row>
    <row r="26" spans="1:7" ht="14.1" customHeight="1" x14ac:dyDescent="0.2">
      <c r="A26" s="19" t="s">
        <v>124</v>
      </c>
      <c r="B26" s="20">
        <v>237758</v>
      </c>
      <c r="C26" s="70">
        <f>B26/'- 3 -'!$D26*100</f>
        <v>0.58296353683932189</v>
      </c>
      <c r="D26" s="20">
        <v>2669323</v>
      </c>
      <c r="E26" s="70">
        <f>D26/'- 3 -'!$D26*100</f>
        <v>6.5449657931449172</v>
      </c>
      <c r="F26" s="20">
        <v>11265</v>
      </c>
      <c r="G26" s="70">
        <f>F26/'- 3 -'!$D26*100</f>
        <v>2.7620876027283883E-2</v>
      </c>
    </row>
    <row r="27" spans="1:7" ht="14.1" customHeight="1" x14ac:dyDescent="0.2">
      <c r="A27" s="284" t="s">
        <v>125</v>
      </c>
      <c r="B27" s="285">
        <v>0</v>
      </c>
      <c r="C27" s="291">
        <f>B27/'- 3 -'!$D27*100</f>
        <v>0</v>
      </c>
      <c r="D27" s="285">
        <v>0</v>
      </c>
      <c r="E27" s="291">
        <f>D27/'- 3 -'!$D27*100</f>
        <v>0</v>
      </c>
      <c r="F27" s="285">
        <v>194976</v>
      </c>
      <c r="G27" s="291">
        <f>F27/'- 3 -'!$D27*100</f>
        <v>0.47618240509725401</v>
      </c>
    </row>
    <row r="28" spans="1:7" ht="14.1" customHeight="1" x14ac:dyDescent="0.2">
      <c r="A28" s="19" t="s">
        <v>126</v>
      </c>
      <c r="B28" s="20">
        <v>55901</v>
      </c>
      <c r="C28" s="70">
        <f>B28/'- 3 -'!$D28*100</f>
        <v>0.19345073356486331</v>
      </c>
      <c r="D28" s="20">
        <v>1833205</v>
      </c>
      <c r="E28" s="70">
        <f>D28/'- 3 -'!$D28*100</f>
        <v>6.3439804659089329</v>
      </c>
      <c r="F28" s="20">
        <v>0</v>
      </c>
      <c r="G28" s="70">
        <f>F28/'- 3 -'!$D28*100</f>
        <v>0</v>
      </c>
    </row>
    <row r="29" spans="1:7" ht="14.1" customHeight="1" x14ac:dyDescent="0.2">
      <c r="A29" s="284" t="s">
        <v>127</v>
      </c>
      <c r="B29" s="285">
        <v>181959</v>
      </c>
      <c r="C29" s="291">
        <f>B29/'- 3 -'!$D29*100</f>
        <v>0.11174058297315692</v>
      </c>
      <c r="D29" s="285">
        <v>2696786</v>
      </c>
      <c r="E29" s="291">
        <f>D29/'- 3 -'!$D29*100</f>
        <v>1.6560897773336187</v>
      </c>
      <c r="F29" s="285">
        <v>97935</v>
      </c>
      <c r="G29" s="291">
        <f>F29/'- 3 -'!$D29*100</f>
        <v>6.014164725831711E-2</v>
      </c>
    </row>
    <row r="30" spans="1:7" ht="14.1" customHeight="1" x14ac:dyDescent="0.2">
      <c r="A30" s="19" t="s">
        <v>128</v>
      </c>
      <c r="B30" s="20">
        <v>88173</v>
      </c>
      <c r="C30" s="70">
        <f>B30/'- 3 -'!$D30*100</f>
        <v>0.59986970269191298</v>
      </c>
      <c r="D30" s="20">
        <v>1079014</v>
      </c>
      <c r="E30" s="70">
        <f>D30/'- 3 -'!$D30*100</f>
        <v>7.3408844814218845</v>
      </c>
      <c r="F30" s="20">
        <v>0</v>
      </c>
      <c r="G30" s="70">
        <f>F30/'- 3 -'!$D30*100</f>
        <v>0</v>
      </c>
    </row>
    <row r="31" spans="1:7" ht="14.1" customHeight="1" x14ac:dyDescent="0.2">
      <c r="A31" s="284" t="s">
        <v>129</v>
      </c>
      <c r="B31" s="285">
        <v>82575</v>
      </c>
      <c r="C31" s="291">
        <f>B31/'- 3 -'!$D31*100</f>
        <v>0.21711740186707557</v>
      </c>
      <c r="D31" s="285">
        <v>1010617</v>
      </c>
      <c r="E31" s="291">
        <f>D31/'- 3 -'!$D31*100</f>
        <v>2.6572514359394281</v>
      </c>
      <c r="F31" s="285">
        <v>2065</v>
      </c>
      <c r="G31" s="291">
        <f>F31/'- 3 -'!$D31*100</f>
        <v>5.4295783815381292E-3</v>
      </c>
    </row>
    <row r="32" spans="1:7" ht="14.1" customHeight="1" x14ac:dyDescent="0.2">
      <c r="A32" s="19" t="s">
        <v>130</v>
      </c>
      <c r="B32" s="20">
        <v>131006</v>
      </c>
      <c r="C32" s="70">
        <f>B32/'- 3 -'!$D32*100</f>
        <v>0.41727426130071865</v>
      </c>
      <c r="D32" s="20">
        <v>2076997</v>
      </c>
      <c r="E32" s="70">
        <f>D32/'- 3 -'!$D32*100</f>
        <v>6.6155549280094723</v>
      </c>
      <c r="F32" s="20">
        <v>0</v>
      </c>
      <c r="G32" s="70">
        <f>F32/'- 3 -'!$D32*100</f>
        <v>0</v>
      </c>
    </row>
    <row r="33" spans="1:7" ht="14.1" customHeight="1" x14ac:dyDescent="0.2">
      <c r="A33" s="284" t="s">
        <v>131</v>
      </c>
      <c r="B33" s="285">
        <v>118374</v>
      </c>
      <c r="C33" s="291">
        <f>B33/'- 3 -'!$D33*100</f>
        <v>0.41755618201955969</v>
      </c>
      <c r="D33" s="285">
        <v>2331130</v>
      </c>
      <c r="E33" s="291">
        <f>D33/'- 3 -'!$D33*100</f>
        <v>8.2229015036347182</v>
      </c>
      <c r="F33" s="285">
        <v>0</v>
      </c>
      <c r="G33" s="291">
        <f>F33/'- 3 -'!$D33*100</f>
        <v>0</v>
      </c>
    </row>
    <row r="34" spans="1:7" ht="14.1" customHeight="1" x14ac:dyDescent="0.2">
      <c r="A34" s="19" t="s">
        <v>132</v>
      </c>
      <c r="B34" s="20">
        <v>173193</v>
      </c>
      <c r="C34" s="70">
        <f>B34/'- 3 -'!$D34*100</f>
        <v>0.56336588681033972</v>
      </c>
      <c r="D34" s="20">
        <v>2536660</v>
      </c>
      <c r="E34" s="70">
        <f>D34/'- 3 -'!$D34*100</f>
        <v>8.2513017872334125</v>
      </c>
      <c r="F34" s="20">
        <v>2908</v>
      </c>
      <c r="G34" s="70">
        <f>F34/'- 3 -'!$D34*100</f>
        <v>9.459204464640417E-3</v>
      </c>
    </row>
    <row r="35" spans="1:7" ht="14.1" customHeight="1" x14ac:dyDescent="0.2">
      <c r="A35" s="284" t="s">
        <v>133</v>
      </c>
      <c r="B35" s="285">
        <v>405510</v>
      </c>
      <c r="C35" s="291">
        <f>B35/'- 3 -'!$D35*100</f>
        <v>0.21531776563568922</v>
      </c>
      <c r="D35" s="285">
        <v>4276441</v>
      </c>
      <c r="E35" s="291">
        <f>D35/'- 3 -'!$D35*100</f>
        <v>2.2707053364722261</v>
      </c>
      <c r="F35" s="285">
        <v>12941</v>
      </c>
      <c r="G35" s="291">
        <f>F35/'- 3 -'!$D35*100</f>
        <v>6.8714142810077528E-3</v>
      </c>
    </row>
    <row r="36" spans="1:7" ht="14.1" customHeight="1" x14ac:dyDescent="0.2">
      <c r="A36" s="19" t="s">
        <v>134</v>
      </c>
      <c r="B36" s="20">
        <v>57723</v>
      </c>
      <c r="C36" s="70">
        <f>B36/'- 3 -'!$D36*100</f>
        <v>0.24392818573008068</v>
      </c>
      <c r="D36" s="20">
        <v>1517092</v>
      </c>
      <c r="E36" s="70">
        <f>D36/'- 3 -'!$D36*100</f>
        <v>6.4109886725502756</v>
      </c>
      <c r="F36" s="20">
        <v>6675</v>
      </c>
      <c r="G36" s="70">
        <f>F36/'- 3 -'!$D36*100</f>
        <v>2.8207484707106156E-2</v>
      </c>
    </row>
    <row r="37" spans="1:7" ht="14.1" customHeight="1" x14ac:dyDescent="0.2">
      <c r="A37" s="284" t="s">
        <v>135</v>
      </c>
      <c r="B37" s="285">
        <v>246881</v>
      </c>
      <c r="C37" s="291">
        <f>B37/'- 3 -'!$D37*100</f>
        <v>0.47103423094996405</v>
      </c>
      <c r="D37" s="285">
        <v>3064865</v>
      </c>
      <c r="E37" s="291">
        <f>D37/'- 3 -'!$D37*100</f>
        <v>5.8475797175175961</v>
      </c>
      <c r="F37" s="285">
        <v>0</v>
      </c>
      <c r="G37" s="291">
        <f>F37/'- 3 -'!$D37*100</f>
        <v>0</v>
      </c>
    </row>
    <row r="38" spans="1:7" ht="14.1" customHeight="1" x14ac:dyDescent="0.2">
      <c r="A38" s="19" t="s">
        <v>136</v>
      </c>
      <c r="B38" s="20">
        <v>291210</v>
      </c>
      <c r="C38" s="70">
        <f>B38/'- 3 -'!$D38*100</f>
        <v>0.20674579121520584</v>
      </c>
      <c r="D38" s="20">
        <v>3062430</v>
      </c>
      <c r="E38" s="70">
        <f>D38/'- 3 -'!$D38*100</f>
        <v>2.1741853418192467</v>
      </c>
      <c r="F38" s="20">
        <v>213294</v>
      </c>
      <c r="G38" s="70">
        <f>F38/'- 3 -'!$D38*100</f>
        <v>0.15142899210691979</v>
      </c>
    </row>
    <row r="39" spans="1:7" ht="14.1" customHeight="1" x14ac:dyDescent="0.2">
      <c r="A39" s="284" t="s">
        <v>137</v>
      </c>
      <c r="B39" s="285">
        <v>87674</v>
      </c>
      <c r="C39" s="291">
        <f>B39/'- 3 -'!$D39*100</f>
        <v>0.3933129354081053</v>
      </c>
      <c r="D39" s="285">
        <v>2038557</v>
      </c>
      <c r="E39" s="291">
        <f>D39/'- 3 -'!$D39*100</f>
        <v>9.145138098715023</v>
      </c>
      <c r="F39" s="285">
        <v>0</v>
      </c>
      <c r="G39" s="291">
        <f>F39/'- 3 -'!$D39*100</f>
        <v>0</v>
      </c>
    </row>
    <row r="40" spans="1:7" ht="14.1" customHeight="1" x14ac:dyDescent="0.2">
      <c r="A40" s="19" t="s">
        <v>138</v>
      </c>
      <c r="B40" s="20">
        <v>142137</v>
      </c>
      <c r="C40" s="70">
        <f>B40/'- 3 -'!$D40*100</f>
        <v>0.13417858500645291</v>
      </c>
      <c r="D40" s="20">
        <v>2568406</v>
      </c>
      <c r="E40" s="70">
        <f>D40/'- 3 -'!$D40*100</f>
        <v>2.4245979780217937</v>
      </c>
      <c r="F40" s="20">
        <v>2411</v>
      </c>
      <c r="G40" s="70">
        <f>F40/'- 3 -'!$D40*100</f>
        <v>2.2760053219820172E-3</v>
      </c>
    </row>
    <row r="41" spans="1:7" ht="14.1" customHeight="1" x14ac:dyDescent="0.2">
      <c r="A41" s="284" t="s">
        <v>139</v>
      </c>
      <c r="B41" s="285">
        <v>469630</v>
      </c>
      <c r="C41" s="291">
        <f>B41/'- 3 -'!$D41*100</f>
        <v>0.72322132260290939</v>
      </c>
      <c r="D41" s="285">
        <v>4494286</v>
      </c>
      <c r="E41" s="291">
        <f>D41/'- 3 -'!$D41*100</f>
        <v>6.9211154846916481</v>
      </c>
      <c r="F41" s="285">
        <v>6446</v>
      </c>
      <c r="G41" s="291">
        <f>F41/'- 3 -'!$D41*100</f>
        <v>9.9267181515200337E-3</v>
      </c>
    </row>
    <row r="42" spans="1:7" ht="14.1" customHeight="1" x14ac:dyDescent="0.2">
      <c r="A42" s="19" t="s">
        <v>140</v>
      </c>
      <c r="B42" s="20">
        <v>123701</v>
      </c>
      <c r="C42" s="70">
        <f>B42/'- 3 -'!$D42*100</f>
        <v>0.59274134907702958</v>
      </c>
      <c r="D42" s="20">
        <v>1473133</v>
      </c>
      <c r="E42" s="70">
        <f>D42/'- 3 -'!$D42*100</f>
        <v>7.0588503067064279</v>
      </c>
      <c r="F42" s="20">
        <v>0</v>
      </c>
      <c r="G42" s="70">
        <f>F42/'- 3 -'!$D42*100</f>
        <v>0</v>
      </c>
    </row>
    <row r="43" spans="1:7" ht="14.1" customHeight="1" x14ac:dyDescent="0.2">
      <c r="A43" s="284" t="s">
        <v>141</v>
      </c>
      <c r="B43" s="285">
        <v>66076</v>
      </c>
      <c r="C43" s="291">
        <f>B43/'- 3 -'!$D43*100</f>
        <v>0.49121410976028962</v>
      </c>
      <c r="D43" s="285">
        <v>1083843</v>
      </c>
      <c r="E43" s="291">
        <f>D43/'- 3 -'!$D43*100</f>
        <v>8.0573729397197411</v>
      </c>
      <c r="F43" s="285">
        <v>0</v>
      </c>
      <c r="G43" s="291">
        <f>F43/'- 3 -'!$D43*100</f>
        <v>0</v>
      </c>
    </row>
    <row r="44" spans="1:7" ht="14.1" customHeight="1" x14ac:dyDescent="0.2">
      <c r="A44" s="19" t="s">
        <v>142</v>
      </c>
      <c r="B44" s="20">
        <v>51486</v>
      </c>
      <c r="C44" s="70">
        <f>B44/'- 3 -'!$D44*100</f>
        <v>0.46967342435312259</v>
      </c>
      <c r="D44" s="20">
        <v>1069298</v>
      </c>
      <c r="E44" s="70">
        <f>D44/'- 3 -'!$D44*100</f>
        <v>9.7545129416529797</v>
      </c>
      <c r="F44" s="20">
        <v>0</v>
      </c>
      <c r="G44" s="70">
        <f>F44/'- 3 -'!$D44*100</f>
        <v>0</v>
      </c>
    </row>
    <row r="45" spans="1:7" ht="14.1" customHeight="1" x14ac:dyDescent="0.2">
      <c r="A45" s="284" t="s">
        <v>143</v>
      </c>
      <c r="B45" s="285">
        <v>49292</v>
      </c>
      <c r="C45" s="291">
        <f>B45/'- 3 -'!$D45*100</f>
        <v>0.24702849903625707</v>
      </c>
      <c r="D45" s="285">
        <v>707832</v>
      </c>
      <c r="E45" s="291">
        <f>D45/'- 3 -'!$D45*100</f>
        <v>3.5473236332433649</v>
      </c>
      <c r="F45" s="285">
        <v>15963</v>
      </c>
      <c r="G45" s="291">
        <f>F45/'- 3 -'!$D45*100</f>
        <v>7.999910594246068E-2</v>
      </c>
    </row>
    <row r="46" spans="1:7" ht="14.1" customHeight="1" x14ac:dyDescent="0.2">
      <c r="A46" s="19" t="s">
        <v>144</v>
      </c>
      <c r="B46" s="20">
        <v>597340</v>
      </c>
      <c r="C46" s="70">
        <f>B46/'- 3 -'!$D46*100</f>
        <v>0.15050782887004366</v>
      </c>
      <c r="D46" s="20">
        <v>5868203</v>
      </c>
      <c r="E46" s="70">
        <f>D46/'- 3 -'!$D46*100</f>
        <v>1.4785724928829089</v>
      </c>
      <c r="F46" s="20">
        <v>0</v>
      </c>
      <c r="G46" s="70">
        <f>F46/'- 3 -'!$D46*100</f>
        <v>0</v>
      </c>
    </row>
    <row r="47" spans="1:7" ht="5.0999999999999996" customHeight="1" x14ac:dyDescent="0.2">
      <c r="A47"/>
      <c r="B47" s="22"/>
      <c r="C47"/>
      <c r="D47" s="22"/>
      <c r="E47"/>
      <c r="F47" s="22"/>
      <c r="G47"/>
    </row>
    <row r="48" spans="1:7" ht="14.1" customHeight="1" x14ac:dyDescent="0.2">
      <c r="A48" s="286" t="s">
        <v>145</v>
      </c>
      <c r="B48" s="287">
        <f>SUM(B11:B46)</f>
        <v>6298111</v>
      </c>
      <c r="C48" s="294">
        <f>B48/'- 3 -'!$D48*100</f>
        <v>0.26722019379778811</v>
      </c>
      <c r="D48" s="287">
        <f>SUM(D11:D46)</f>
        <v>87417893</v>
      </c>
      <c r="E48" s="294">
        <f>D48/'- 3 -'!$D48*100</f>
        <v>3.7090210554965295</v>
      </c>
      <c r="F48" s="287">
        <f>SUM(F11:F46)</f>
        <v>953460</v>
      </c>
      <c r="G48" s="294">
        <f>F48/'- 3 -'!$D48*100</f>
        <v>4.0453997393573887E-2</v>
      </c>
    </row>
    <row r="49" spans="1:7" ht="5.0999999999999996" customHeight="1" x14ac:dyDescent="0.2">
      <c r="A49" s="21" t="s">
        <v>7</v>
      </c>
      <c r="B49" s="22"/>
      <c r="C49"/>
      <c r="D49" s="22"/>
      <c r="E49"/>
      <c r="F49" s="22"/>
      <c r="G49"/>
    </row>
    <row r="50" spans="1:7" ht="14.1" customHeight="1" x14ac:dyDescent="0.2">
      <c r="A50" s="19" t="s">
        <v>146</v>
      </c>
      <c r="B50" s="20">
        <v>0</v>
      </c>
      <c r="C50" s="70">
        <f>B50/'- 3 -'!$D50*100</f>
        <v>0</v>
      </c>
      <c r="D50" s="20">
        <v>0</v>
      </c>
      <c r="E50" s="70">
        <f>D50/'- 3 -'!$D50*100</f>
        <v>0</v>
      </c>
      <c r="F50" s="20">
        <v>7520</v>
      </c>
      <c r="G50" s="70">
        <f>F50/'- 3 -'!$D50*100</f>
        <v>0.2323044696059566</v>
      </c>
    </row>
    <row r="51" spans="1:7" ht="14.1" customHeight="1" x14ac:dyDescent="0.2">
      <c r="A51" s="284" t="s">
        <v>607</v>
      </c>
      <c r="B51" s="285">
        <v>0</v>
      </c>
      <c r="C51" s="291">
        <f>B51/'- 3 -'!$D51*100</f>
        <v>0</v>
      </c>
      <c r="D51" s="285">
        <v>0</v>
      </c>
      <c r="E51" s="291">
        <f>D51/'- 3 -'!$D51*100</f>
        <v>0</v>
      </c>
      <c r="F51" s="285">
        <v>0</v>
      </c>
      <c r="G51" s="291">
        <f>F51/'- 3 -'!$D51*100</f>
        <v>0</v>
      </c>
    </row>
    <row r="52" spans="1:7" ht="50.1" customHeight="1" x14ac:dyDescent="0.2"/>
  </sheetData>
  <mergeCells count="3">
    <mergeCell ref="D8:E8"/>
    <mergeCell ref="B8:C8"/>
    <mergeCell ref="F7:G8"/>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G52"/>
  <sheetViews>
    <sheetView showGridLines="0" showZeros="0" workbookViewId="0"/>
  </sheetViews>
  <sheetFormatPr defaultColWidth="15.83203125" defaultRowHeight="12" x14ac:dyDescent="0.2"/>
  <cols>
    <col min="1" max="1" width="33.83203125" style="2" customWidth="1"/>
    <col min="2" max="2" width="19.83203125" style="2" customWidth="1"/>
    <col min="3" max="3" width="15.83203125" style="2"/>
    <col min="4" max="4" width="19.83203125" style="2" customWidth="1"/>
    <col min="5" max="5" width="15.83203125" style="2"/>
    <col min="6" max="6" width="11.83203125" style="2" customWidth="1"/>
    <col min="7" max="16384" width="15.83203125" style="2"/>
  </cols>
  <sheetData>
    <row r="1" spans="1:7" ht="6.95" customHeight="1" x14ac:dyDescent="0.2">
      <c r="A1" s="7"/>
      <c r="B1" s="8"/>
      <c r="C1" s="8"/>
      <c r="D1" s="8"/>
      <c r="E1" s="8"/>
      <c r="F1" s="8"/>
      <c r="G1" s="8"/>
    </row>
    <row r="2" spans="1:7" ht="15.95" customHeight="1" x14ac:dyDescent="0.2">
      <c r="A2" s="134"/>
      <c r="B2" s="9" t="s">
        <v>263</v>
      </c>
      <c r="C2" s="10"/>
      <c r="D2" s="10"/>
      <c r="E2" s="10"/>
      <c r="F2" s="73"/>
      <c r="G2" s="395" t="s">
        <v>410</v>
      </c>
    </row>
    <row r="3" spans="1:7" ht="15.95" customHeight="1" x14ac:dyDescent="0.2">
      <c r="A3" s="541"/>
      <c r="B3" s="11" t="str">
        <f>OPYEAR</f>
        <v>OPERATING FUND 2017/2018 ACTUAL</v>
      </c>
      <c r="C3" s="12"/>
      <c r="D3" s="12"/>
      <c r="E3" s="12"/>
      <c r="F3" s="75"/>
      <c r="G3" s="66"/>
    </row>
    <row r="4" spans="1:7" ht="15.95" customHeight="1" x14ac:dyDescent="0.2">
      <c r="B4" s="8"/>
      <c r="C4" s="8"/>
      <c r="D4" s="8"/>
      <c r="E4" s="8"/>
      <c r="F4" s="8"/>
      <c r="G4" s="8"/>
    </row>
    <row r="5" spans="1:7" ht="15.95" customHeight="1" x14ac:dyDescent="0.2">
      <c r="B5" s="8"/>
      <c r="C5" s="8"/>
      <c r="D5" s="8"/>
      <c r="E5" s="8"/>
      <c r="F5" s="8"/>
      <c r="G5" s="8"/>
    </row>
    <row r="6" spans="1:7" ht="15.95" customHeight="1" x14ac:dyDescent="0.2">
      <c r="B6" s="557" t="s">
        <v>15</v>
      </c>
      <c r="C6" s="72"/>
      <c r="D6" s="173"/>
      <c r="E6" s="174"/>
      <c r="F6" s="8"/>
      <c r="G6" s="43"/>
    </row>
    <row r="7" spans="1:7" ht="15.95" customHeight="1" x14ac:dyDescent="0.2">
      <c r="B7" s="665" t="s">
        <v>499</v>
      </c>
      <c r="C7" s="666"/>
      <c r="D7" s="685" t="s">
        <v>500</v>
      </c>
      <c r="E7" s="639"/>
      <c r="F7" s="69"/>
      <c r="G7" s="8"/>
    </row>
    <row r="8" spans="1:7" ht="15.95" customHeight="1" x14ac:dyDescent="0.2">
      <c r="A8" s="403"/>
      <c r="B8" s="667"/>
      <c r="C8" s="668"/>
      <c r="D8" s="672"/>
      <c r="E8" s="641"/>
      <c r="F8" s="8"/>
      <c r="G8" s="8"/>
    </row>
    <row r="9" spans="1:7" ht="15.95" customHeight="1" x14ac:dyDescent="0.2">
      <c r="A9" s="35" t="s">
        <v>42</v>
      </c>
      <c r="B9" s="77" t="s">
        <v>43</v>
      </c>
      <c r="C9" s="77" t="s">
        <v>44</v>
      </c>
      <c r="D9" s="168" t="s">
        <v>43</v>
      </c>
      <c r="E9" s="168" t="s">
        <v>44</v>
      </c>
    </row>
    <row r="10" spans="1:7" ht="5.0999999999999996" customHeight="1" x14ac:dyDescent="0.2">
      <c r="A10" s="6"/>
    </row>
    <row r="11" spans="1:7" ht="14.1" customHeight="1" x14ac:dyDescent="0.2">
      <c r="A11" s="284" t="s">
        <v>110</v>
      </c>
      <c r="B11" s="285">
        <v>0</v>
      </c>
      <c r="C11" s="291">
        <f>B11/'- 3 -'!$D11*100</f>
        <v>0</v>
      </c>
      <c r="D11" s="285">
        <v>151599</v>
      </c>
      <c r="E11" s="291">
        <f>D11/'- 3 -'!$D11*100</f>
        <v>0.76605435140943812</v>
      </c>
    </row>
    <row r="12" spans="1:7" ht="14.1" customHeight="1" x14ac:dyDescent="0.2">
      <c r="A12" s="19" t="s">
        <v>111</v>
      </c>
      <c r="B12" s="20">
        <v>0</v>
      </c>
      <c r="C12" s="70">
        <f>B12/'- 3 -'!$D12*100</f>
        <v>0</v>
      </c>
      <c r="D12" s="20">
        <v>300359</v>
      </c>
      <c r="E12" s="70">
        <f>D12/'- 3 -'!$D12*100</f>
        <v>0.88223972615112523</v>
      </c>
    </row>
    <row r="13" spans="1:7" ht="14.1" customHeight="1" x14ac:dyDescent="0.2">
      <c r="A13" s="284" t="s">
        <v>112</v>
      </c>
      <c r="B13" s="285">
        <v>0</v>
      </c>
      <c r="C13" s="291">
        <f>B13/'- 3 -'!$D13*100</f>
        <v>0</v>
      </c>
      <c r="D13" s="285">
        <v>78160</v>
      </c>
      <c r="E13" s="291">
        <f>D13/'- 3 -'!$D13*100</f>
        <v>7.897986150958082E-2</v>
      </c>
    </row>
    <row r="14" spans="1:7" ht="14.1" customHeight="1" x14ac:dyDescent="0.2">
      <c r="A14" s="19" t="s">
        <v>359</v>
      </c>
      <c r="B14" s="20">
        <v>0</v>
      </c>
      <c r="C14" s="70">
        <f>B14/'- 3 -'!$D14*100</f>
        <v>0</v>
      </c>
      <c r="D14" s="20">
        <v>678069</v>
      </c>
      <c r="E14" s="70">
        <f>D14/'- 3 -'!$D14*100</f>
        <v>0.76997728468842375</v>
      </c>
    </row>
    <row r="15" spans="1:7" ht="14.1" customHeight="1" x14ac:dyDescent="0.2">
      <c r="A15" s="284" t="s">
        <v>113</v>
      </c>
      <c r="B15" s="285">
        <v>0</v>
      </c>
      <c r="C15" s="291">
        <f>B15/'- 3 -'!$D15*100</f>
        <v>0</v>
      </c>
      <c r="D15" s="285">
        <v>113650</v>
      </c>
      <c r="E15" s="291">
        <f>D15/'- 3 -'!$D15*100</f>
        <v>0.56877776889175469</v>
      </c>
    </row>
    <row r="16" spans="1:7" ht="14.1" customHeight="1" x14ac:dyDescent="0.2">
      <c r="A16" s="19" t="s">
        <v>114</v>
      </c>
      <c r="B16" s="20">
        <v>0</v>
      </c>
      <c r="C16" s="70">
        <f>B16/'- 3 -'!$D16*100</f>
        <v>0</v>
      </c>
      <c r="D16" s="20">
        <v>108102</v>
      </c>
      <c r="E16" s="70">
        <f>D16/'- 3 -'!$D16*100</f>
        <v>0.74729134366442773</v>
      </c>
    </row>
    <row r="17" spans="1:5" ht="14.1" customHeight="1" x14ac:dyDescent="0.2">
      <c r="A17" s="284" t="s">
        <v>115</v>
      </c>
      <c r="B17" s="285">
        <v>0</v>
      </c>
      <c r="C17" s="291">
        <f>B17/'- 3 -'!$D17*100</f>
        <v>0</v>
      </c>
      <c r="D17" s="285">
        <v>46400</v>
      </c>
      <c r="E17" s="291">
        <f>D17/'- 3 -'!$D17*100</f>
        <v>0.25302138341513536</v>
      </c>
    </row>
    <row r="18" spans="1:5" ht="14.1" customHeight="1" x14ac:dyDescent="0.2">
      <c r="A18" s="19" t="s">
        <v>116</v>
      </c>
      <c r="B18" s="20">
        <v>2590053</v>
      </c>
      <c r="C18" s="70">
        <f>B18/'- 3 -'!$D18*100</f>
        <v>1.9463311154279535</v>
      </c>
      <c r="D18" s="20">
        <v>1031336</v>
      </c>
      <c r="E18" s="70">
        <f>D18/'- 3 -'!$D18*100</f>
        <v>0.77501168789248864</v>
      </c>
    </row>
    <row r="19" spans="1:5" ht="14.1" customHeight="1" x14ac:dyDescent="0.2">
      <c r="A19" s="284" t="s">
        <v>117</v>
      </c>
      <c r="B19" s="285">
        <v>0</v>
      </c>
      <c r="C19" s="291">
        <f>B19/'- 3 -'!$D19*100</f>
        <v>0</v>
      </c>
      <c r="D19" s="285">
        <v>167581</v>
      </c>
      <c r="E19" s="291">
        <f>D19/'- 3 -'!$D19*100</f>
        <v>0.34043665748372126</v>
      </c>
    </row>
    <row r="20" spans="1:5" ht="14.1" customHeight="1" x14ac:dyDescent="0.2">
      <c r="A20" s="19" t="s">
        <v>118</v>
      </c>
      <c r="B20" s="20">
        <v>0</v>
      </c>
      <c r="C20" s="70">
        <f>B20/'- 3 -'!$D20*100</f>
        <v>0</v>
      </c>
      <c r="D20" s="20">
        <v>529803</v>
      </c>
      <c r="E20" s="70">
        <f>D20/'- 3 -'!$D20*100</f>
        <v>0.62471805748168341</v>
      </c>
    </row>
    <row r="21" spans="1:5" ht="14.1" customHeight="1" x14ac:dyDescent="0.2">
      <c r="A21" s="284" t="s">
        <v>119</v>
      </c>
      <c r="B21" s="285">
        <v>0</v>
      </c>
      <c r="C21" s="291">
        <f>B21/'- 3 -'!$D21*100</f>
        <v>0</v>
      </c>
      <c r="D21" s="285">
        <v>128107</v>
      </c>
      <c r="E21" s="291">
        <f>D21/'- 3 -'!$D21*100</f>
        <v>0.34797090807078357</v>
      </c>
    </row>
    <row r="22" spans="1:5" ht="14.1" customHeight="1" x14ac:dyDescent="0.2">
      <c r="A22" s="19" t="s">
        <v>120</v>
      </c>
      <c r="B22" s="20">
        <v>0</v>
      </c>
      <c r="C22" s="70">
        <f>B22/'- 3 -'!$D22*100</f>
        <v>0</v>
      </c>
      <c r="D22" s="20">
        <v>48104</v>
      </c>
      <c r="E22" s="70">
        <f>D22/'- 3 -'!$D22*100</f>
        <v>0.23325425814851572</v>
      </c>
    </row>
    <row r="23" spans="1:5" ht="14.1" customHeight="1" x14ac:dyDescent="0.2">
      <c r="A23" s="284" t="s">
        <v>121</v>
      </c>
      <c r="B23" s="285">
        <v>0</v>
      </c>
      <c r="C23" s="291">
        <f>B23/'- 3 -'!$D23*100</f>
        <v>0</v>
      </c>
      <c r="D23" s="285">
        <v>0</v>
      </c>
      <c r="E23" s="291">
        <f>D23/'- 3 -'!$D23*100</f>
        <v>0</v>
      </c>
    </row>
    <row r="24" spans="1:5" ht="14.1" customHeight="1" x14ac:dyDescent="0.2">
      <c r="A24" s="19" t="s">
        <v>122</v>
      </c>
      <c r="B24" s="20">
        <v>0</v>
      </c>
      <c r="C24" s="70">
        <f>B24/'- 3 -'!$D24*100</f>
        <v>0</v>
      </c>
      <c r="D24" s="20">
        <v>91458</v>
      </c>
      <c r="E24" s="70">
        <f>D24/'- 3 -'!$D24*100</f>
        <v>0.15803599777956814</v>
      </c>
    </row>
    <row r="25" spans="1:5" ht="14.1" customHeight="1" x14ac:dyDescent="0.2">
      <c r="A25" s="284" t="s">
        <v>123</v>
      </c>
      <c r="B25" s="285">
        <v>0</v>
      </c>
      <c r="C25" s="291">
        <f>B25/'- 3 -'!$D25*100</f>
        <v>0</v>
      </c>
      <c r="D25" s="285">
        <v>89435</v>
      </c>
      <c r="E25" s="291">
        <f>D25/'- 3 -'!$D25*100</f>
        <v>4.7813787220889525E-2</v>
      </c>
    </row>
    <row r="26" spans="1:5" ht="14.1" customHeight="1" x14ac:dyDescent="0.2">
      <c r="A26" s="19" t="s">
        <v>124</v>
      </c>
      <c r="B26" s="20">
        <v>0</v>
      </c>
      <c r="C26" s="70">
        <f>B26/'- 3 -'!$D26*100</f>
        <v>0</v>
      </c>
      <c r="D26" s="20">
        <v>217976</v>
      </c>
      <c r="E26" s="70">
        <f>D26/'- 3 -'!$D26*100</f>
        <v>0.53445966026837388</v>
      </c>
    </row>
    <row r="27" spans="1:5" ht="14.1" customHeight="1" x14ac:dyDescent="0.2">
      <c r="A27" s="284" t="s">
        <v>125</v>
      </c>
      <c r="B27" s="285">
        <v>0</v>
      </c>
      <c r="C27" s="291">
        <f>B27/'- 3 -'!$D27*100</f>
        <v>0</v>
      </c>
      <c r="D27" s="285">
        <v>139543</v>
      </c>
      <c r="E27" s="291">
        <f>D27/'- 3 -'!$D27*100</f>
        <v>0.34080051572750553</v>
      </c>
    </row>
    <row r="28" spans="1:5" ht="14.1" customHeight="1" x14ac:dyDescent="0.2">
      <c r="A28" s="19" t="s">
        <v>126</v>
      </c>
      <c r="B28" s="20">
        <v>4000</v>
      </c>
      <c r="C28" s="70">
        <f>B28/'- 3 -'!$D28*100</f>
        <v>1.3842380892281948E-2</v>
      </c>
      <c r="D28" s="20">
        <v>169865</v>
      </c>
      <c r="E28" s="70">
        <f>D28/'- 3 -'!$D28*100</f>
        <v>0.58783400756686832</v>
      </c>
    </row>
    <row r="29" spans="1:5" ht="14.1" customHeight="1" x14ac:dyDescent="0.2">
      <c r="A29" s="284" t="s">
        <v>127</v>
      </c>
      <c r="B29" s="285">
        <v>0</v>
      </c>
      <c r="C29" s="291">
        <f>B29/'- 3 -'!$D29*100</f>
        <v>0</v>
      </c>
      <c r="D29" s="285">
        <v>612051</v>
      </c>
      <c r="E29" s="291">
        <f>D29/'- 3 -'!$D29*100</f>
        <v>0.37585904269260473</v>
      </c>
    </row>
    <row r="30" spans="1:5" ht="14.1" customHeight="1" x14ac:dyDescent="0.2">
      <c r="A30" s="19" t="s">
        <v>128</v>
      </c>
      <c r="B30" s="20">
        <v>0</v>
      </c>
      <c r="C30" s="70">
        <f>B30/'- 3 -'!$D30*100</f>
        <v>0</v>
      </c>
      <c r="D30" s="20">
        <v>46384</v>
      </c>
      <c r="E30" s="70">
        <f>D30/'- 3 -'!$D30*100</f>
        <v>0.31556549385482735</v>
      </c>
    </row>
    <row r="31" spans="1:5" ht="14.1" customHeight="1" x14ac:dyDescent="0.2">
      <c r="A31" s="284" t="s">
        <v>129</v>
      </c>
      <c r="B31" s="285">
        <v>0</v>
      </c>
      <c r="C31" s="291">
        <f>B31/'- 3 -'!$D31*100</f>
        <v>0</v>
      </c>
      <c r="D31" s="285">
        <v>33196</v>
      </c>
      <c r="E31" s="291">
        <f>D31/'- 3 -'!$D31*100</f>
        <v>8.7283430485975672E-2</v>
      </c>
    </row>
    <row r="32" spans="1:5" ht="14.1" customHeight="1" x14ac:dyDescent="0.2">
      <c r="A32" s="19" t="s">
        <v>130</v>
      </c>
      <c r="B32" s="20">
        <v>0</v>
      </c>
      <c r="C32" s="70">
        <f>B32/'- 3 -'!$D32*100</f>
        <v>0</v>
      </c>
      <c r="D32" s="20">
        <v>140111</v>
      </c>
      <c r="E32" s="70">
        <f>D32/'- 3 -'!$D32*100</f>
        <v>0.44627508682888573</v>
      </c>
    </row>
    <row r="33" spans="1:6" ht="14.1" customHeight="1" x14ac:dyDescent="0.2">
      <c r="A33" s="284" t="s">
        <v>131</v>
      </c>
      <c r="B33" s="285">
        <v>0</v>
      </c>
      <c r="C33" s="291">
        <f>B33/'- 3 -'!$D33*100</f>
        <v>0</v>
      </c>
      <c r="D33" s="285">
        <v>73793</v>
      </c>
      <c r="E33" s="291">
        <f>D33/'- 3 -'!$D33*100</f>
        <v>0.26029975619451373</v>
      </c>
    </row>
    <row r="34" spans="1:6" ht="14.1" customHeight="1" x14ac:dyDescent="0.2">
      <c r="A34" s="19" t="s">
        <v>132</v>
      </c>
      <c r="B34" s="20">
        <v>0</v>
      </c>
      <c r="C34" s="70">
        <f>B34/'- 3 -'!$D34*100</f>
        <v>0</v>
      </c>
      <c r="D34" s="20">
        <v>177487</v>
      </c>
      <c r="E34" s="70">
        <f>D34/'- 3 -'!$D34*100</f>
        <v>0.57733350165599506</v>
      </c>
    </row>
    <row r="35" spans="1:6" ht="14.1" customHeight="1" x14ac:dyDescent="0.2">
      <c r="A35" s="284" t="s">
        <v>133</v>
      </c>
      <c r="B35" s="285">
        <v>0</v>
      </c>
      <c r="C35" s="291">
        <f>B35/'- 3 -'!$D35*100</f>
        <v>0</v>
      </c>
      <c r="D35" s="285">
        <v>155245</v>
      </c>
      <c r="E35" s="291">
        <f>D35/'- 3 -'!$D35*100</f>
        <v>8.2432015304462466E-2</v>
      </c>
    </row>
    <row r="36" spans="1:6" ht="14.1" customHeight="1" x14ac:dyDescent="0.2">
      <c r="A36" s="19" t="s">
        <v>134</v>
      </c>
      <c r="B36" s="20">
        <v>0</v>
      </c>
      <c r="C36" s="70">
        <f>B36/'- 3 -'!$D36*100</f>
        <v>0</v>
      </c>
      <c r="D36" s="20">
        <v>102528</v>
      </c>
      <c r="E36" s="70">
        <f>D36/'- 3 -'!$D36*100</f>
        <v>0.43326696510115059</v>
      </c>
    </row>
    <row r="37" spans="1:6" ht="14.1" customHeight="1" x14ac:dyDescent="0.2">
      <c r="A37" s="284" t="s">
        <v>135</v>
      </c>
      <c r="B37" s="285">
        <v>242</v>
      </c>
      <c r="C37" s="291">
        <f>B37/'- 3 -'!$D37*100</f>
        <v>4.6172157391573797E-4</v>
      </c>
      <c r="D37" s="285">
        <v>94017</v>
      </c>
      <c r="E37" s="291">
        <f>D37/'- 3 -'!$D37*100</f>
        <v>0.17937883146626421</v>
      </c>
    </row>
    <row r="38" spans="1:6" ht="14.1" customHeight="1" x14ac:dyDescent="0.2">
      <c r="A38" s="19" t="s">
        <v>136</v>
      </c>
      <c r="B38" s="20">
        <v>0</v>
      </c>
      <c r="C38" s="70">
        <f>B38/'- 3 -'!$D38*100</f>
        <v>0</v>
      </c>
      <c r="D38" s="20">
        <v>484595</v>
      </c>
      <c r="E38" s="70">
        <f>D38/'- 3 -'!$D38*100</f>
        <v>0.34404030319677437</v>
      </c>
    </row>
    <row r="39" spans="1:6" ht="14.1" customHeight="1" x14ac:dyDescent="0.2">
      <c r="A39" s="284" t="s">
        <v>137</v>
      </c>
      <c r="B39" s="285">
        <v>0</v>
      </c>
      <c r="C39" s="291">
        <f>B39/'- 3 -'!$D39*100</f>
        <v>0</v>
      </c>
      <c r="D39" s="285">
        <v>15010</v>
      </c>
      <c r="E39" s="291">
        <f>D39/'- 3 -'!$D39*100</f>
        <v>6.7336122002824794E-2</v>
      </c>
    </row>
    <row r="40" spans="1:6" ht="14.1" customHeight="1" x14ac:dyDescent="0.2">
      <c r="A40" s="19" t="s">
        <v>138</v>
      </c>
      <c r="B40" s="20">
        <v>0</v>
      </c>
      <c r="C40" s="70">
        <f>B40/'- 3 -'!$D40*100</f>
        <v>0</v>
      </c>
      <c r="D40" s="20">
        <v>101001</v>
      </c>
      <c r="E40" s="70">
        <f>D40/'- 3 -'!$D40*100</f>
        <v>9.5345837215058377E-2</v>
      </c>
    </row>
    <row r="41" spans="1:6" ht="14.1" customHeight="1" x14ac:dyDescent="0.2">
      <c r="A41" s="284" t="s">
        <v>139</v>
      </c>
      <c r="B41" s="285">
        <v>0</v>
      </c>
      <c r="C41" s="291">
        <f>B41/'- 3 -'!$D41*100</f>
        <v>0</v>
      </c>
      <c r="D41" s="285">
        <v>137181</v>
      </c>
      <c r="E41" s="291">
        <f>D41/'- 3 -'!$D41*100</f>
        <v>0.21125614687304833</v>
      </c>
    </row>
    <row r="42" spans="1:6" ht="14.1" customHeight="1" x14ac:dyDescent="0.2">
      <c r="A42" s="19" t="s">
        <v>140</v>
      </c>
      <c r="B42" s="20">
        <v>0</v>
      </c>
      <c r="C42" s="70">
        <f>B42/'- 3 -'!$D42*100</f>
        <v>0</v>
      </c>
      <c r="D42" s="20">
        <v>88810</v>
      </c>
      <c r="E42" s="70">
        <f>D42/'- 3 -'!$D42*100</f>
        <v>0.42555322278341329</v>
      </c>
    </row>
    <row r="43" spans="1:6" ht="14.1" customHeight="1" x14ac:dyDescent="0.2">
      <c r="A43" s="284" t="s">
        <v>141</v>
      </c>
      <c r="B43" s="285">
        <v>0</v>
      </c>
      <c r="C43" s="291">
        <f>B43/'- 3 -'!$D43*100</f>
        <v>0</v>
      </c>
      <c r="D43" s="285">
        <v>64976</v>
      </c>
      <c r="E43" s="291">
        <f>D43/'- 3 -'!$D43*100</f>
        <v>0.48303662442921153</v>
      </c>
    </row>
    <row r="44" spans="1:6" ht="14.1" customHeight="1" x14ac:dyDescent="0.2">
      <c r="A44" s="19" t="s">
        <v>142</v>
      </c>
      <c r="B44" s="20">
        <v>0</v>
      </c>
      <c r="C44" s="70">
        <f>B44/'- 3 -'!$D44*100</f>
        <v>0</v>
      </c>
      <c r="D44" s="20">
        <v>51886</v>
      </c>
      <c r="E44" s="70">
        <f>D44/'- 3 -'!$D44*100</f>
        <v>0.47332236522522858</v>
      </c>
    </row>
    <row r="45" spans="1:6" ht="14.1" customHeight="1" x14ac:dyDescent="0.2">
      <c r="A45" s="284" t="s">
        <v>143</v>
      </c>
      <c r="B45" s="285">
        <v>0</v>
      </c>
      <c r="C45" s="291">
        <f>B45/'- 3 -'!$D45*100</f>
        <v>0</v>
      </c>
      <c r="D45" s="285">
        <v>95193</v>
      </c>
      <c r="E45" s="291">
        <f>D45/'- 3 -'!$D45*100</f>
        <v>0.4770628886788611</v>
      </c>
    </row>
    <row r="46" spans="1:6" ht="14.1" customHeight="1" x14ac:dyDescent="0.2">
      <c r="A46" s="19" t="s">
        <v>144</v>
      </c>
      <c r="B46" s="20">
        <v>0</v>
      </c>
      <c r="C46" s="70">
        <f>B46/'- 3 -'!$D46*100</f>
        <v>0</v>
      </c>
      <c r="D46" s="20">
        <v>556197</v>
      </c>
      <c r="E46" s="70">
        <f>D46/'- 3 -'!$D46*100</f>
        <v>0.14014129791079064</v>
      </c>
    </row>
    <row r="47" spans="1:6" ht="5.0999999999999996" customHeight="1" x14ac:dyDescent="0.2">
      <c r="A47"/>
      <c r="B47" s="22"/>
      <c r="C47"/>
      <c r="D47" s="22"/>
      <c r="E47"/>
    </row>
    <row r="48" spans="1:6" ht="14.1" customHeight="1" x14ac:dyDescent="0.2">
      <c r="A48" s="286" t="s">
        <v>145</v>
      </c>
      <c r="B48" s="287">
        <f>SUM(B11:B46)</f>
        <v>2594295</v>
      </c>
      <c r="C48" s="294">
        <f>B48/'- 3 -'!$D48*100</f>
        <v>0.11007237132985315</v>
      </c>
      <c r="D48" s="287">
        <f>SUM(D11:D46)</f>
        <v>7119208</v>
      </c>
      <c r="E48" s="294">
        <f>D48/'- 3 -'!$D48*100</f>
        <v>0.30205821101704355</v>
      </c>
      <c r="F48" s="6"/>
    </row>
    <row r="49" spans="1:5" ht="5.0999999999999996" customHeight="1" x14ac:dyDescent="0.2">
      <c r="A49" s="21" t="s">
        <v>7</v>
      </c>
      <c r="B49" s="22"/>
      <c r="C49"/>
      <c r="D49" s="22"/>
      <c r="E49"/>
    </row>
    <row r="50" spans="1:5" ht="14.1" customHeight="1" x14ac:dyDescent="0.2">
      <c r="A50" s="19" t="s">
        <v>146</v>
      </c>
      <c r="B50" s="20">
        <v>0</v>
      </c>
      <c r="C50" s="70">
        <f>B50/'- 3 -'!$D50*100</f>
        <v>0</v>
      </c>
      <c r="D50" s="20">
        <v>30841</v>
      </c>
      <c r="E50" s="70">
        <f>D50/'- 3 -'!$D50*100</f>
        <v>0.95272634935070588</v>
      </c>
    </row>
    <row r="51" spans="1:5" ht="14.1" customHeight="1" x14ac:dyDescent="0.2">
      <c r="A51" s="284" t="s">
        <v>607</v>
      </c>
      <c r="B51" s="285">
        <v>0</v>
      </c>
      <c r="C51" s="291">
        <f>B51/'- 3 -'!$D51*100</f>
        <v>0</v>
      </c>
      <c r="D51" s="285">
        <v>0</v>
      </c>
      <c r="E51" s="291">
        <f>D51/'- 3 -'!$D51*100</f>
        <v>0</v>
      </c>
    </row>
    <row r="52" spans="1:5" ht="50.1" customHeight="1" x14ac:dyDescent="0.2"/>
  </sheetData>
  <mergeCells count="2">
    <mergeCell ref="B7:C8"/>
    <mergeCell ref="D7:E8"/>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G52"/>
  <sheetViews>
    <sheetView showGridLines="0" showZeros="0" workbookViewId="0"/>
  </sheetViews>
  <sheetFormatPr defaultColWidth="15.83203125" defaultRowHeight="12" x14ac:dyDescent="0.2"/>
  <cols>
    <col min="1" max="1" width="33.83203125" style="2" customWidth="1"/>
    <col min="2" max="2" width="17.83203125" style="2" customWidth="1"/>
    <col min="3" max="3" width="14.83203125" style="2" customWidth="1"/>
    <col min="4" max="4" width="18.83203125" style="2" customWidth="1"/>
    <col min="5" max="5" width="14.83203125" style="2" customWidth="1"/>
    <col min="6" max="6" width="17.83203125" style="2" customWidth="1"/>
    <col min="7" max="7" width="14.83203125" style="2" customWidth="1"/>
    <col min="8" max="16384" width="15.83203125" style="2"/>
  </cols>
  <sheetData>
    <row r="1" spans="1:7" ht="6.95" customHeight="1" x14ac:dyDescent="0.2">
      <c r="A1" s="7"/>
      <c r="B1" s="8"/>
      <c r="C1" s="8"/>
      <c r="D1" s="8"/>
      <c r="E1" s="8"/>
      <c r="F1" s="8"/>
      <c r="G1" s="8"/>
    </row>
    <row r="2" spans="1:7" ht="15.95" customHeight="1" x14ac:dyDescent="0.2">
      <c r="A2" s="134"/>
      <c r="B2" s="9" t="s">
        <v>263</v>
      </c>
      <c r="C2" s="10"/>
      <c r="D2" s="158"/>
      <c r="E2" s="10"/>
      <c r="F2" s="73"/>
      <c r="G2" s="395" t="s">
        <v>411</v>
      </c>
    </row>
    <row r="3" spans="1:7" ht="15.95" customHeight="1" x14ac:dyDescent="0.2">
      <c r="A3" s="541"/>
      <c r="B3" s="11" t="str">
        <f>OPYEAR</f>
        <v>OPERATING FUND 2017/2018 ACTUAL</v>
      </c>
      <c r="C3" s="12"/>
      <c r="D3" s="159"/>
      <c r="E3" s="12"/>
      <c r="F3" s="75"/>
      <c r="G3" s="75"/>
    </row>
    <row r="4" spans="1:7" ht="15.95" customHeight="1" x14ac:dyDescent="0.2">
      <c r="B4" s="8"/>
      <c r="C4" s="8"/>
      <c r="D4" s="8"/>
      <c r="E4" s="8"/>
      <c r="F4" s="8"/>
      <c r="G4" s="8"/>
    </row>
    <row r="5" spans="1:7" ht="15.95" customHeight="1" x14ac:dyDescent="0.2">
      <c r="B5" s="8"/>
      <c r="C5" s="8"/>
      <c r="D5" s="8"/>
      <c r="E5" s="8"/>
      <c r="F5" s="8"/>
      <c r="G5" s="8"/>
    </row>
    <row r="6" spans="1:7" ht="15.95" customHeight="1" x14ac:dyDescent="0.2">
      <c r="B6" s="154" t="s">
        <v>16</v>
      </c>
      <c r="C6" s="165"/>
      <c r="D6" s="166"/>
      <c r="E6" s="166"/>
      <c r="F6" s="166"/>
      <c r="G6" s="167"/>
    </row>
    <row r="7" spans="1:7" ht="15.95" customHeight="1" x14ac:dyDescent="0.2">
      <c r="B7" s="318"/>
      <c r="C7" s="310"/>
      <c r="D7" s="686" t="s">
        <v>25</v>
      </c>
      <c r="E7" s="687"/>
      <c r="F7" s="687"/>
      <c r="G7" s="688"/>
    </row>
    <row r="8" spans="1:7" ht="15.95" customHeight="1" x14ac:dyDescent="0.2">
      <c r="A8" s="67"/>
      <c r="B8" s="684" t="s">
        <v>19</v>
      </c>
      <c r="C8" s="644"/>
      <c r="D8" s="643" t="s">
        <v>29</v>
      </c>
      <c r="E8" s="644"/>
      <c r="F8" s="643" t="s">
        <v>109</v>
      </c>
      <c r="G8" s="644"/>
    </row>
    <row r="9" spans="1:7" ht="15.95" customHeight="1" x14ac:dyDescent="0.2">
      <c r="A9" s="35" t="s">
        <v>42</v>
      </c>
      <c r="B9" s="168" t="s">
        <v>43</v>
      </c>
      <c r="C9" s="168" t="s">
        <v>44</v>
      </c>
      <c r="D9" s="168" t="s">
        <v>43</v>
      </c>
      <c r="E9" s="168" t="s">
        <v>44</v>
      </c>
      <c r="F9" s="168" t="s">
        <v>43</v>
      </c>
      <c r="G9" s="168" t="s">
        <v>44</v>
      </c>
    </row>
    <row r="10" spans="1:7" ht="5.0999999999999996" customHeight="1" x14ac:dyDescent="0.2">
      <c r="A10" s="6"/>
    </row>
    <row r="11" spans="1:7" ht="14.1" customHeight="1" x14ac:dyDescent="0.2">
      <c r="A11" s="284" t="s">
        <v>110</v>
      </c>
      <c r="B11" s="285">
        <v>49776</v>
      </c>
      <c r="C11" s="291">
        <f>B11/'- 3 -'!$D11*100</f>
        <v>0.25152620660925334</v>
      </c>
      <c r="D11" s="285">
        <v>1491200</v>
      </c>
      <c r="E11" s="291">
        <f>D11/'- 3 -'!$D11*100</f>
        <v>7.5352756206950851</v>
      </c>
      <c r="F11" s="285">
        <v>125799</v>
      </c>
      <c r="G11" s="291">
        <f>F11/'- 3 -'!$D11*100</f>
        <v>0.63568276408786273</v>
      </c>
    </row>
    <row r="12" spans="1:7" ht="14.1" customHeight="1" x14ac:dyDescent="0.2">
      <c r="A12" s="19" t="s">
        <v>111</v>
      </c>
      <c r="B12" s="20">
        <v>107396</v>
      </c>
      <c r="C12" s="70">
        <f>B12/'- 3 -'!$D12*100</f>
        <v>0.31545256719367909</v>
      </c>
      <c r="D12" s="20">
        <v>2845886</v>
      </c>
      <c r="E12" s="70">
        <f>D12/'- 3 -'!$D12*100</f>
        <v>8.359175803945682</v>
      </c>
      <c r="F12" s="20">
        <v>333113</v>
      </c>
      <c r="G12" s="70">
        <f>F12/'- 3 -'!$D12*100</f>
        <v>0.97844753077943325</v>
      </c>
    </row>
    <row r="13" spans="1:7" ht="14.1" customHeight="1" x14ac:dyDescent="0.2">
      <c r="A13" s="284" t="s">
        <v>112</v>
      </c>
      <c r="B13" s="285">
        <v>397683</v>
      </c>
      <c r="C13" s="291">
        <f>B13/'- 3 -'!$D13*100</f>
        <v>0.40185450696922503</v>
      </c>
      <c r="D13" s="285">
        <v>6623715</v>
      </c>
      <c r="E13" s="291">
        <f>D13/'- 3 -'!$D13*100</f>
        <v>6.6931946440498091</v>
      </c>
      <c r="F13" s="285">
        <v>668930</v>
      </c>
      <c r="G13" s="291">
        <f>F13/'- 3 -'!$D13*100</f>
        <v>0.6759467599744613</v>
      </c>
    </row>
    <row r="14" spans="1:7" ht="14.1" customHeight="1" x14ac:dyDescent="0.2">
      <c r="A14" s="19" t="s">
        <v>359</v>
      </c>
      <c r="B14" s="20">
        <v>199374</v>
      </c>
      <c r="C14" s="70">
        <f>B14/'- 3 -'!$D14*100</f>
        <v>0.2263979789040198</v>
      </c>
      <c r="D14" s="20">
        <v>8479126</v>
      </c>
      <c r="E14" s="70">
        <f>D14/'- 3 -'!$D14*100</f>
        <v>9.6284219069313242</v>
      </c>
      <c r="F14" s="20">
        <v>702153</v>
      </c>
      <c r="G14" s="70">
        <f>F14/'- 3 -'!$D14*100</f>
        <v>0.7973257299416886</v>
      </c>
    </row>
    <row r="15" spans="1:7" ht="14.1" customHeight="1" x14ac:dyDescent="0.2">
      <c r="A15" s="284" t="s">
        <v>113</v>
      </c>
      <c r="B15" s="285">
        <v>79394</v>
      </c>
      <c r="C15" s="291">
        <f>B15/'- 3 -'!$D15*100</f>
        <v>0.39733869057098081</v>
      </c>
      <c r="D15" s="285">
        <v>2112223</v>
      </c>
      <c r="E15" s="291">
        <f>D15/'- 3 -'!$D15*100</f>
        <v>10.570923760157051</v>
      </c>
      <c r="F15" s="285">
        <v>207988</v>
      </c>
      <c r="G15" s="291">
        <f>F15/'- 3 -'!$D15*100</f>
        <v>1.0409058565442875</v>
      </c>
    </row>
    <row r="16" spans="1:7" ht="14.1" customHeight="1" x14ac:dyDescent="0.2">
      <c r="A16" s="19" t="s">
        <v>114</v>
      </c>
      <c r="B16" s="20">
        <v>98698</v>
      </c>
      <c r="C16" s="70">
        <f>B16/'- 3 -'!$D16*100</f>
        <v>0.6822830385838532</v>
      </c>
      <c r="D16" s="20">
        <v>2047320</v>
      </c>
      <c r="E16" s="70">
        <f>D16/'- 3 -'!$D16*100</f>
        <v>14.152786384257981</v>
      </c>
      <c r="F16" s="20">
        <v>106339</v>
      </c>
      <c r="G16" s="70">
        <f>F16/'- 3 -'!$D16*100</f>
        <v>0.73510401467069608</v>
      </c>
    </row>
    <row r="17" spans="1:7" ht="14.1" customHeight="1" x14ac:dyDescent="0.2">
      <c r="A17" s="284" t="s">
        <v>115</v>
      </c>
      <c r="B17" s="285">
        <v>81759</v>
      </c>
      <c r="C17" s="291">
        <f>B17/'- 3 -'!$D17*100</f>
        <v>0.44583567428099258</v>
      </c>
      <c r="D17" s="285">
        <v>1609420</v>
      </c>
      <c r="E17" s="291">
        <f>D17/'- 3 -'!$D17*100</f>
        <v>8.7762429934480011</v>
      </c>
      <c r="F17" s="285">
        <v>56301</v>
      </c>
      <c r="G17" s="291">
        <f>F17/'- 3 -'!$D17*100</f>
        <v>0.30701200232016246</v>
      </c>
    </row>
    <row r="18" spans="1:7" ht="14.1" customHeight="1" x14ac:dyDescent="0.2">
      <c r="A18" s="19" t="s">
        <v>116</v>
      </c>
      <c r="B18" s="20">
        <v>910970</v>
      </c>
      <c r="C18" s="70">
        <f>B18/'- 3 -'!$D18*100</f>
        <v>0.68456099401108883</v>
      </c>
      <c r="D18" s="20">
        <v>17086257</v>
      </c>
      <c r="E18" s="70">
        <f>D18/'- 3 -'!$D18*100</f>
        <v>12.839703915440603</v>
      </c>
      <c r="F18" s="20">
        <v>2276359</v>
      </c>
      <c r="G18" s="70">
        <f>F18/'- 3 -'!$D18*100</f>
        <v>1.710601424598053</v>
      </c>
    </row>
    <row r="19" spans="1:7" ht="14.1" customHeight="1" x14ac:dyDescent="0.2">
      <c r="A19" s="284" t="s">
        <v>117</v>
      </c>
      <c r="B19" s="285">
        <v>121499</v>
      </c>
      <c r="C19" s="291">
        <f>B19/'- 3 -'!$D19*100</f>
        <v>0.24682221401957652</v>
      </c>
      <c r="D19" s="285">
        <v>3855933</v>
      </c>
      <c r="E19" s="291">
        <f>D19/'- 3 -'!$D19*100</f>
        <v>7.8332325383019432</v>
      </c>
      <c r="F19" s="285">
        <v>118942</v>
      </c>
      <c r="G19" s="291">
        <f>F19/'- 3 -'!$D19*100</f>
        <v>0.24162773175019112</v>
      </c>
    </row>
    <row r="20" spans="1:7" ht="14.1" customHeight="1" x14ac:dyDescent="0.2">
      <c r="A20" s="19" t="s">
        <v>118</v>
      </c>
      <c r="B20" s="20">
        <v>216995</v>
      </c>
      <c r="C20" s="70">
        <f>B20/'- 3 -'!$D20*100</f>
        <v>0.25587000240322888</v>
      </c>
      <c r="D20" s="20">
        <v>7377154</v>
      </c>
      <c r="E20" s="70">
        <f>D20/'- 3 -'!$D20*100</f>
        <v>8.6987829752251873</v>
      </c>
      <c r="F20" s="20">
        <v>701294</v>
      </c>
      <c r="G20" s="70">
        <f>F20/'- 3 -'!$D20*100</f>
        <v>0.8269319452769418</v>
      </c>
    </row>
    <row r="21" spans="1:7" ht="14.1" customHeight="1" x14ac:dyDescent="0.2">
      <c r="A21" s="284" t="s">
        <v>119</v>
      </c>
      <c r="B21" s="285">
        <v>154668</v>
      </c>
      <c r="C21" s="291">
        <f>B21/'- 3 -'!$D21*100</f>
        <v>0.42011728016027194</v>
      </c>
      <c r="D21" s="285">
        <v>2847802</v>
      </c>
      <c r="E21" s="291">
        <f>D21/'- 3 -'!$D21*100</f>
        <v>7.7353481694660999</v>
      </c>
      <c r="F21" s="285">
        <v>364409</v>
      </c>
      <c r="G21" s="291">
        <f>F21/'- 3 -'!$D21*100</f>
        <v>0.98982671235112973</v>
      </c>
    </row>
    <row r="22" spans="1:7" ht="14.1" customHeight="1" x14ac:dyDescent="0.2">
      <c r="A22" s="19" t="s">
        <v>120</v>
      </c>
      <c r="B22" s="20">
        <v>88933</v>
      </c>
      <c r="C22" s="70">
        <f>B22/'- 3 -'!$D22*100</f>
        <v>0.43123234949114309</v>
      </c>
      <c r="D22" s="20">
        <v>2208586</v>
      </c>
      <c r="E22" s="70">
        <f>D22/'- 3 -'!$D22*100</f>
        <v>10.709339950673494</v>
      </c>
      <c r="F22" s="20">
        <v>112562</v>
      </c>
      <c r="G22" s="70">
        <f>F22/'- 3 -'!$D22*100</f>
        <v>0.54580836948514111</v>
      </c>
    </row>
    <row r="23" spans="1:7" ht="14.1" customHeight="1" x14ac:dyDescent="0.2">
      <c r="A23" s="284" t="s">
        <v>121</v>
      </c>
      <c r="B23" s="285">
        <v>69371</v>
      </c>
      <c r="C23" s="291">
        <f>B23/'- 3 -'!$D23*100</f>
        <v>0.41881322708659197</v>
      </c>
      <c r="D23" s="285">
        <v>1239179</v>
      </c>
      <c r="E23" s="291">
        <f>D23/'- 3 -'!$D23*100</f>
        <v>7.481289817473237</v>
      </c>
      <c r="F23" s="285">
        <v>117167</v>
      </c>
      <c r="G23" s="291">
        <f>F23/'- 3 -'!$D23*100</f>
        <v>0.70737180346333084</v>
      </c>
    </row>
    <row r="24" spans="1:7" ht="14.1" customHeight="1" x14ac:dyDescent="0.2">
      <c r="A24" s="19" t="s">
        <v>122</v>
      </c>
      <c r="B24" s="20">
        <v>170894</v>
      </c>
      <c r="C24" s="70">
        <f>B24/'- 3 -'!$D24*100</f>
        <v>0.29529842993003907</v>
      </c>
      <c r="D24" s="20">
        <v>5661631</v>
      </c>
      <c r="E24" s="70">
        <f>D24/'- 3 -'!$D24*100</f>
        <v>9.7830862706896511</v>
      </c>
      <c r="F24" s="20">
        <v>310463</v>
      </c>
      <c r="G24" s="70">
        <f>F24/'- 3 -'!$D24*100</f>
        <v>0.53646843336436467</v>
      </c>
    </row>
    <row r="25" spans="1:7" ht="14.1" customHeight="1" x14ac:dyDescent="0.2">
      <c r="A25" s="284" t="s">
        <v>123</v>
      </c>
      <c r="B25" s="285">
        <v>697319</v>
      </c>
      <c r="C25" s="291">
        <f>B25/'- 3 -'!$D25*100</f>
        <v>0.37280105429734961</v>
      </c>
      <c r="D25" s="285">
        <v>17546798</v>
      </c>
      <c r="E25" s="291">
        <f>D25/'- 3 -'!$D25*100</f>
        <v>9.3808784701730854</v>
      </c>
      <c r="F25" s="285">
        <v>680817</v>
      </c>
      <c r="G25" s="291">
        <f>F25/'- 3 -'!$D25*100</f>
        <v>0.36397874628908533</v>
      </c>
    </row>
    <row r="26" spans="1:7" ht="14.1" customHeight="1" x14ac:dyDescent="0.2">
      <c r="A26" s="19" t="s">
        <v>124</v>
      </c>
      <c r="B26" s="20">
        <v>171047</v>
      </c>
      <c r="C26" s="70">
        <f>B26/'- 3 -'!$D26*100</f>
        <v>0.41939351813926556</v>
      </c>
      <c r="D26" s="20">
        <v>4121993</v>
      </c>
      <c r="E26" s="70">
        <f>D26/'- 3 -'!$D26*100</f>
        <v>10.106796061991298</v>
      </c>
      <c r="F26" s="20">
        <v>371348</v>
      </c>
      <c r="G26" s="70">
        <f>F26/'- 3 -'!$D26*100</f>
        <v>0.91051549675808396</v>
      </c>
    </row>
    <row r="27" spans="1:7" ht="14.1" customHeight="1" x14ac:dyDescent="0.2">
      <c r="A27" s="284" t="s">
        <v>125</v>
      </c>
      <c r="B27" s="285">
        <v>267783</v>
      </c>
      <c r="C27" s="291">
        <f>B27/'- 3 -'!$D27*100</f>
        <v>0.65399614816263529</v>
      </c>
      <c r="D27" s="285">
        <v>3657993</v>
      </c>
      <c r="E27" s="291">
        <f>D27/'- 3 -'!$D27*100</f>
        <v>8.9337759753452701</v>
      </c>
      <c r="F27" s="285">
        <v>328812</v>
      </c>
      <c r="G27" s="291">
        <f>F27/'- 3 -'!$D27*100</f>
        <v>0.80304493365767216</v>
      </c>
    </row>
    <row r="28" spans="1:7" ht="14.1" customHeight="1" x14ac:dyDescent="0.2">
      <c r="A28" s="19" t="s">
        <v>126</v>
      </c>
      <c r="B28" s="20">
        <v>48836</v>
      </c>
      <c r="C28" s="70">
        <f>B28/'- 3 -'!$D28*100</f>
        <v>0.16900162831387031</v>
      </c>
      <c r="D28" s="20">
        <v>2886003</v>
      </c>
      <c r="E28" s="70">
        <f>D28/'- 3 -'!$D28*100</f>
        <v>9.9872881955670962</v>
      </c>
      <c r="F28" s="20">
        <v>155867</v>
      </c>
      <c r="G28" s="70">
        <f>F28/'- 3 -'!$D28*100</f>
        <v>0.53939259563432762</v>
      </c>
    </row>
    <row r="29" spans="1:7" ht="14.1" customHeight="1" x14ac:dyDescent="0.2">
      <c r="A29" s="284" t="s">
        <v>127</v>
      </c>
      <c r="B29" s="285">
        <v>962264</v>
      </c>
      <c r="C29" s="291">
        <f>B29/'- 3 -'!$D29*100</f>
        <v>0.59092400119852195</v>
      </c>
      <c r="D29" s="285">
        <v>14402842</v>
      </c>
      <c r="E29" s="291">
        <f>D29/'- 3 -'!$D29*100</f>
        <v>8.8447505292415833</v>
      </c>
      <c r="F29" s="285">
        <v>3122603</v>
      </c>
      <c r="G29" s="291">
        <f>F29/'- 3 -'!$D29*100</f>
        <v>1.917582969865347</v>
      </c>
    </row>
    <row r="30" spans="1:7" ht="14.1" customHeight="1" x14ac:dyDescent="0.2">
      <c r="A30" s="19" t="s">
        <v>128</v>
      </c>
      <c r="B30" s="20">
        <v>121130</v>
      </c>
      <c r="C30" s="70">
        <f>B30/'- 3 -'!$D30*100</f>
        <v>0.82408693236105635</v>
      </c>
      <c r="D30" s="20">
        <v>1193668</v>
      </c>
      <c r="E30" s="70">
        <f>D30/'- 3 -'!$D30*100</f>
        <v>8.1209130717209401</v>
      </c>
      <c r="F30" s="20">
        <v>74604</v>
      </c>
      <c r="G30" s="70">
        <f>F30/'- 3 -'!$D30*100</f>
        <v>0.50755536615094732</v>
      </c>
    </row>
    <row r="31" spans="1:7" ht="14.1" customHeight="1" x14ac:dyDescent="0.2">
      <c r="A31" s="284" t="s">
        <v>129</v>
      </c>
      <c r="B31" s="285">
        <v>97458</v>
      </c>
      <c r="C31" s="291">
        <f>B31/'- 3 -'!$D31*100</f>
        <v>0.25624980625081983</v>
      </c>
      <c r="D31" s="285">
        <v>3333800</v>
      </c>
      <c r="E31" s="291">
        <f>D31/'- 3 -'!$D31*100</f>
        <v>8.7656796166449471</v>
      </c>
      <c r="F31" s="285">
        <v>92975</v>
      </c>
      <c r="G31" s="291">
        <f>F31/'- 3 -'!$D31*100</f>
        <v>0.24446249395811506</v>
      </c>
    </row>
    <row r="32" spans="1:7" ht="14.1" customHeight="1" x14ac:dyDescent="0.2">
      <c r="A32" s="19" t="s">
        <v>130</v>
      </c>
      <c r="B32" s="20">
        <v>125924</v>
      </c>
      <c r="C32" s="70">
        <f>B32/'- 3 -'!$D32*100</f>
        <v>0.40108730958911576</v>
      </c>
      <c r="D32" s="20">
        <v>2348005</v>
      </c>
      <c r="E32" s="70">
        <f>D32/'- 3 -'!$D32*100</f>
        <v>7.4787570943727317</v>
      </c>
      <c r="F32" s="20">
        <v>566147</v>
      </c>
      <c r="G32" s="70">
        <f>F32/'- 3 -'!$D32*100</f>
        <v>1.8032652795491659</v>
      </c>
    </row>
    <row r="33" spans="1:7" ht="14.1" customHeight="1" x14ac:dyDescent="0.2">
      <c r="A33" s="284" t="s">
        <v>131</v>
      </c>
      <c r="B33" s="285">
        <v>111037</v>
      </c>
      <c r="C33" s="291">
        <f>B33/'- 3 -'!$D33*100</f>
        <v>0.39167541675457324</v>
      </c>
      <c r="D33" s="285">
        <v>2577167</v>
      </c>
      <c r="E33" s="291">
        <f>D33/'- 3 -'!$D33*100</f>
        <v>9.090780179319804</v>
      </c>
      <c r="F33" s="285">
        <v>444454</v>
      </c>
      <c r="G33" s="291">
        <f>F33/'- 3 -'!$D33*100</f>
        <v>1.5677810610718688</v>
      </c>
    </row>
    <row r="34" spans="1:7" ht="14.1" customHeight="1" x14ac:dyDescent="0.2">
      <c r="A34" s="19" t="s">
        <v>132</v>
      </c>
      <c r="B34" s="20">
        <v>109417</v>
      </c>
      <c r="C34" s="70">
        <f>B34/'- 3 -'!$D34*100</f>
        <v>0.35591395285679522</v>
      </c>
      <c r="D34" s="20">
        <v>2274891</v>
      </c>
      <c r="E34" s="70">
        <f>D34/'- 3 -'!$D34*100</f>
        <v>7.3998139971699812</v>
      </c>
      <c r="F34" s="20">
        <v>362187</v>
      </c>
      <c r="G34" s="70">
        <f>F34/'- 3 -'!$D34*100</f>
        <v>1.1781296036570559</v>
      </c>
    </row>
    <row r="35" spans="1:7" ht="14.1" customHeight="1" x14ac:dyDescent="0.2">
      <c r="A35" s="284" t="s">
        <v>133</v>
      </c>
      <c r="B35" s="285">
        <v>807324</v>
      </c>
      <c r="C35" s="291">
        <f>B35/'- 3 -'!$D35*100</f>
        <v>0.42867302859132245</v>
      </c>
      <c r="D35" s="285">
        <v>18262340</v>
      </c>
      <c r="E35" s="291">
        <f>D35/'- 3 -'!$D35*100</f>
        <v>9.6969402581422717</v>
      </c>
      <c r="F35" s="285">
        <v>597208</v>
      </c>
      <c r="G35" s="291">
        <f>F35/'- 3 -'!$D35*100</f>
        <v>0.31710560079839878</v>
      </c>
    </row>
    <row r="36" spans="1:7" ht="14.1" customHeight="1" x14ac:dyDescent="0.2">
      <c r="A36" s="19" t="s">
        <v>134</v>
      </c>
      <c r="B36" s="20">
        <v>63487</v>
      </c>
      <c r="C36" s="70">
        <f>B36/'- 3 -'!$D36*100</f>
        <v>0.26828592982772265</v>
      </c>
      <c r="D36" s="20">
        <v>2487728</v>
      </c>
      <c r="E36" s="70">
        <f>D36/'- 3 -'!$D36*100</f>
        <v>10.512741500440418</v>
      </c>
      <c r="F36" s="20">
        <v>144153</v>
      </c>
      <c r="G36" s="70">
        <f>F36/'- 3 -'!$D36*100</f>
        <v>0.6091675719825429</v>
      </c>
    </row>
    <row r="37" spans="1:7" ht="14.1" customHeight="1" x14ac:dyDescent="0.2">
      <c r="A37" s="284" t="s">
        <v>135</v>
      </c>
      <c r="B37" s="285">
        <v>123868</v>
      </c>
      <c r="C37" s="291">
        <f>B37/'- 3 -'!$D37*100</f>
        <v>0.23633275999088693</v>
      </c>
      <c r="D37" s="285">
        <v>4036170</v>
      </c>
      <c r="E37" s="291">
        <f>D37/'- 3 -'!$D37*100</f>
        <v>7.7007717561631575</v>
      </c>
      <c r="F37" s="285">
        <v>443554</v>
      </c>
      <c r="G37" s="291">
        <f>F37/'- 3 -'!$D37*100</f>
        <v>0.84627459089512913</v>
      </c>
    </row>
    <row r="38" spans="1:7" ht="14.1" customHeight="1" x14ac:dyDescent="0.2">
      <c r="A38" s="19" t="s">
        <v>136</v>
      </c>
      <c r="B38" s="20">
        <v>562489</v>
      </c>
      <c r="C38" s="70">
        <f>B38/'- 3 -'!$D38*100</f>
        <v>0.39934148331049729</v>
      </c>
      <c r="D38" s="20">
        <v>10946847</v>
      </c>
      <c r="E38" s="70">
        <f>D38/'- 3 -'!$D38*100</f>
        <v>7.7717610807554767</v>
      </c>
      <c r="F38" s="20">
        <v>817149</v>
      </c>
      <c r="G38" s="70">
        <f>F38/'- 3 -'!$D38*100</f>
        <v>0.58013844492192657</v>
      </c>
    </row>
    <row r="39" spans="1:7" ht="14.1" customHeight="1" x14ac:dyDescent="0.2">
      <c r="A39" s="284" t="s">
        <v>137</v>
      </c>
      <c r="B39" s="285">
        <v>82034</v>
      </c>
      <c r="C39" s="291">
        <f>B39/'- 3 -'!$D39*100</f>
        <v>0.36801142121117453</v>
      </c>
      <c r="D39" s="285">
        <v>1954964</v>
      </c>
      <c r="E39" s="291">
        <f>D39/'- 3 -'!$D39*100</f>
        <v>8.7701328724270731</v>
      </c>
      <c r="F39" s="285">
        <v>138879</v>
      </c>
      <c r="G39" s="291">
        <f>F39/'- 3 -'!$D39*100</f>
        <v>0.62302287059495709</v>
      </c>
    </row>
    <row r="40" spans="1:7" ht="14.1" customHeight="1" x14ac:dyDescent="0.2">
      <c r="A40" s="19" t="s">
        <v>138</v>
      </c>
      <c r="B40" s="20">
        <v>493763</v>
      </c>
      <c r="C40" s="70">
        <f>B40/'- 3 -'!$D40*100</f>
        <v>0.4661166386552496</v>
      </c>
      <c r="D40" s="20">
        <v>8184158</v>
      </c>
      <c r="E40" s="70">
        <f>D40/'- 3 -'!$D40*100</f>
        <v>7.7259175296315634</v>
      </c>
      <c r="F40" s="20">
        <v>1459147</v>
      </c>
      <c r="G40" s="70">
        <f>F40/'- 3 -'!$D40*100</f>
        <v>1.3774476721501843</v>
      </c>
    </row>
    <row r="41" spans="1:7" ht="14.1" customHeight="1" x14ac:dyDescent="0.2">
      <c r="A41" s="284" t="s">
        <v>139</v>
      </c>
      <c r="B41" s="285">
        <v>195903</v>
      </c>
      <c r="C41" s="291">
        <f>B41/'- 3 -'!$D41*100</f>
        <v>0.30168691685343296</v>
      </c>
      <c r="D41" s="285">
        <v>5044606</v>
      </c>
      <c r="E41" s="291">
        <f>D41/'- 3 -'!$D41*100</f>
        <v>7.7685978820147179</v>
      </c>
      <c r="F41" s="285">
        <v>380764</v>
      </c>
      <c r="G41" s="291">
        <f>F41/'- 3 -'!$D41*100</f>
        <v>0.58636936243335003</v>
      </c>
    </row>
    <row r="42" spans="1:7" ht="14.1" customHeight="1" x14ac:dyDescent="0.2">
      <c r="A42" s="19" t="s">
        <v>140</v>
      </c>
      <c r="B42" s="20">
        <v>96777</v>
      </c>
      <c r="C42" s="70">
        <f>B42/'- 3 -'!$D42*100</f>
        <v>0.46372890711981068</v>
      </c>
      <c r="D42" s="20">
        <v>2073683</v>
      </c>
      <c r="E42" s="70">
        <f>D42/'- 3 -'!$D42*100</f>
        <v>9.9365216043370861</v>
      </c>
      <c r="F42" s="20">
        <v>301518</v>
      </c>
      <c r="G42" s="70">
        <f>F42/'- 3 -'!$D42*100</f>
        <v>1.4447917647473167</v>
      </c>
    </row>
    <row r="43" spans="1:7" ht="14.1" customHeight="1" x14ac:dyDescent="0.2">
      <c r="A43" s="284" t="s">
        <v>141</v>
      </c>
      <c r="B43" s="285">
        <v>16132</v>
      </c>
      <c r="C43" s="291">
        <f>B43/'- 3 -'!$D43*100</f>
        <v>0.11992653941904766</v>
      </c>
      <c r="D43" s="285">
        <v>804575</v>
      </c>
      <c r="E43" s="291">
        <f>D43/'- 3 -'!$D43*100</f>
        <v>5.9812729638656252</v>
      </c>
      <c r="F43" s="285">
        <v>129550</v>
      </c>
      <c r="G43" s="291">
        <f>F43/'- 3 -'!$D43*100</f>
        <v>0.96308474967379265</v>
      </c>
    </row>
    <row r="44" spans="1:7" ht="14.1" customHeight="1" x14ac:dyDescent="0.2">
      <c r="A44" s="19" t="s">
        <v>142</v>
      </c>
      <c r="B44" s="20">
        <v>50218</v>
      </c>
      <c r="C44" s="70">
        <f>B44/'- 3 -'!$D44*100</f>
        <v>0.45810628178854662</v>
      </c>
      <c r="D44" s="20">
        <v>958477</v>
      </c>
      <c r="E44" s="70">
        <f>D44/'- 3 -'!$D44*100</f>
        <v>8.7435647506838343</v>
      </c>
      <c r="F44" s="20">
        <v>72191</v>
      </c>
      <c r="G44" s="70">
        <f>F44/'- 3 -'!$D44*100</f>
        <v>0.65855172624550895</v>
      </c>
    </row>
    <row r="45" spans="1:7" ht="14.1" customHeight="1" x14ac:dyDescent="0.2">
      <c r="A45" s="284" t="s">
        <v>143</v>
      </c>
      <c r="B45" s="285">
        <v>49933</v>
      </c>
      <c r="C45" s="291">
        <f>B45/'- 3 -'!$D45*100</f>
        <v>0.25024089187652004</v>
      </c>
      <c r="D45" s="285">
        <v>1598652</v>
      </c>
      <c r="E45" s="291">
        <f>D45/'- 3 -'!$D45*100</f>
        <v>8.0116977205491864</v>
      </c>
      <c r="F45" s="285">
        <v>146993</v>
      </c>
      <c r="G45" s="291">
        <f>F45/'- 3 -'!$D45*100</f>
        <v>0.73666031321180991</v>
      </c>
    </row>
    <row r="46" spans="1:7" ht="14.1" customHeight="1" x14ac:dyDescent="0.2">
      <c r="A46" s="19" t="s">
        <v>144</v>
      </c>
      <c r="B46" s="20">
        <v>994369</v>
      </c>
      <c r="C46" s="70">
        <f>B46/'- 3 -'!$D46*100</f>
        <v>0.25054461326158711</v>
      </c>
      <c r="D46" s="20">
        <v>37986453</v>
      </c>
      <c r="E46" s="70">
        <f>D46/'- 3 -'!$D46*100</f>
        <v>9.5711965840291242</v>
      </c>
      <c r="F46" s="20">
        <v>4875362</v>
      </c>
      <c r="G46" s="70">
        <f>F46/'- 3 -'!$D46*100</f>
        <v>1.2284128797259748</v>
      </c>
    </row>
    <row r="47" spans="1:7" ht="5.0999999999999996" customHeight="1" x14ac:dyDescent="0.2">
      <c r="A47"/>
      <c r="B47" s="22"/>
      <c r="C47"/>
      <c r="D47" s="22"/>
      <c r="E47"/>
      <c r="F47" s="22"/>
      <c r="G47"/>
    </row>
    <row r="48" spans="1:7" ht="14.1" customHeight="1" x14ac:dyDescent="0.2">
      <c r="A48" s="286" t="s">
        <v>145</v>
      </c>
      <c r="B48" s="287">
        <f>SUM(B11:B46)</f>
        <v>8995922</v>
      </c>
      <c r="C48" s="294">
        <f>B48/'- 3 -'!$D48*100</f>
        <v>0.3816846067383991</v>
      </c>
      <c r="D48" s="287">
        <f>SUM(D11:D46)</f>
        <v>214167245</v>
      </c>
      <c r="E48" s="294">
        <f>D48/'- 3 -'!$D48*100</f>
        <v>9.0868218604020097</v>
      </c>
      <c r="F48" s="287">
        <f>SUM(F11:F46)</f>
        <v>21908101</v>
      </c>
      <c r="G48" s="294">
        <f>F48/'- 3 -'!$D48*100</f>
        <v>0.92953061560228389</v>
      </c>
    </row>
    <row r="49" spans="1:7" ht="5.0999999999999996" customHeight="1" x14ac:dyDescent="0.2">
      <c r="A49" s="21" t="s">
        <v>7</v>
      </c>
      <c r="B49" s="22"/>
      <c r="C49"/>
      <c r="D49" s="22"/>
      <c r="E49"/>
      <c r="F49" s="22"/>
      <c r="G49"/>
    </row>
    <row r="50" spans="1:7" ht="14.1" customHeight="1" x14ac:dyDescent="0.2">
      <c r="A50" s="19" t="s">
        <v>146</v>
      </c>
      <c r="B50" s="20">
        <v>28925</v>
      </c>
      <c r="C50" s="70">
        <f>B50/'- 3 -'!$D50*100</f>
        <v>0.89353813608408184</v>
      </c>
      <c r="D50" s="20">
        <v>398941</v>
      </c>
      <c r="E50" s="70">
        <f>D50/'- 3 -'!$D50*100</f>
        <v>12.323906570355046</v>
      </c>
      <c r="F50" s="20">
        <v>0</v>
      </c>
      <c r="G50" s="70">
        <f>F50/'- 3 -'!$D50*100</f>
        <v>0</v>
      </c>
    </row>
    <row r="51" spans="1:7" ht="14.1" customHeight="1" x14ac:dyDescent="0.2">
      <c r="A51" s="284" t="s">
        <v>607</v>
      </c>
      <c r="B51" s="285">
        <v>145816</v>
      </c>
      <c r="C51" s="291">
        <f>B51/'- 3 -'!$D51*100</f>
        <v>0.48042497855375066</v>
      </c>
      <c r="D51" s="285">
        <v>3781626</v>
      </c>
      <c r="E51" s="291">
        <f>D51/'- 3 -'!$D51*100</f>
        <v>12.459452940337863</v>
      </c>
      <c r="F51" s="285">
        <v>6115</v>
      </c>
      <c r="G51" s="291">
        <f>F51/'- 3 -'!$D51*100</f>
        <v>2.0147300322709342E-2</v>
      </c>
    </row>
    <row r="52" spans="1:7" ht="50.1" customHeight="1" x14ac:dyDescent="0.2"/>
  </sheetData>
  <mergeCells count="4">
    <mergeCell ref="D8:E8"/>
    <mergeCell ref="F8:G8"/>
    <mergeCell ref="D7:G7"/>
    <mergeCell ref="B8:C8"/>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F52"/>
  <sheetViews>
    <sheetView showGridLines="0" showZeros="0" workbookViewId="0"/>
  </sheetViews>
  <sheetFormatPr defaultColWidth="15.83203125" defaultRowHeight="12" x14ac:dyDescent="0.2"/>
  <cols>
    <col min="1" max="1" width="32.83203125" style="2" customWidth="1"/>
    <col min="2" max="2" width="19.83203125" style="2" customWidth="1"/>
    <col min="3" max="3" width="15.83203125" style="2" customWidth="1"/>
    <col min="4" max="4" width="19.83203125" style="2" customWidth="1"/>
    <col min="5" max="5" width="15.83203125" style="2"/>
    <col min="6" max="6" width="28.83203125" style="2" customWidth="1"/>
    <col min="7" max="16384" width="15.83203125" style="2"/>
  </cols>
  <sheetData>
    <row r="1" spans="1:6" ht="6.95" customHeight="1" x14ac:dyDescent="0.2">
      <c r="A1" s="7"/>
      <c r="B1" s="7"/>
      <c r="C1" s="7"/>
      <c r="D1" s="8"/>
      <c r="E1" s="8"/>
      <c r="F1" s="8"/>
    </row>
    <row r="2" spans="1:6" ht="15.95" customHeight="1" x14ac:dyDescent="0.2">
      <c r="A2" s="134"/>
      <c r="B2" s="9" t="s">
        <v>263</v>
      </c>
      <c r="C2" s="169"/>
      <c r="D2" s="158"/>
      <c r="E2" s="10"/>
      <c r="F2" s="395" t="s">
        <v>412</v>
      </c>
    </row>
    <row r="3" spans="1:6" ht="15.95" customHeight="1" x14ac:dyDescent="0.2">
      <c r="A3" s="541"/>
      <c r="B3" s="11" t="str">
        <f>OPYEAR</f>
        <v>OPERATING FUND 2017/2018 ACTUAL</v>
      </c>
      <c r="C3" s="29"/>
      <c r="D3" s="159"/>
      <c r="E3" s="12"/>
      <c r="F3" s="66"/>
    </row>
    <row r="4" spans="1:6" ht="15.95" customHeight="1" x14ac:dyDescent="0.2">
      <c r="D4" s="8"/>
      <c r="E4" s="8"/>
      <c r="F4" s="8"/>
    </row>
    <row r="5" spans="1:6" ht="15.95" customHeight="1" x14ac:dyDescent="0.2">
      <c r="D5" s="8"/>
      <c r="E5" s="8"/>
      <c r="F5" s="8"/>
    </row>
    <row r="6" spans="1:6" ht="15.95" customHeight="1" x14ac:dyDescent="0.2">
      <c r="B6" s="154" t="s">
        <v>16</v>
      </c>
      <c r="C6" s="166"/>
      <c r="D6" s="39"/>
      <c r="E6" s="170"/>
      <c r="F6" s="43"/>
    </row>
    <row r="7" spans="1:6" ht="15.95" customHeight="1" x14ac:dyDescent="0.2">
      <c r="B7" s="360"/>
      <c r="C7" s="310"/>
      <c r="D7" s="360"/>
      <c r="E7" s="310"/>
      <c r="F7" s="8"/>
    </row>
    <row r="8" spans="1:6" ht="15.95" customHeight="1" x14ac:dyDescent="0.2">
      <c r="A8" s="67"/>
      <c r="B8" s="684" t="s">
        <v>35</v>
      </c>
      <c r="C8" s="644"/>
      <c r="D8" s="643" t="s">
        <v>36</v>
      </c>
      <c r="E8" s="644"/>
      <c r="F8" s="8"/>
    </row>
    <row r="9" spans="1:6" ht="15.95" customHeight="1" x14ac:dyDescent="0.2">
      <c r="A9" s="35" t="s">
        <v>42</v>
      </c>
      <c r="B9" s="168" t="s">
        <v>43</v>
      </c>
      <c r="C9" s="168" t="s">
        <v>44</v>
      </c>
      <c r="D9" s="171" t="s">
        <v>43</v>
      </c>
      <c r="E9" s="168" t="s">
        <v>44</v>
      </c>
    </row>
    <row r="10" spans="1:6" ht="5.0999999999999996" customHeight="1" x14ac:dyDescent="0.2">
      <c r="A10" s="6"/>
    </row>
    <row r="11" spans="1:6" ht="14.1" customHeight="1" x14ac:dyDescent="0.2">
      <c r="A11" s="284" t="s">
        <v>110</v>
      </c>
      <c r="B11" s="285">
        <v>78420</v>
      </c>
      <c r="C11" s="291">
        <f>B11/'- 3 -'!$D11*100</f>
        <v>0.39626898750999773</v>
      </c>
      <c r="D11" s="285">
        <v>23226</v>
      </c>
      <c r="E11" s="291">
        <f>D11/'- 3 -'!$D11*100</f>
        <v>0.11736474756321354</v>
      </c>
    </row>
    <row r="12" spans="1:6" ht="14.1" customHeight="1" x14ac:dyDescent="0.2">
      <c r="A12" s="19" t="s">
        <v>111</v>
      </c>
      <c r="B12" s="20">
        <v>267745</v>
      </c>
      <c r="C12" s="70">
        <f>B12/'- 3 -'!$D12*100</f>
        <v>0.78644314130201876</v>
      </c>
      <c r="D12" s="20">
        <v>78300</v>
      </c>
      <c r="E12" s="70">
        <f>D12/'- 3 -'!$D12*100</f>
        <v>0.2299893479390766</v>
      </c>
    </row>
    <row r="13" spans="1:6" ht="14.1" customHeight="1" x14ac:dyDescent="0.2">
      <c r="A13" s="284" t="s">
        <v>112</v>
      </c>
      <c r="B13" s="285">
        <v>315824</v>
      </c>
      <c r="C13" s="291">
        <f>B13/'- 3 -'!$D13*100</f>
        <v>0.31913684469552012</v>
      </c>
      <c r="D13" s="285">
        <v>166649</v>
      </c>
      <c r="E13" s="291">
        <f>D13/'- 3 -'!$D13*100</f>
        <v>0.1683970693540191</v>
      </c>
    </row>
    <row r="14" spans="1:6" ht="14.1" customHeight="1" x14ac:dyDescent="0.2">
      <c r="A14" s="19" t="s">
        <v>359</v>
      </c>
      <c r="B14" s="20">
        <v>406020</v>
      </c>
      <c r="C14" s="70">
        <f>B14/'- 3 -'!$D14*100</f>
        <v>0.46105363485013146</v>
      </c>
      <c r="D14" s="20">
        <v>249535</v>
      </c>
      <c r="E14" s="70">
        <f>D14/'- 3 -'!$D14*100</f>
        <v>0.28335800889692025</v>
      </c>
    </row>
    <row r="15" spans="1:6" ht="14.1" customHeight="1" x14ac:dyDescent="0.2">
      <c r="A15" s="284" t="s">
        <v>113</v>
      </c>
      <c r="B15" s="285">
        <v>100441</v>
      </c>
      <c r="C15" s="291">
        <f>B15/'- 3 -'!$D15*100</f>
        <v>0.502671428818801</v>
      </c>
      <c r="D15" s="285">
        <v>67271</v>
      </c>
      <c r="E15" s="291">
        <f>D15/'- 3 -'!$D15*100</f>
        <v>0.33666739367459064</v>
      </c>
    </row>
    <row r="16" spans="1:6" ht="14.1" customHeight="1" x14ac:dyDescent="0.2">
      <c r="A16" s="19" t="s">
        <v>114</v>
      </c>
      <c r="B16" s="20">
        <v>45957</v>
      </c>
      <c r="C16" s="70">
        <f>B16/'- 3 -'!$D16*100</f>
        <v>0.31769318126201279</v>
      </c>
      <c r="D16" s="20">
        <v>34913</v>
      </c>
      <c r="E16" s="70">
        <f>D16/'- 3 -'!$D16*100</f>
        <v>0.24134782595471097</v>
      </c>
    </row>
    <row r="17" spans="1:5" ht="14.1" customHeight="1" x14ac:dyDescent="0.2">
      <c r="A17" s="284" t="s">
        <v>115</v>
      </c>
      <c r="B17" s="285">
        <v>101344</v>
      </c>
      <c r="C17" s="291">
        <f>B17/'- 3 -'!$D17*100</f>
        <v>0.55263360087981639</v>
      </c>
      <c r="D17" s="285">
        <v>48909</v>
      </c>
      <c r="E17" s="291">
        <f>D17/'- 3 -'!$D17*100</f>
        <v>0.26670307847954433</v>
      </c>
    </row>
    <row r="18" spans="1:5" ht="14.1" customHeight="1" x14ac:dyDescent="0.2">
      <c r="A18" s="19" t="s">
        <v>116</v>
      </c>
      <c r="B18" s="20">
        <v>3819176</v>
      </c>
      <c r="C18" s="70">
        <f>B18/'- 3 -'!$D18*100</f>
        <v>2.8699725774320717</v>
      </c>
      <c r="D18" s="20">
        <v>77029</v>
      </c>
      <c r="E18" s="70">
        <f>D18/'- 3 -'!$D18*100</f>
        <v>5.7884506413691077E-2</v>
      </c>
    </row>
    <row r="19" spans="1:5" ht="14.1" customHeight="1" x14ac:dyDescent="0.2">
      <c r="A19" s="284" t="s">
        <v>117</v>
      </c>
      <c r="B19" s="285">
        <v>80958</v>
      </c>
      <c r="C19" s="291">
        <f>B19/'- 3 -'!$D19*100</f>
        <v>0.16446417503515975</v>
      </c>
      <c r="D19" s="285">
        <v>195608</v>
      </c>
      <c r="E19" s="291">
        <f>D19/'- 3 -'!$D19*100</f>
        <v>0.39737281491980447</v>
      </c>
    </row>
    <row r="20" spans="1:5" ht="14.1" customHeight="1" x14ac:dyDescent="0.2">
      <c r="A20" s="19" t="s">
        <v>118</v>
      </c>
      <c r="B20" s="20">
        <v>234778</v>
      </c>
      <c r="C20" s="70">
        <f>B20/'- 3 -'!$D20*100</f>
        <v>0.27683885538480274</v>
      </c>
      <c r="D20" s="20">
        <v>465273</v>
      </c>
      <c r="E20" s="70">
        <f>D20/'- 3 -'!$D20*100</f>
        <v>0.54862740444783287</v>
      </c>
    </row>
    <row r="21" spans="1:5" ht="14.1" customHeight="1" x14ac:dyDescent="0.2">
      <c r="A21" s="284" t="s">
        <v>119</v>
      </c>
      <c r="B21" s="285">
        <v>185027</v>
      </c>
      <c r="C21" s="291">
        <f>B21/'- 3 -'!$D21*100</f>
        <v>0.50257997773433827</v>
      </c>
      <c r="D21" s="285">
        <v>90708</v>
      </c>
      <c r="E21" s="291">
        <f>D21/'- 3 -'!$D21*100</f>
        <v>0.24638579569644625</v>
      </c>
    </row>
    <row r="22" spans="1:5" ht="14.1" customHeight="1" x14ac:dyDescent="0.2">
      <c r="A22" s="19" t="s">
        <v>120</v>
      </c>
      <c r="B22" s="20">
        <v>79208</v>
      </c>
      <c r="C22" s="70">
        <f>B22/'- 3 -'!$D22*100</f>
        <v>0.38407623647571165</v>
      </c>
      <c r="D22" s="20">
        <v>25917</v>
      </c>
      <c r="E22" s="70">
        <f>D22/'- 3 -'!$D22*100</f>
        <v>0.12567043506642028</v>
      </c>
    </row>
    <row r="23" spans="1:5" ht="14.1" customHeight="1" x14ac:dyDescent="0.2">
      <c r="A23" s="284" t="s">
        <v>121</v>
      </c>
      <c r="B23" s="285">
        <v>68514</v>
      </c>
      <c r="C23" s="291">
        <f>B23/'- 3 -'!$D23*100</f>
        <v>0.41363926483128055</v>
      </c>
      <c r="D23" s="285">
        <v>12489</v>
      </c>
      <c r="E23" s="291">
        <f>D23/'- 3 -'!$D23*100</f>
        <v>7.5399783671627155E-2</v>
      </c>
    </row>
    <row r="24" spans="1:5" ht="14.1" customHeight="1" x14ac:dyDescent="0.2">
      <c r="A24" s="19" t="s">
        <v>122</v>
      </c>
      <c r="B24" s="20">
        <v>197551</v>
      </c>
      <c r="C24" s="70">
        <f>B24/'- 3 -'!$D24*100</f>
        <v>0.34136072729943218</v>
      </c>
      <c r="D24" s="20">
        <v>214439</v>
      </c>
      <c r="E24" s="70">
        <f>D24/'- 3 -'!$D24*100</f>
        <v>0.37054255863732877</v>
      </c>
    </row>
    <row r="25" spans="1:5" ht="14.1" customHeight="1" x14ac:dyDescent="0.2">
      <c r="A25" s="284" t="s">
        <v>123</v>
      </c>
      <c r="B25" s="285">
        <v>667199</v>
      </c>
      <c r="C25" s="291">
        <f>B25/'- 3 -'!$D25*100</f>
        <v>0.35669828389322156</v>
      </c>
      <c r="D25" s="285">
        <v>424004</v>
      </c>
      <c r="E25" s="291">
        <f>D25/'- 3 -'!$D25*100</f>
        <v>0.22668124377263982</v>
      </c>
    </row>
    <row r="26" spans="1:5" ht="14.1" customHeight="1" x14ac:dyDescent="0.2">
      <c r="A26" s="19" t="s">
        <v>124</v>
      </c>
      <c r="B26" s="20">
        <v>210185</v>
      </c>
      <c r="C26" s="70">
        <f>B26/'- 3 -'!$D26*100</f>
        <v>0.51535675346601528</v>
      </c>
      <c r="D26" s="20">
        <v>108876</v>
      </c>
      <c r="E26" s="70">
        <f>D26/'- 3 -'!$D26*100</f>
        <v>0.26695521512175413</v>
      </c>
    </row>
    <row r="27" spans="1:5" ht="14.1" customHeight="1" x14ac:dyDescent="0.2">
      <c r="A27" s="284" t="s">
        <v>125</v>
      </c>
      <c r="B27" s="285">
        <v>140416</v>
      </c>
      <c r="C27" s="291">
        <f>B27/'- 3 -'!$D27*100</f>
        <v>0.34293261013732984</v>
      </c>
      <c r="D27" s="285">
        <v>89930</v>
      </c>
      <c r="E27" s="291">
        <f>D27/'- 3 -'!$D27*100</f>
        <v>0.21963258908991906</v>
      </c>
    </row>
    <row r="28" spans="1:5" ht="14.1" customHeight="1" x14ac:dyDescent="0.2">
      <c r="A28" s="19" t="s">
        <v>126</v>
      </c>
      <c r="B28" s="20">
        <v>67010</v>
      </c>
      <c r="C28" s="70">
        <f>B28/'- 3 -'!$D28*100</f>
        <v>0.23189448589795336</v>
      </c>
      <c r="D28" s="20">
        <v>75211</v>
      </c>
      <c r="E28" s="70">
        <f>D28/'- 3 -'!$D28*100</f>
        <v>0.26027482732235441</v>
      </c>
    </row>
    <row r="29" spans="1:5" ht="14.1" customHeight="1" x14ac:dyDescent="0.2">
      <c r="A29" s="284" t="s">
        <v>127</v>
      </c>
      <c r="B29" s="285">
        <v>764248</v>
      </c>
      <c r="C29" s="291">
        <f>B29/'- 3 -'!$D29*100</f>
        <v>0.46932285325853201</v>
      </c>
      <c r="D29" s="285">
        <v>770842</v>
      </c>
      <c r="E29" s="291">
        <f>D29/'- 3 -'!$D29*100</f>
        <v>0.47337221275229158</v>
      </c>
    </row>
    <row r="30" spans="1:5" ht="14.1" customHeight="1" x14ac:dyDescent="0.2">
      <c r="A30" s="19" t="s">
        <v>128</v>
      </c>
      <c r="B30" s="20">
        <v>82355</v>
      </c>
      <c r="C30" s="70">
        <f>B30/'- 3 -'!$D30*100</f>
        <v>0.56028794943114668</v>
      </c>
      <c r="D30" s="20">
        <v>44888</v>
      </c>
      <c r="E30" s="70">
        <f>D30/'- 3 -'!$D30*100</f>
        <v>0.30538771749214144</v>
      </c>
    </row>
    <row r="31" spans="1:5" ht="14.1" customHeight="1" x14ac:dyDescent="0.2">
      <c r="A31" s="284" t="s">
        <v>129</v>
      </c>
      <c r="B31" s="285">
        <v>94625</v>
      </c>
      <c r="C31" s="291">
        <f>B31/'- 3 -'!$D31*100</f>
        <v>0.24880089799178959</v>
      </c>
      <c r="D31" s="285">
        <v>75391</v>
      </c>
      <c r="E31" s="291">
        <f>D31/'- 3 -'!$D31*100</f>
        <v>0.19822825363803442</v>
      </c>
    </row>
    <row r="32" spans="1:5" ht="14.1" customHeight="1" x14ac:dyDescent="0.2">
      <c r="A32" s="19" t="s">
        <v>130</v>
      </c>
      <c r="B32" s="20">
        <v>146133</v>
      </c>
      <c r="C32" s="70">
        <f>B32/'- 3 -'!$D32*100</f>
        <v>0.4654560831309858</v>
      </c>
      <c r="D32" s="20">
        <v>93318</v>
      </c>
      <c r="E32" s="70">
        <f>D32/'- 3 -'!$D32*100</f>
        <v>0.29723218414469926</v>
      </c>
    </row>
    <row r="33" spans="1:5" ht="14.1" customHeight="1" x14ac:dyDescent="0.2">
      <c r="A33" s="284" t="s">
        <v>131</v>
      </c>
      <c r="B33" s="285">
        <v>131952</v>
      </c>
      <c r="C33" s="291">
        <f>B33/'- 3 -'!$D33*100</f>
        <v>0.46545164757332635</v>
      </c>
      <c r="D33" s="285">
        <v>47946</v>
      </c>
      <c r="E33" s="291">
        <f>D33/'- 3 -'!$D33*100</f>
        <v>0.16912623298283244</v>
      </c>
    </row>
    <row r="34" spans="1:5" ht="14.1" customHeight="1" x14ac:dyDescent="0.2">
      <c r="A34" s="19" t="s">
        <v>132</v>
      </c>
      <c r="B34" s="20">
        <v>155408</v>
      </c>
      <c r="C34" s="70">
        <f>B34/'- 3 -'!$D34*100</f>
        <v>0.50551445922999927</v>
      </c>
      <c r="D34" s="20">
        <v>184855</v>
      </c>
      <c r="E34" s="70">
        <f>D34/'- 3 -'!$D34*100</f>
        <v>0.601300289309183</v>
      </c>
    </row>
    <row r="35" spans="1:5" ht="14.1" customHeight="1" x14ac:dyDescent="0.2">
      <c r="A35" s="284" t="s">
        <v>133</v>
      </c>
      <c r="B35" s="285">
        <v>664821</v>
      </c>
      <c r="C35" s="291">
        <f>B35/'- 3 -'!$D35*100</f>
        <v>0.35300676251555951</v>
      </c>
      <c r="D35" s="285">
        <v>642456</v>
      </c>
      <c r="E35" s="291">
        <f>D35/'- 3 -'!$D35*100</f>
        <v>0.34113139118453883</v>
      </c>
    </row>
    <row r="36" spans="1:5" ht="14.1" customHeight="1" x14ac:dyDescent="0.2">
      <c r="A36" s="19" t="s">
        <v>134</v>
      </c>
      <c r="B36" s="20">
        <v>144816</v>
      </c>
      <c r="C36" s="70">
        <f>B36/'- 3 -'!$D36*100</f>
        <v>0.61196930417142847</v>
      </c>
      <c r="D36" s="20">
        <v>82494</v>
      </c>
      <c r="E36" s="70">
        <f>D36/'- 3 -'!$D36*100</f>
        <v>0.34860647841618209</v>
      </c>
    </row>
    <row r="37" spans="1:5" ht="14.1" customHeight="1" x14ac:dyDescent="0.2">
      <c r="A37" s="284" t="s">
        <v>135</v>
      </c>
      <c r="B37" s="285">
        <v>125664</v>
      </c>
      <c r="C37" s="291">
        <f>B37/'- 3 -'!$D37*100</f>
        <v>0.23975942092788141</v>
      </c>
      <c r="D37" s="285">
        <v>257947</v>
      </c>
      <c r="E37" s="291">
        <f>D37/'- 3 -'!$D37*100</f>
        <v>0.49214749928447471</v>
      </c>
    </row>
    <row r="38" spans="1:5" ht="14.1" customHeight="1" x14ac:dyDescent="0.2">
      <c r="A38" s="19" t="s">
        <v>136</v>
      </c>
      <c r="B38" s="20">
        <v>544744</v>
      </c>
      <c r="C38" s="70">
        <f>B38/'- 3 -'!$D38*100</f>
        <v>0.38674334428672125</v>
      </c>
      <c r="D38" s="20">
        <v>405755</v>
      </c>
      <c r="E38" s="70">
        <f>D38/'- 3 -'!$D38*100</f>
        <v>0.28806750631683614</v>
      </c>
    </row>
    <row r="39" spans="1:5" ht="14.1" customHeight="1" x14ac:dyDescent="0.2">
      <c r="A39" s="284" t="s">
        <v>137</v>
      </c>
      <c r="B39" s="285">
        <v>67162</v>
      </c>
      <c r="C39" s="291">
        <f>B39/'- 3 -'!$D39*100</f>
        <v>0.30129437881104054</v>
      </c>
      <c r="D39" s="285">
        <v>56312</v>
      </c>
      <c r="E39" s="291">
        <f>D39/'- 3 -'!$D39*100</f>
        <v>0.25262036657049097</v>
      </c>
    </row>
    <row r="40" spans="1:5" ht="14.1" customHeight="1" x14ac:dyDescent="0.2">
      <c r="A40" s="19" t="s">
        <v>138</v>
      </c>
      <c r="B40" s="20">
        <v>456154</v>
      </c>
      <c r="C40" s="70">
        <f>B40/'- 3 -'!$D40*100</f>
        <v>0.43061341005532355</v>
      </c>
      <c r="D40" s="20">
        <v>363545</v>
      </c>
      <c r="E40" s="70">
        <f>D40/'- 3 -'!$D40*100</f>
        <v>0.34318969505597363</v>
      </c>
    </row>
    <row r="41" spans="1:5" ht="14.1" customHeight="1" x14ac:dyDescent="0.2">
      <c r="A41" s="284" t="s">
        <v>139</v>
      </c>
      <c r="B41" s="285">
        <v>434829</v>
      </c>
      <c r="C41" s="291">
        <f>B41/'- 3 -'!$D41*100</f>
        <v>0.66962844044481917</v>
      </c>
      <c r="D41" s="285">
        <v>369975</v>
      </c>
      <c r="E41" s="291">
        <f>D41/'- 3 -'!$D41*100</f>
        <v>0.56975450637738512</v>
      </c>
    </row>
    <row r="42" spans="1:5" ht="14.1" customHeight="1" x14ac:dyDescent="0.2">
      <c r="A42" s="19" t="s">
        <v>140</v>
      </c>
      <c r="B42" s="20">
        <v>147519</v>
      </c>
      <c r="C42" s="70">
        <f>B42/'- 3 -'!$D42*100</f>
        <v>0.70687068879390091</v>
      </c>
      <c r="D42" s="20">
        <v>104274</v>
      </c>
      <c r="E42" s="70">
        <f>D42/'- 3 -'!$D42*100</f>
        <v>0.49965248004186052</v>
      </c>
    </row>
    <row r="43" spans="1:5" ht="14.1" customHeight="1" x14ac:dyDescent="0.2">
      <c r="A43" s="284" t="s">
        <v>141</v>
      </c>
      <c r="B43" s="285">
        <v>60536</v>
      </c>
      <c r="C43" s="291">
        <f>B43/'- 3 -'!$D43*100</f>
        <v>0.45002932000195067</v>
      </c>
      <c r="D43" s="285">
        <v>8007</v>
      </c>
      <c r="E43" s="291">
        <f>D43/'- 3 -'!$D43*100</f>
        <v>5.9524659132675094E-2</v>
      </c>
    </row>
    <row r="44" spans="1:5" ht="14.1" customHeight="1" x14ac:dyDescent="0.2">
      <c r="A44" s="19" t="s">
        <v>142</v>
      </c>
      <c r="B44" s="20">
        <v>54490</v>
      </c>
      <c r="C44" s="70">
        <f>B44/'- 3 -'!$D44*100</f>
        <v>0.49707697030263859</v>
      </c>
      <c r="D44" s="20">
        <v>51479</v>
      </c>
      <c r="E44" s="70">
        <f>D44/'- 3 -'!$D44*100</f>
        <v>0.46960956788786079</v>
      </c>
    </row>
    <row r="45" spans="1:5" ht="14.1" customHeight="1" x14ac:dyDescent="0.2">
      <c r="A45" s="284" t="s">
        <v>143</v>
      </c>
      <c r="B45" s="285">
        <v>58331</v>
      </c>
      <c r="C45" s="291">
        <f>B45/'- 3 -'!$D45*100</f>
        <v>0.29232774846392745</v>
      </c>
      <c r="D45" s="285">
        <v>35944</v>
      </c>
      <c r="E45" s="291">
        <f>D45/'- 3 -'!$D45*100</f>
        <v>0.18013455265274739</v>
      </c>
    </row>
    <row r="46" spans="1:5" ht="14.1" customHeight="1" x14ac:dyDescent="0.2">
      <c r="A46" s="19" t="s">
        <v>144</v>
      </c>
      <c r="B46" s="20">
        <v>1820343</v>
      </c>
      <c r="C46" s="70">
        <f>B46/'- 3 -'!$D46*100</f>
        <v>0.45865984653427172</v>
      </c>
      <c r="D46" s="20">
        <v>1216530</v>
      </c>
      <c r="E46" s="70">
        <f>D46/'- 3 -'!$D46*100</f>
        <v>0.3065210584512576</v>
      </c>
    </row>
    <row r="47" spans="1:5" ht="5.0999999999999996" customHeight="1" x14ac:dyDescent="0.2">
      <c r="A47"/>
      <c r="B47" s="22"/>
      <c r="C47"/>
      <c r="D47" s="22"/>
      <c r="E47"/>
    </row>
    <row r="48" spans="1:5" ht="14.1" customHeight="1" x14ac:dyDescent="0.2">
      <c r="A48" s="286" t="s">
        <v>145</v>
      </c>
      <c r="B48" s="287">
        <f>SUM(B11:B46)</f>
        <v>13019903</v>
      </c>
      <c r="C48" s="294">
        <f>B48/'- 3 -'!$D48*100</f>
        <v>0.55241659013129529</v>
      </c>
      <c r="D48" s="287">
        <f>SUM(D11:D46)</f>
        <v>7260245</v>
      </c>
      <c r="E48" s="294">
        <f>D48/'- 3 -'!$D48*100</f>
        <v>0.30804221709008017</v>
      </c>
    </row>
    <row r="49" spans="1:5" ht="5.0999999999999996" customHeight="1" x14ac:dyDescent="0.2">
      <c r="A49" s="21" t="s">
        <v>7</v>
      </c>
      <c r="B49" s="22"/>
      <c r="C49"/>
      <c r="D49" s="22"/>
      <c r="E49"/>
    </row>
    <row r="50" spans="1:5" ht="14.1" customHeight="1" x14ac:dyDescent="0.2">
      <c r="A50" s="19" t="s">
        <v>146</v>
      </c>
      <c r="B50" s="20">
        <v>0</v>
      </c>
      <c r="C50" s="70">
        <f>B50/'- 3 -'!$D50*100</f>
        <v>0</v>
      </c>
      <c r="D50" s="20">
        <v>7818</v>
      </c>
      <c r="E50" s="70">
        <f>D50/'- 3 -'!$D50*100</f>
        <v>0.24151015204512885</v>
      </c>
    </row>
    <row r="51" spans="1:5" ht="14.1" customHeight="1" x14ac:dyDescent="0.2">
      <c r="A51" s="284" t="s">
        <v>607</v>
      </c>
      <c r="B51" s="285">
        <v>0</v>
      </c>
      <c r="C51" s="291">
        <f>B51/'- 3 -'!$D51*100</f>
        <v>0</v>
      </c>
      <c r="D51" s="285">
        <v>47151</v>
      </c>
      <c r="E51" s="291">
        <f>D51/'- 3 -'!$D51*100</f>
        <v>0.15535001758234965</v>
      </c>
    </row>
    <row r="52" spans="1:5" ht="50.1" customHeight="1" x14ac:dyDescent="0.2"/>
  </sheetData>
  <mergeCells count="2">
    <mergeCell ref="D8:E8"/>
    <mergeCell ref="B8:C8"/>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G52"/>
  <sheetViews>
    <sheetView showGridLines="0" showZeros="0" workbookViewId="0"/>
  </sheetViews>
  <sheetFormatPr defaultColWidth="15.83203125" defaultRowHeight="12" x14ac:dyDescent="0.2"/>
  <cols>
    <col min="1" max="1" width="34.83203125" style="2" customWidth="1"/>
    <col min="2" max="2" width="19.83203125" style="2" customWidth="1"/>
    <col min="3" max="3" width="12.83203125" style="2" customWidth="1"/>
    <col min="4" max="4" width="19.83203125" style="2" customWidth="1"/>
    <col min="5" max="5" width="12.83203125" style="2" customWidth="1"/>
    <col min="6" max="6" width="19.83203125" style="2" customWidth="1"/>
    <col min="7" max="7" width="12.83203125" style="2" customWidth="1"/>
    <col min="8" max="16384" width="15.83203125" style="2"/>
  </cols>
  <sheetData>
    <row r="1" spans="1:7" ht="6.95" customHeight="1" x14ac:dyDescent="0.2">
      <c r="A1" s="7"/>
      <c r="B1" s="8"/>
      <c r="C1" s="8"/>
      <c r="D1" s="8"/>
      <c r="E1" s="8"/>
      <c r="F1" s="8"/>
      <c r="G1" s="8"/>
    </row>
    <row r="2" spans="1:7" ht="15.95" customHeight="1" x14ac:dyDescent="0.2">
      <c r="A2" s="134"/>
      <c r="B2" s="9" t="s">
        <v>263</v>
      </c>
      <c r="C2" s="10"/>
      <c r="D2" s="10"/>
      <c r="E2" s="10"/>
      <c r="F2" s="10"/>
      <c r="G2" s="395" t="s">
        <v>413</v>
      </c>
    </row>
    <row r="3" spans="1:7" ht="15.95" customHeight="1" x14ac:dyDescent="0.2">
      <c r="A3" s="541"/>
      <c r="B3" s="11" t="str">
        <f>OPYEAR</f>
        <v>OPERATING FUND 2017/2018 ACTUAL</v>
      </c>
      <c r="C3" s="12"/>
      <c r="D3" s="12"/>
      <c r="E3" s="12"/>
      <c r="F3" s="12"/>
      <c r="G3" s="75"/>
    </row>
    <row r="4" spans="1:7" ht="15.95" customHeight="1" x14ac:dyDescent="0.2">
      <c r="B4" s="8"/>
      <c r="C4" s="8"/>
      <c r="D4" s="8"/>
      <c r="E4" s="8"/>
      <c r="F4" s="8"/>
      <c r="G4" s="8"/>
    </row>
    <row r="5" spans="1:7" ht="15.95" customHeight="1" x14ac:dyDescent="0.2">
      <c r="B5" s="8"/>
      <c r="C5" s="8"/>
      <c r="D5" s="8"/>
      <c r="E5" s="8"/>
      <c r="F5" s="8"/>
      <c r="G5" s="8"/>
    </row>
    <row r="6" spans="1:7" ht="15.95" customHeight="1" x14ac:dyDescent="0.2">
      <c r="B6" s="557" t="s">
        <v>17</v>
      </c>
      <c r="C6" s="558"/>
      <c r="D6" s="165"/>
      <c r="E6" s="165"/>
      <c r="F6" s="166"/>
      <c r="G6" s="167"/>
    </row>
    <row r="7" spans="1:7" ht="15.95" customHeight="1" x14ac:dyDescent="0.2">
      <c r="B7" s="665" t="s">
        <v>501</v>
      </c>
      <c r="C7" s="689"/>
      <c r="D7" s="685" t="s">
        <v>502</v>
      </c>
      <c r="E7" s="639"/>
      <c r="F7" s="638" t="s">
        <v>503</v>
      </c>
      <c r="G7" s="639"/>
    </row>
    <row r="8" spans="1:7" ht="15.95" customHeight="1" x14ac:dyDescent="0.2">
      <c r="A8" s="403"/>
      <c r="B8" s="690"/>
      <c r="C8" s="691"/>
      <c r="D8" s="672"/>
      <c r="E8" s="641"/>
      <c r="F8" s="640"/>
      <c r="G8" s="641"/>
    </row>
    <row r="9" spans="1:7" ht="15.95" customHeight="1" x14ac:dyDescent="0.2">
      <c r="A9" s="35" t="s">
        <v>42</v>
      </c>
      <c r="B9" s="77" t="s">
        <v>43</v>
      </c>
      <c r="C9" s="77" t="s">
        <v>44</v>
      </c>
      <c r="D9" s="171" t="s">
        <v>43</v>
      </c>
      <c r="E9" s="168" t="s">
        <v>44</v>
      </c>
      <c r="F9" s="171" t="s">
        <v>43</v>
      </c>
      <c r="G9" s="168" t="s">
        <v>44</v>
      </c>
    </row>
    <row r="10" spans="1:7" ht="5.0999999999999996" customHeight="1" x14ac:dyDescent="0.2">
      <c r="A10" s="6"/>
    </row>
    <row r="11" spans="1:7" ht="14.1" customHeight="1" x14ac:dyDescent="0.2">
      <c r="A11" s="284" t="s">
        <v>110</v>
      </c>
      <c r="B11" s="285">
        <v>11458</v>
      </c>
      <c r="C11" s="291">
        <f>B11/'- 3 -'!$D11*100</f>
        <v>5.789913362521746E-2</v>
      </c>
      <c r="D11" s="285">
        <v>0</v>
      </c>
      <c r="E11" s="291">
        <f>D11/'- 3 -'!$D11*100</f>
        <v>0</v>
      </c>
      <c r="F11" s="285">
        <v>330872</v>
      </c>
      <c r="G11" s="291">
        <f>F11/'- 3 -'!$D11*100</f>
        <v>1.6719499162893132</v>
      </c>
    </row>
    <row r="12" spans="1:7" ht="14.1" customHeight="1" x14ac:dyDescent="0.2">
      <c r="A12" s="19" t="s">
        <v>111</v>
      </c>
      <c r="B12" s="20">
        <v>29648</v>
      </c>
      <c r="C12" s="70">
        <f>B12/'- 3 -'!$D12*100</f>
        <v>8.7084600098310899E-2</v>
      </c>
      <c r="D12" s="20">
        <v>0</v>
      </c>
      <c r="E12" s="70">
        <f>D12/'- 3 -'!$D12*100</f>
        <v>0</v>
      </c>
      <c r="F12" s="20">
        <v>534727</v>
      </c>
      <c r="G12" s="70">
        <f>F12/'- 3 -'!$D12*100</f>
        <v>1.57064513480739</v>
      </c>
    </row>
    <row r="13" spans="1:7" ht="14.1" customHeight="1" x14ac:dyDescent="0.2">
      <c r="A13" s="284" t="s">
        <v>112</v>
      </c>
      <c r="B13" s="285">
        <v>-3052</v>
      </c>
      <c r="C13" s="291">
        <f>B13/'- 3 -'!$D13*100</f>
        <v>-3.0840140394989848E-3</v>
      </c>
      <c r="D13" s="285">
        <v>0</v>
      </c>
      <c r="E13" s="291">
        <f>D13/'- 3 -'!$D13*100</f>
        <v>0</v>
      </c>
      <c r="F13" s="285">
        <v>1693088</v>
      </c>
      <c r="G13" s="291">
        <f>F13/'- 3 -'!$D13*100</f>
        <v>1.7108476940063098</v>
      </c>
    </row>
    <row r="14" spans="1:7" ht="14.1" customHeight="1" x14ac:dyDescent="0.2">
      <c r="A14" s="19" t="s">
        <v>359</v>
      </c>
      <c r="B14" s="20">
        <v>87995</v>
      </c>
      <c r="C14" s="70">
        <f>B14/'- 3 -'!$D14*100</f>
        <v>9.9922207277073363E-2</v>
      </c>
      <c r="D14" s="20">
        <v>0</v>
      </c>
      <c r="E14" s="70">
        <f>D14/'- 3 -'!$D14*100</f>
        <v>0</v>
      </c>
      <c r="F14" s="20">
        <v>1282505</v>
      </c>
      <c r="G14" s="70">
        <f>F14/'- 3 -'!$D14*100</f>
        <v>1.4563410471490763</v>
      </c>
    </row>
    <row r="15" spans="1:7" ht="14.1" customHeight="1" x14ac:dyDescent="0.2">
      <c r="A15" s="284" t="s">
        <v>113</v>
      </c>
      <c r="B15" s="285">
        <v>7794</v>
      </c>
      <c r="C15" s="291">
        <f>B15/'- 3 -'!$D15*100</f>
        <v>3.900619384727088E-2</v>
      </c>
      <c r="D15" s="285">
        <v>0</v>
      </c>
      <c r="E15" s="291">
        <f>D15/'- 3 -'!$D15*100</f>
        <v>0</v>
      </c>
      <c r="F15" s="285">
        <v>314430</v>
      </c>
      <c r="G15" s="291">
        <f>F15/'- 3 -'!$D15*100</f>
        <v>1.5736101528608395</v>
      </c>
    </row>
    <row r="16" spans="1:7" ht="14.1" customHeight="1" x14ac:dyDescent="0.2">
      <c r="A16" s="19" t="s">
        <v>114</v>
      </c>
      <c r="B16" s="20">
        <v>14229</v>
      </c>
      <c r="C16" s="70">
        <f>B16/'- 3 -'!$D16*100</f>
        <v>9.8362736387866481E-2</v>
      </c>
      <c r="D16" s="20">
        <v>0</v>
      </c>
      <c r="E16" s="70">
        <f>D16/'- 3 -'!$D16*100</f>
        <v>0</v>
      </c>
      <c r="F16" s="20">
        <v>220670</v>
      </c>
      <c r="G16" s="70">
        <f>F16/'- 3 -'!$D16*100</f>
        <v>1.5254554106901748</v>
      </c>
    </row>
    <row r="17" spans="1:7" ht="14.1" customHeight="1" x14ac:dyDescent="0.2">
      <c r="A17" s="284" t="s">
        <v>115</v>
      </c>
      <c r="B17" s="285">
        <v>71589</v>
      </c>
      <c r="C17" s="291">
        <f>B17/'- 3 -'!$D17*100</f>
        <v>0.39037818571780447</v>
      </c>
      <c r="D17" s="285">
        <v>0</v>
      </c>
      <c r="E17" s="291">
        <f>D17/'- 3 -'!$D17*100</f>
        <v>0</v>
      </c>
      <c r="F17" s="285">
        <v>305363</v>
      </c>
      <c r="G17" s="291">
        <f>F17/'- 3 -'!$D17*100</f>
        <v>1.6651588082714652</v>
      </c>
    </row>
    <row r="18" spans="1:7" ht="14.1" customHeight="1" x14ac:dyDescent="0.2">
      <c r="A18" s="19" t="s">
        <v>116</v>
      </c>
      <c r="B18" s="20">
        <v>3332</v>
      </c>
      <c r="C18" s="70">
        <f>B18/'- 3 -'!$D18*100</f>
        <v>2.5038774405797648E-3</v>
      </c>
      <c r="D18" s="20">
        <v>0</v>
      </c>
      <c r="E18" s="70">
        <f>D18/'- 3 -'!$D18*100</f>
        <v>0</v>
      </c>
      <c r="F18" s="20">
        <v>1247339</v>
      </c>
      <c r="G18" s="70">
        <f>F18/'- 3 -'!$D18*100</f>
        <v>0.93733012690735995</v>
      </c>
    </row>
    <row r="19" spans="1:7" ht="14.1" customHeight="1" x14ac:dyDescent="0.2">
      <c r="A19" s="284" t="s">
        <v>117</v>
      </c>
      <c r="B19" s="285">
        <v>24342</v>
      </c>
      <c r="C19" s="291">
        <f>B19/'- 3 -'!$D19*100</f>
        <v>4.9450171060375241E-2</v>
      </c>
      <c r="D19" s="285">
        <v>0</v>
      </c>
      <c r="E19" s="291">
        <f>D19/'- 3 -'!$D19*100</f>
        <v>0</v>
      </c>
      <c r="F19" s="285">
        <v>806561</v>
      </c>
      <c r="G19" s="291">
        <f>F19/'- 3 -'!$D19*100</f>
        <v>1.6385087265067502</v>
      </c>
    </row>
    <row r="20" spans="1:7" ht="14.1" customHeight="1" x14ac:dyDescent="0.2">
      <c r="A20" s="19" t="s">
        <v>118</v>
      </c>
      <c r="B20" s="20">
        <v>190181</v>
      </c>
      <c r="C20" s="70">
        <f>B20/'- 3 -'!$D20*100</f>
        <v>0.22425223128205016</v>
      </c>
      <c r="D20" s="20">
        <v>0</v>
      </c>
      <c r="E20" s="70">
        <f>D20/'- 3 -'!$D20*100</f>
        <v>0</v>
      </c>
      <c r="F20" s="20">
        <v>1251289</v>
      </c>
      <c r="G20" s="70">
        <f>F20/'- 3 -'!$D20*100</f>
        <v>1.4754594319552703</v>
      </c>
    </row>
    <row r="21" spans="1:7" ht="14.1" customHeight="1" x14ac:dyDescent="0.2">
      <c r="A21" s="284" t="s">
        <v>119</v>
      </c>
      <c r="B21" s="285">
        <v>18628</v>
      </c>
      <c r="C21" s="291">
        <f>B21/'- 3 -'!$D21*100</f>
        <v>5.059834416185343E-2</v>
      </c>
      <c r="D21" s="285">
        <v>0</v>
      </c>
      <c r="E21" s="291">
        <f>D21/'- 3 -'!$D21*100</f>
        <v>0</v>
      </c>
      <c r="F21" s="285">
        <v>621093</v>
      </c>
      <c r="G21" s="291">
        <f>F21/'- 3 -'!$D21*100</f>
        <v>1.6870451669807833</v>
      </c>
    </row>
    <row r="22" spans="1:7" ht="14.1" customHeight="1" x14ac:dyDescent="0.2">
      <c r="A22" s="19" t="s">
        <v>120</v>
      </c>
      <c r="B22" s="20">
        <v>3351</v>
      </c>
      <c r="C22" s="70">
        <f>B22/'- 3 -'!$D22*100</f>
        <v>1.6248857040073096E-2</v>
      </c>
      <c r="D22" s="20">
        <v>0</v>
      </c>
      <c r="E22" s="70">
        <f>D22/'- 3 -'!$D22*100</f>
        <v>0</v>
      </c>
      <c r="F22" s="20">
        <v>346246</v>
      </c>
      <c r="G22" s="70">
        <f>F22/'- 3 -'!$D22*100</f>
        <v>1.6789321858242761</v>
      </c>
    </row>
    <row r="23" spans="1:7" ht="14.1" customHeight="1" x14ac:dyDescent="0.2">
      <c r="A23" s="284" t="s">
        <v>121</v>
      </c>
      <c r="B23" s="285">
        <v>3042</v>
      </c>
      <c r="C23" s="291">
        <f>B23/'- 3 -'!$D23*100</f>
        <v>1.8365452952925757E-2</v>
      </c>
      <c r="D23" s="285">
        <v>0</v>
      </c>
      <c r="E23" s="291">
        <f>D23/'- 3 -'!$D23*100</f>
        <v>0</v>
      </c>
      <c r="F23" s="285">
        <v>265593</v>
      </c>
      <c r="G23" s="291">
        <f>F23/'- 3 -'!$D23*100</f>
        <v>1.6034634273919828</v>
      </c>
    </row>
    <row r="24" spans="1:7" ht="14.1" customHeight="1" x14ac:dyDescent="0.2">
      <c r="A24" s="19" t="s">
        <v>122</v>
      </c>
      <c r="B24" s="20">
        <v>66635</v>
      </c>
      <c r="C24" s="70">
        <f>B24/'- 3 -'!$D24*100</f>
        <v>0.1151427837044493</v>
      </c>
      <c r="D24" s="20">
        <v>0</v>
      </c>
      <c r="E24" s="70">
        <f>D24/'- 3 -'!$D24*100</f>
        <v>0</v>
      </c>
      <c r="F24" s="20">
        <v>966489</v>
      </c>
      <c r="G24" s="70">
        <f>F24/'- 3 -'!$D24*100</f>
        <v>1.6700567851688977</v>
      </c>
    </row>
    <row r="25" spans="1:7" ht="14.1" customHeight="1" x14ac:dyDescent="0.2">
      <c r="A25" s="284" t="s">
        <v>123</v>
      </c>
      <c r="B25" s="285">
        <v>212934</v>
      </c>
      <c r="C25" s="291">
        <f>B25/'- 3 -'!$D25*100</f>
        <v>0.11383888822153396</v>
      </c>
      <c r="D25" s="285">
        <v>0</v>
      </c>
      <c r="E25" s="291">
        <f>D25/'- 3 -'!$D25*100</f>
        <v>0</v>
      </c>
      <c r="F25" s="285">
        <v>3106085</v>
      </c>
      <c r="G25" s="291">
        <f>F25/'- 3 -'!$D25*100</f>
        <v>1.6605768131044516</v>
      </c>
    </row>
    <row r="26" spans="1:7" ht="14.1" customHeight="1" x14ac:dyDescent="0.2">
      <c r="A26" s="19" t="s">
        <v>124</v>
      </c>
      <c r="B26" s="20">
        <v>159103</v>
      </c>
      <c r="C26" s="70">
        <f>B26/'- 3 -'!$D26*100</f>
        <v>0.39010778859910766</v>
      </c>
      <c r="D26" s="20">
        <v>5230</v>
      </c>
      <c r="E26" s="70">
        <f>D26/'- 3 -'!$D26*100</f>
        <v>1.2823540312711471E-2</v>
      </c>
      <c r="F26" s="20">
        <v>646662</v>
      </c>
      <c r="G26" s="70">
        <f>F26/'- 3 -'!$D26*100</f>
        <v>1.585563331873542</v>
      </c>
    </row>
    <row r="27" spans="1:7" ht="14.1" customHeight="1" x14ac:dyDescent="0.2">
      <c r="A27" s="284" t="s">
        <v>125</v>
      </c>
      <c r="B27" s="285">
        <v>5515</v>
      </c>
      <c r="C27" s="291">
        <f>B27/'- 3 -'!$D27*100</f>
        <v>1.3469072932624303E-2</v>
      </c>
      <c r="D27" s="285">
        <v>-5626</v>
      </c>
      <c r="E27" s="291">
        <f>D27/'- 3 -'!$D27*100</f>
        <v>-1.3740163974423267E-2</v>
      </c>
      <c r="F27" s="285">
        <v>766711</v>
      </c>
      <c r="G27" s="291">
        <f>F27/'- 3 -'!$D27*100</f>
        <v>1.8725088626011446</v>
      </c>
    </row>
    <row r="28" spans="1:7" ht="14.1" customHeight="1" x14ac:dyDescent="0.2">
      <c r="A28" s="19" t="s">
        <v>126</v>
      </c>
      <c r="B28" s="20">
        <v>61352</v>
      </c>
      <c r="C28" s="70">
        <f>B28/'- 3 -'!$D28*100</f>
        <v>0.21231443812582051</v>
      </c>
      <c r="D28" s="20">
        <v>0</v>
      </c>
      <c r="E28" s="70">
        <f>D28/'- 3 -'!$D28*100</f>
        <v>0</v>
      </c>
      <c r="F28" s="20">
        <v>422160</v>
      </c>
      <c r="G28" s="70">
        <f>F28/'- 3 -'!$D28*100</f>
        <v>1.4609248793714369</v>
      </c>
    </row>
    <row r="29" spans="1:7" ht="14.1" customHeight="1" x14ac:dyDescent="0.2">
      <c r="A29" s="284" t="s">
        <v>127</v>
      </c>
      <c r="B29" s="285">
        <v>158057</v>
      </c>
      <c r="C29" s="291">
        <f>B29/'- 3 -'!$D29*100</f>
        <v>9.7062422430263209E-2</v>
      </c>
      <c r="D29" s="285">
        <v>0</v>
      </c>
      <c r="E29" s="291">
        <f>D29/'- 3 -'!$D29*100</f>
        <v>0</v>
      </c>
      <c r="F29" s="285">
        <v>2718787</v>
      </c>
      <c r="G29" s="291">
        <f>F29/'- 3 -'!$D29*100</f>
        <v>1.6696005383621604</v>
      </c>
    </row>
    <row r="30" spans="1:7" ht="14.1" customHeight="1" x14ac:dyDescent="0.2">
      <c r="A30" s="19" t="s">
        <v>128</v>
      </c>
      <c r="B30" s="20">
        <v>5773</v>
      </c>
      <c r="C30" s="70">
        <f>B30/'- 3 -'!$D30*100</f>
        <v>3.9275603570712275E-2</v>
      </c>
      <c r="D30" s="20">
        <v>0</v>
      </c>
      <c r="E30" s="70">
        <f>D30/'- 3 -'!$D30*100</f>
        <v>0</v>
      </c>
      <c r="F30" s="20">
        <v>243155</v>
      </c>
      <c r="G30" s="70">
        <f>F30/'- 3 -'!$D30*100</f>
        <v>1.6542628418909653</v>
      </c>
    </row>
    <row r="31" spans="1:7" ht="14.1" customHeight="1" x14ac:dyDescent="0.2">
      <c r="A31" s="284" t="s">
        <v>129</v>
      </c>
      <c r="B31" s="285">
        <v>11384</v>
      </c>
      <c r="C31" s="291">
        <f>B31/'- 3 -'!$D31*100</f>
        <v>2.9932358496576304E-2</v>
      </c>
      <c r="D31" s="285">
        <v>0</v>
      </c>
      <c r="E31" s="291">
        <f>D31/'- 3 -'!$D31*100</f>
        <v>0</v>
      </c>
      <c r="F31" s="285">
        <v>661659</v>
      </c>
      <c r="G31" s="291">
        <f>F31/'- 3 -'!$D31*100</f>
        <v>1.7397236815254902</v>
      </c>
    </row>
    <row r="32" spans="1:7" ht="14.1" customHeight="1" x14ac:dyDescent="0.2">
      <c r="A32" s="19" t="s">
        <v>130</v>
      </c>
      <c r="B32" s="20">
        <v>59367</v>
      </c>
      <c r="C32" s="70">
        <f>B32/'- 3 -'!$D32*100</f>
        <v>0.18909302681281598</v>
      </c>
      <c r="D32" s="20">
        <v>0</v>
      </c>
      <c r="E32" s="70">
        <f>D32/'- 3 -'!$D32*100</f>
        <v>0</v>
      </c>
      <c r="F32" s="20">
        <v>507701</v>
      </c>
      <c r="G32" s="70">
        <f>F32/'- 3 -'!$D32*100</f>
        <v>1.6171057794042729</v>
      </c>
    </row>
    <row r="33" spans="1:7" ht="14.1" customHeight="1" x14ac:dyDescent="0.2">
      <c r="A33" s="284" t="s">
        <v>131</v>
      </c>
      <c r="B33" s="285">
        <v>35896</v>
      </c>
      <c r="C33" s="291">
        <f>B33/'- 3 -'!$D33*100</f>
        <v>0.12662068283384961</v>
      </c>
      <c r="D33" s="285">
        <v>0</v>
      </c>
      <c r="E33" s="291">
        <f>D33/'- 3 -'!$D33*100</f>
        <v>0</v>
      </c>
      <c r="F33" s="285">
        <v>441324</v>
      </c>
      <c r="G33" s="291">
        <f>F33/'- 3 -'!$D33*100</f>
        <v>1.5567402003277759</v>
      </c>
    </row>
    <row r="34" spans="1:7" ht="14.1" customHeight="1" x14ac:dyDescent="0.2">
      <c r="A34" s="19" t="s">
        <v>132</v>
      </c>
      <c r="B34" s="20">
        <v>113997</v>
      </c>
      <c r="C34" s="70">
        <f>B34/'- 3 -'!$D34*100</f>
        <v>0.37081187460646958</v>
      </c>
      <c r="D34" s="20">
        <v>534</v>
      </c>
      <c r="E34" s="70">
        <f>D34/'- 3 -'!$D34*100</f>
        <v>1.7370065970144372E-3</v>
      </c>
      <c r="F34" s="20">
        <v>483979</v>
      </c>
      <c r="G34" s="70">
        <f>F34/'- 3 -'!$D34*100</f>
        <v>1.5742972206300565</v>
      </c>
    </row>
    <row r="35" spans="1:7" ht="14.1" customHeight="1" x14ac:dyDescent="0.2">
      <c r="A35" s="284" t="s">
        <v>133</v>
      </c>
      <c r="B35" s="285">
        <v>71266</v>
      </c>
      <c r="C35" s="291">
        <f>B35/'- 3 -'!$D35*100</f>
        <v>3.7840832250235573E-2</v>
      </c>
      <c r="D35" s="285">
        <v>0</v>
      </c>
      <c r="E35" s="291">
        <f>D35/'- 3 -'!$D35*100</f>
        <v>0</v>
      </c>
      <c r="F35" s="285">
        <v>3239179</v>
      </c>
      <c r="G35" s="291">
        <f>F35/'- 3 -'!$D35*100</f>
        <v>1.7199397913098227</v>
      </c>
    </row>
    <row r="36" spans="1:7" ht="14.1" customHeight="1" x14ac:dyDescent="0.2">
      <c r="A36" s="19" t="s">
        <v>134</v>
      </c>
      <c r="B36" s="20">
        <v>38891</v>
      </c>
      <c r="C36" s="70">
        <f>B36/'- 3 -'!$D36*100</f>
        <v>0.16434715921259407</v>
      </c>
      <c r="D36" s="20">
        <v>0</v>
      </c>
      <c r="E36" s="70">
        <f>D36/'- 3 -'!$D36*100</f>
        <v>0</v>
      </c>
      <c r="F36" s="20">
        <v>383280</v>
      </c>
      <c r="G36" s="70">
        <f>F36/'- 3 -'!$D36*100</f>
        <v>1.6196801106426437</v>
      </c>
    </row>
    <row r="37" spans="1:7" ht="14.1" customHeight="1" x14ac:dyDescent="0.2">
      <c r="A37" s="284" t="s">
        <v>135</v>
      </c>
      <c r="B37" s="285">
        <v>60911</v>
      </c>
      <c r="C37" s="291">
        <f>B37/'- 3 -'!$D37*100</f>
        <v>0.11621455697843602</v>
      </c>
      <c r="D37" s="285">
        <v>0</v>
      </c>
      <c r="E37" s="291">
        <f>D37/'- 3 -'!$D37*100</f>
        <v>0</v>
      </c>
      <c r="F37" s="285">
        <v>867735</v>
      </c>
      <c r="G37" s="291">
        <f>F37/'- 3 -'!$D37*100</f>
        <v>1.6555866526519543</v>
      </c>
    </row>
    <row r="38" spans="1:7" ht="14.1" customHeight="1" x14ac:dyDescent="0.2">
      <c r="A38" s="19" t="s">
        <v>136</v>
      </c>
      <c r="B38" s="20">
        <v>191492</v>
      </c>
      <c r="C38" s="70">
        <f>B38/'- 3 -'!$D38*100</f>
        <v>0.13595056849483944</v>
      </c>
      <c r="D38" s="20">
        <v>1226</v>
      </c>
      <c r="E38" s="70">
        <f>D38/'- 3 -'!$D38*100</f>
        <v>8.704039697463768E-4</v>
      </c>
      <c r="F38" s="20">
        <v>2332999</v>
      </c>
      <c r="G38" s="70">
        <f>F38/'- 3 -'!$D38*100</f>
        <v>1.6563226680377872</v>
      </c>
    </row>
    <row r="39" spans="1:7" ht="14.1" customHeight="1" x14ac:dyDescent="0.2">
      <c r="A39" s="284" t="s">
        <v>137</v>
      </c>
      <c r="B39" s="285">
        <v>19261</v>
      </c>
      <c r="C39" s="291">
        <f>B39/'- 3 -'!$D39*100</f>
        <v>8.6406465416149797E-2</v>
      </c>
      <c r="D39" s="285">
        <v>0</v>
      </c>
      <c r="E39" s="291">
        <f>D39/'- 3 -'!$D39*100</f>
        <v>0</v>
      </c>
      <c r="F39" s="285">
        <v>358387</v>
      </c>
      <c r="G39" s="291">
        <f>F39/'- 3 -'!$D39*100</f>
        <v>1.6077542142722432</v>
      </c>
    </row>
    <row r="40" spans="1:7" ht="14.1" customHeight="1" x14ac:dyDescent="0.2">
      <c r="A40" s="19" t="s">
        <v>138</v>
      </c>
      <c r="B40" s="20">
        <v>47686</v>
      </c>
      <c r="C40" s="70">
        <f>B40/'- 3 -'!$D40*100</f>
        <v>4.501600571714412E-2</v>
      </c>
      <c r="D40" s="20">
        <v>0</v>
      </c>
      <c r="E40" s="70">
        <f>D40/'- 3 -'!$D40*100</f>
        <v>0</v>
      </c>
      <c r="F40" s="20">
        <v>1783722</v>
      </c>
      <c r="G40" s="70">
        <f>F40/'- 3 -'!$D40*100</f>
        <v>1.6838493425700571</v>
      </c>
    </row>
    <row r="41" spans="1:7" ht="14.1" customHeight="1" x14ac:dyDescent="0.2">
      <c r="A41" s="284" t="s">
        <v>139</v>
      </c>
      <c r="B41" s="285">
        <v>183562</v>
      </c>
      <c r="C41" s="291">
        <f>B41/'- 3 -'!$D41*100</f>
        <v>0.28268201013486199</v>
      </c>
      <c r="D41" s="285">
        <v>18722</v>
      </c>
      <c r="E41" s="291">
        <f>D41/'- 3 -'!$D41*100</f>
        <v>2.8831526098783439E-2</v>
      </c>
      <c r="F41" s="285">
        <v>1058303</v>
      </c>
      <c r="G41" s="291">
        <f>F41/'- 3 -'!$D41*100</f>
        <v>1.6297666149407548</v>
      </c>
    </row>
    <row r="42" spans="1:7" ht="14.1" customHeight="1" x14ac:dyDescent="0.2">
      <c r="A42" s="19" t="s">
        <v>140</v>
      </c>
      <c r="B42" s="20">
        <v>2892</v>
      </c>
      <c r="C42" s="70">
        <f>B42/'- 3 -'!$D42*100</f>
        <v>1.3857672787857572E-2</v>
      </c>
      <c r="D42" s="20">
        <v>0</v>
      </c>
      <c r="E42" s="70">
        <f>D42/'- 3 -'!$D42*100</f>
        <v>0</v>
      </c>
      <c r="F42" s="20">
        <v>324020</v>
      </c>
      <c r="G42" s="70">
        <f>F42/'- 3 -'!$D42*100</f>
        <v>1.5526151925040148</v>
      </c>
    </row>
    <row r="43" spans="1:7" ht="14.1" customHeight="1" x14ac:dyDescent="0.2">
      <c r="A43" s="284" t="s">
        <v>141</v>
      </c>
      <c r="B43" s="285">
        <v>53247</v>
      </c>
      <c r="C43" s="291">
        <f>B43/'- 3 -'!$D43*100</f>
        <v>0.39584232856719748</v>
      </c>
      <c r="D43" s="285">
        <v>0</v>
      </c>
      <c r="E43" s="291">
        <f>D43/'- 3 -'!$D43*100</f>
        <v>0</v>
      </c>
      <c r="F43" s="285">
        <v>226272</v>
      </c>
      <c r="G43" s="291">
        <f>F43/'- 3 -'!$D43*100</f>
        <v>1.682123600757919</v>
      </c>
    </row>
    <row r="44" spans="1:7" ht="14.1" customHeight="1" x14ac:dyDescent="0.2">
      <c r="A44" s="19" t="s">
        <v>142</v>
      </c>
      <c r="B44" s="20">
        <v>1792</v>
      </c>
      <c r="C44" s="70">
        <f>B44/'- 3 -'!$D44*100</f>
        <v>1.6347255107034837E-2</v>
      </c>
      <c r="D44" s="20">
        <v>0</v>
      </c>
      <c r="E44" s="70">
        <f>D44/'- 3 -'!$D44*100</f>
        <v>0</v>
      </c>
      <c r="F44" s="20">
        <v>166994</v>
      </c>
      <c r="G44" s="70">
        <f>F44/'- 3 -'!$D44*100</f>
        <v>1.5233780799911696</v>
      </c>
    </row>
    <row r="45" spans="1:7" ht="14.1" customHeight="1" x14ac:dyDescent="0.2">
      <c r="A45" s="284" t="s">
        <v>143</v>
      </c>
      <c r="B45" s="285">
        <v>31972</v>
      </c>
      <c r="C45" s="291">
        <f>B45/'- 3 -'!$D45*100</f>
        <v>0.1602287424163599</v>
      </c>
      <c r="D45" s="285">
        <v>0</v>
      </c>
      <c r="E45" s="291">
        <f>D45/'- 3 -'!$D45*100</f>
        <v>0</v>
      </c>
      <c r="F45" s="285">
        <v>338778</v>
      </c>
      <c r="G45" s="291">
        <f>F45/'- 3 -'!$D45*100</f>
        <v>1.6977972256452387</v>
      </c>
    </row>
    <row r="46" spans="1:7" ht="14.1" customHeight="1" x14ac:dyDescent="0.2">
      <c r="A46" s="19" t="s">
        <v>144</v>
      </c>
      <c r="B46" s="20">
        <v>270751</v>
      </c>
      <c r="C46" s="70">
        <f>B46/'- 3 -'!$D46*100</f>
        <v>6.8219347732268371E-2</v>
      </c>
      <c r="D46" s="20">
        <v>0</v>
      </c>
      <c r="E46" s="70">
        <f>D46/'- 3 -'!$D46*100</f>
        <v>0</v>
      </c>
      <c r="F46" s="20">
        <v>6965791</v>
      </c>
      <c r="G46" s="70">
        <f>F46/'- 3 -'!$D46*100</f>
        <v>1.755124518318697</v>
      </c>
    </row>
    <row r="47" spans="1:7" ht="5.0999999999999996" customHeight="1" x14ac:dyDescent="0.2">
      <c r="A47"/>
      <c r="B47" s="22"/>
      <c r="C47"/>
      <c r="D47" s="22"/>
      <c r="E47"/>
      <c r="F47" s="22"/>
      <c r="G47"/>
    </row>
    <row r="48" spans="1:7" ht="14.1" customHeight="1" x14ac:dyDescent="0.2">
      <c r="A48" s="286" t="s">
        <v>145</v>
      </c>
      <c r="B48" s="287">
        <f>SUM(B11:B46)</f>
        <v>2326273</v>
      </c>
      <c r="C48" s="294">
        <f>B48/'- 3 -'!$D48*100</f>
        <v>9.8700566231138501E-2</v>
      </c>
      <c r="D48" s="287">
        <f>SUM(D11:D46)</f>
        <v>20086</v>
      </c>
      <c r="E48" s="294">
        <f>D48/'- 3 -'!$F48*100</f>
        <v>8.6568607288560159E-4</v>
      </c>
      <c r="F48" s="287">
        <f>SUM(F11:F46)</f>
        <v>38229948</v>
      </c>
      <c r="G48" s="294">
        <f>F48/'- 3 -'!$D48*100</f>
        <v>1.6220441515621686</v>
      </c>
    </row>
    <row r="49" spans="1:7" ht="5.0999999999999996" customHeight="1" x14ac:dyDescent="0.2">
      <c r="A49" s="21" t="s">
        <v>7</v>
      </c>
      <c r="B49" s="22"/>
      <c r="C49"/>
      <c r="D49" s="22"/>
      <c r="E49"/>
      <c r="F49" s="22"/>
      <c r="G49"/>
    </row>
    <row r="50" spans="1:7" ht="14.1" customHeight="1" x14ac:dyDescent="0.2">
      <c r="A50" s="19" t="s">
        <v>146</v>
      </c>
      <c r="B50" s="20">
        <v>606</v>
      </c>
      <c r="C50" s="70">
        <f>B50/'- 3 -'!$D50*100</f>
        <v>1.8720280396437462E-2</v>
      </c>
      <c r="D50" s="20">
        <v>0</v>
      </c>
      <c r="E50" s="70">
        <f>D50/'- 3 -'!$D50*100</f>
        <v>0</v>
      </c>
      <c r="F50" s="20">
        <v>46251</v>
      </c>
      <c r="G50" s="70">
        <f>F50/'- 3 -'!$D50*100</f>
        <v>1.4287651627320612</v>
      </c>
    </row>
    <row r="51" spans="1:7" ht="14.1" customHeight="1" x14ac:dyDescent="0.2">
      <c r="A51" s="284" t="s">
        <v>607</v>
      </c>
      <c r="B51" s="285">
        <v>178153</v>
      </c>
      <c r="C51" s="291">
        <f>B51/'- 3 -'!$D51*100</f>
        <v>0.58696680202643292</v>
      </c>
      <c r="D51" s="285">
        <v>126452</v>
      </c>
      <c r="E51" s="291">
        <f>D51/'- 3 -'!$D51*100</f>
        <v>0.41662574332088986</v>
      </c>
      <c r="F51" s="285">
        <v>371838</v>
      </c>
      <c r="G51" s="291">
        <f>F51/'- 3 -'!$D51*100</f>
        <v>1.2251074173991163</v>
      </c>
    </row>
    <row r="52" spans="1:7" ht="50.1" customHeight="1" x14ac:dyDescent="0.2"/>
  </sheetData>
  <mergeCells count="3">
    <mergeCell ref="B7:C8"/>
    <mergeCell ref="D7:E8"/>
    <mergeCell ref="F7:G8"/>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G68"/>
  <sheetViews>
    <sheetView showGridLines="0" showZeros="0" workbookViewId="0"/>
  </sheetViews>
  <sheetFormatPr defaultColWidth="15.83203125" defaultRowHeight="12" x14ac:dyDescent="0.2"/>
  <cols>
    <col min="1" max="1" width="40.83203125" style="2" customWidth="1"/>
    <col min="2" max="2" width="27.83203125" style="2" customWidth="1"/>
    <col min="3" max="3" width="18.83203125" style="2" customWidth="1"/>
    <col min="4" max="4" width="27.83203125" style="2" customWidth="1"/>
    <col min="5" max="5" width="18.83203125" style="2" customWidth="1"/>
    <col min="6" max="16384" width="15.83203125" style="2"/>
  </cols>
  <sheetData>
    <row r="1" spans="1:7" ht="6.95" customHeight="1" x14ac:dyDescent="0.2">
      <c r="A1" s="7"/>
      <c r="B1" s="8"/>
      <c r="C1" s="8"/>
      <c r="D1" s="8"/>
      <c r="E1" s="8"/>
    </row>
    <row r="2" spans="1:7" ht="15.95" customHeight="1" x14ac:dyDescent="0.2">
      <c r="A2" s="27"/>
      <c r="B2" s="599" t="s">
        <v>264</v>
      </c>
      <c r="C2" s="600"/>
      <c r="D2" s="600"/>
      <c r="E2" s="28"/>
    </row>
    <row r="3" spans="1:7" ht="15.95" customHeight="1" x14ac:dyDescent="0.2">
      <c r="A3" s="542"/>
      <c r="B3" s="601"/>
      <c r="C3" s="601"/>
      <c r="D3" s="601"/>
      <c r="E3" s="30"/>
    </row>
    <row r="4" spans="1:7" ht="15.95" customHeight="1" x14ac:dyDescent="0.2">
      <c r="B4" s="8"/>
      <c r="C4" s="31"/>
      <c r="D4" s="32"/>
      <c r="E4" s="31"/>
    </row>
    <row r="5" spans="1:7" ht="15.95" customHeight="1" x14ac:dyDescent="0.2">
      <c r="B5" s="8"/>
      <c r="C5" s="8"/>
      <c r="D5" s="8"/>
      <c r="E5" s="8"/>
    </row>
    <row r="6" spans="1:7" ht="15.95" customHeight="1" x14ac:dyDescent="0.2">
      <c r="B6" s="8"/>
      <c r="C6" s="8"/>
      <c r="D6" s="8"/>
      <c r="E6" s="8"/>
    </row>
    <row r="7" spans="1:7" ht="15.95" customHeight="1" x14ac:dyDescent="0.2">
      <c r="B7" s="281" t="s">
        <v>633</v>
      </c>
      <c r="C7" s="282"/>
      <c r="D7" s="281" t="s">
        <v>636</v>
      </c>
      <c r="E7" s="283"/>
    </row>
    <row r="8" spans="1:7" ht="15.95" customHeight="1" x14ac:dyDescent="0.2">
      <c r="A8" s="33"/>
      <c r="B8" s="34"/>
      <c r="C8" s="277"/>
      <c r="D8" s="34"/>
      <c r="E8" s="277"/>
    </row>
    <row r="9" spans="1:7" ht="15.95" customHeight="1" x14ac:dyDescent="0.2">
      <c r="A9" s="35" t="s">
        <v>42</v>
      </c>
      <c r="B9" s="402" t="s">
        <v>252</v>
      </c>
      <c r="C9" s="278" t="s">
        <v>45</v>
      </c>
      <c r="D9" s="402" t="s">
        <v>252</v>
      </c>
      <c r="E9" s="278" t="s">
        <v>45</v>
      </c>
    </row>
    <row r="10" spans="1:7" ht="5.0999999999999996" customHeight="1" x14ac:dyDescent="0.2">
      <c r="A10" s="6"/>
    </row>
    <row r="11" spans="1:7" ht="14.1" customHeight="1" x14ac:dyDescent="0.2">
      <c r="A11" s="284" t="s">
        <v>110</v>
      </c>
      <c r="B11" s="285">
        <v>19095701</v>
      </c>
      <c r="C11" s="285">
        <v>10813</v>
      </c>
      <c r="D11" s="285">
        <f>'- 3 -'!F11</f>
        <v>19763282</v>
      </c>
      <c r="E11" s="285">
        <f>ROUND(D11/'- 7 -'!E11,0)</f>
        <v>10991</v>
      </c>
      <c r="F11" s="131"/>
      <c r="G11" s="131"/>
    </row>
    <row r="12" spans="1:7" ht="14.1" customHeight="1" x14ac:dyDescent="0.2">
      <c r="A12" s="19" t="s">
        <v>111</v>
      </c>
      <c r="B12" s="37">
        <v>32799377</v>
      </c>
      <c r="C12" s="37">
        <v>15475</v>
      </c>
      <c r="D12" s="20">
        <f>'- 3 -'!F12</f>
        <v>33435285</v>
      </c>
      <c r="E12" s="20">
        <f>ROUND(D12/'- 7 -'!E12,0)</f>
        <v>16148</v>
      </c>
      <c r="F12" s="131"/>
      <c r="G12" s="131"/>
    </row>
    <row r="13" spans="1:7" ht="14.1" customHeight="1" x14ac:dyDescent="0.2">
      <c r="A13" s="284" t="s">
        <v>112</v>
      </c>
      <c r="B13" s="285">
        <v>95621064</v>
      </c>
      <c r="C13" s="285">
        <v>11419</v>
      </c>
      <c r="D13" s="285">
        <f>'- 3 -'!F13</f>
        <v>98639916</v>
      </c>
      <c r="E13" s="285">
        <f>ROUND(D13/'- 7 -'!E13,0)</f>
        <v>11698</v>
      </c>
      <c r="F13" s="131"/>
      <c r="G13" s="131"/>
    </row>
    <row r="14" spans="1:7" ht="14.1" customHeight="1" x14ac:dyDescent="0.2">
      <c r="A14" s="19" t="s">
        <v>359</v>
      </c>
      <c r="B14" s="20">
        <v>81342274</v>
      </c>
      <c r="C14" s="20">
        <v>14835</v>
      </c>
      <c r="D14" s="20">
        <f>'- 3 -'!F14</f>
        <v>86586307</v>
      </c>
      <c r="E14" s="20">
        <f>ROUND(D14/'- 7 -'!E14,0)</f>
        <v>15441</v>
      </c>
      <c r="F14" s="131"/>
      <c r="G14" s="131"/>
    </row>
    <row r="15" spans="1:7" ht="14.1" customHeight="1" x14ac:dyDescent="0.2">
      <c r="A15" s="284" t="s">
        <v>113</v>
      </c>
      <c r="B15" s="285">
        <v>19460021</v>
      </c>
      <c r="C15" s="285">
        <v>13908</v>
      </c>
      <c r="D15" s="285">
        <f>'- 3 -'!F15</f>
        <v>19929719</v>
      </c>
      <c r="E15" s="285">
        <f>ROUND(D15/'- 7 -'!E15,0)</f>
        <v>14444</v>
      </c>
      <c r="F15" s="131"/>
      <c r="G15" s="131"/>
    </row>
    <row r="16" spans="1:7" ht="14.1" customHeight="1" x14ac:dyDescent="0.2">
      <c r="A16" s="19" t="s">
        <v>114</v>
      </c>
      <c r="B16" s="37">
        <v>14393625</v>
      </c>
      <c r="C16" s="37">
        <v>15926</v>
      </c>
      <c r="D16" s="20">
        <f>'- 3 -'!F16</f>
        <v>14357715</v>
      </c>
      <c r="E16" s="20">
        <f>ROUND(D16/'- 7 -'!E16,0)</f>
        <v>15728</v>
      </c>
      <c r="F16" s="131"/>
      <c r="G16" s="131"/>
    </row>
    <row r="17" spans="1:7" ht="14.1" customHeight="1" x14ac:dyDescent="0.2">
      <c r="A17" s="284" t="s">
        <v>115</v>
      </c>
      <c r="B17" s="285">
        <v>17558599</v>
      </c>
      <c r="C17" s="285">
        <v>12564</v>
      </c>
      <c r="D17" s="285">
        <f>'- 3 -'!F17</f>
        <v>18070705</v>
      </c>
      <c r="E17" s="285">
        <f>ROUND(D17/'- 7 -'!E17,0)</f>
        <v>12937</v>
      </c>
      <c r="F17" s="131"/>
      <c r="G17" s="131"/>
    </row>
    <row r="18" spans="1:7" ht="14.1" customHeight="1" x14ac:dyDescent="0.2">
      <c r="A18" s="19" t="s">
        <v>116</v>
      </c>
      <c r="B18" s="20">
        <v>123756568</v>
      </c>
      <c r="C18" s="20">
        <v>20305</v>
      </c>
      <c r="D18" s="20">
        <f>'- 3 -'!F18</f>
        <v>128274942</v>
      </c>
      <c r="E18" s="20">
        <f>ROUND(D18/'- 7 -'!E18,0)</f>
        <v>21056</v>
      </c>
      <c r="F18" s="131"/>
      <c r="G18" s="131"/>
    </row>
    <row r="19" spans="1:7" ht="14.1" customHeight="1" x14ac:dyDescent="0.2">
      <c r="A19" s="284" t="s">
        <v>117</v>
      </c>
      <c r="B19" s="285">
        <v>46086687.509999998</v>
      </c>
      <c r="C19" s="285">
        <v>10520</v>
      </c>
      <c r="D19" s="285">
        <f>'- 3 -'!F19</f>
        <v>49168758</v>
      </c>
      <c r="E19" s="285">
        <f>ROUND(D19/'- 7 -'!E19,0)</f>
        <v>11090</v>
      </c>
      <c r="F19" s="131"/>
      <c r="G19" s="131"/>
    </row>
    <row r="20" spans="1:7" ht="14.1" customHeight="1" x14ac:dyDescent="0.2">
      <c r="A20" s="19" t="s">
        <v>118</v>
      </c>
      <c r="B20" s="37">
        <v>82080624</v>
      </c>
      <c r="C20" s="37">
        <v>10750</v>
      </c>
      <c r="D20" s="20">
        <f>'- 3 -'!F20</f>
        <v>84621802</v>
      </c>
      <c r="E20" s="20">
        <f>ROUND(D20/'- 7 -'!E20,0)</f>
        <v>10859</v>
      </c>
      <c r="F20" s="131"/>
      <c r="G20" s="131"/>
    </row>
    <row r="21" spans="1:7" ht="14.1" customHeight="1" x14ac:dyDescent="0.2">
      <c r="A21" s="284" t="s">
        <v>119</v>
      </c>
      <c r="B21" s="285">
        <v>35741629</v>
      </c>
      <c r="C21" s="285">
        <v>13034</v>
      </c>
      <c r="D21" s="285">
        <f>'- 3 -'!F21</f>
        <v>36578113</v>
      </c>
      <c r="E21" s="285">
        <f>ROUND(D21/'- 7 -'!E21,0)</f>
        <v>13147</v>
      </c>
      <c r="F21" s="131"/>
      <c r="G21" s="131"/>
    </row>
    <row r="22" spans="1:7" ht="14.1" customHeight="1" x14ac:dyDescent="0.2">
      <c r="A22" s="19" t="s">
        <v>120</v>
      </c>
      <c r="B22" s="20">
        <v>19391493</v>
      </c>
      <c r="C22" s="20">
        <v>12727</v>
      </c>
      <c r="D22" s="20">
        <f>'- 3 -'!F22</f>
        <v>19969617</v>
      </c>
      <c r="E22" s="20">
        <f>ROUND(D22/'- 7 -'!E22,0)</f>
        <v>13372</v>
      </c>
      <c r="F22" s="131"/>
      <c r="G22" s="131"/>
    </row>
    <row r="23" spans="1:7" ht="14.1" customHeight="1" x14ac:dyDescent="0.2">
      <c r="A23" s="284" t="s">
        <v>121</v>
      </c>
      <c r="B23" s="285">
        <v>16636424</v>
      </c>
      <c r="C23" s="285">
        <v>14927</v>
      </c>
      <c r="D23" s="285">
        <f>'- 3 -'!F23</f>
        <v>16001617</v>
      </c>
      <c r="E23" s="285">
        <f>ROUND(D23/'- 7 -'!E23,0)</f>
        <v>15349</v>
      </c>
      <c r="F23" s="131"/>
      <c r="G23" s="131"/>
    </row>
    <row r="24" spans="1:7" ht="14.1" customHeight="1" x14ac:dyDescent="0.2">
      <c r="A24" s="19" t="s">
        <v>122</v>
      </c>
      <c r="B24" s="37">
        <v>56455744</v>
      </c>
      <c r="C24" s="37">
        <v>14299</v>
      </c>
      <c r="D24" s="20">
        <f>'- 3 -'!F24</f>
        <v>57025546</v>
      </c>
      <c r="E24" s="20">
        <f>ROUND(D24/'- 7 -'!E24,0)</f>
        <v>14655</v>
      </c>
      <c r="F24" s="131"/>
      <c r="G24" s="131"/>
    </row>
    <row r="25" spans="1:7" ht="14.1" customHeight="1" x14ac:dyDescent="0.2">
      <c r="A25" s="284" t="s">
        <v>123</v>
      </c>
      <c r="B25" s="285">
        <v>174584672</v>
      </c>
      <c r="C25" s="285">
        <v>12178</v>
      </c>
      <c r="D25" s="285">
        <f>'- 3 -'!F25</f>
        <v>183174827</v>
      </c>
      <c r="E25" s="285">
        <f>ROUND(D25/'- 7 -'!E25,0)</f>
        <v>12523</v>
      </c>
      <c r="F25" s="131"/>
      <c r="G25" s="131"/>
    </row>
    <row r="26" spans="1:7" ht="14.1" customHeight="1" x14ac:dyDescent="0.2">
      <c r="A26" s="19" t="s">
        <v>124</v>
      </c>
      <c r="B26" s="20">
        <v>40882991</v>
      </c>
      <c r="C26" s="20">
        <v>13378</v>
      </c>
      <c r="D26" s="20">
        <f>'- 3 -'!F26</f>
        <v>40698217</v>
      </c>
      <c r="E26" s="20">
        <f>ROUND(D26/'- 7 -'!E26,0)</f>
        <v>13773</v>
      </c>
      <c r="F26" s="131"/>
      <c r="G26" s="131"/>
    </row>
    <row r="27" spans="1:7" ht="14.1" customHeight="1" x14ac:dyDescent="0.2">
      <c r="A27" s="284" t="s">
        <v>125</v>
      </c>
      <c r="B27" s="285">
        <v>41442197</v>
      </c>
      <c r="C27" s="285">
        <v>13871</v>
      </c>
      <c r="D27" s="285">
        <f>'- 3 -'!F27</f>
        <v>40945654</v>
      </c>
      <c r="E27" s="285">
        <f>ROUND(D27/'- 7 -'!E27,0)</f>
        <v>13509</v>
      </c>
      <c r="F27" s="131"/>
      <c r="G27" s="131"/>
    </row>
    <row r="28" spans="1:7" ht="14.1" customHeight="1" x14ac:dyDescent="0.2">
      <c r="A28" s="19" t="s">
        <v>126</v>
      </c>
      <c r="B28" s="37">
        <v>28007899</v>
      </c>
      <c r="C28" s="37">
        <v>14268</v>
      </c>
      <c r="D28" s="20">
        <f>'- 3 -'!F28</f>
        <v>28684353</v>
      </c>
      <c r="E28" s="20">
        <f>ROUND(D28/'- 7 -'!E28,0)</f>
        <v>14714</v>
      </c>
      <c r="F28" s="131"/>
      <c r="G28" s="131"/>
    </row>
    <row r="29" spans="1:7" ht="14.1" customHeight="1" x14ac:dyDescent="0.2">
      <c r="A29" s="284" t="s">
        <v>127</v>
      </c>
      <c r="B29" s="285">
        <v>158369258</v>
      </c>
      <c r="C29" s="285">
        <v>12106</v>
      </c>
      <c r="D29" s="285">
        <f>'- 3 -'!F29</f>
        <v>161910984</v>
      </c>
      <c r="E29" s="285">
        <f>ROUND(D29/'- 7 -'!E29,0)</f>
        <v>12089</v>
      </c>
      <c r="F29" s="131"/>
      <c r="G29" s="131"/>
    </row>
    <row r="30" spans="1:7" ht="14.1" customHeight="1" x14ac:dyDescent="0.2">
      <c r="A30" s="19" t="s">
        <v>128</v>
      </c>
      <c r="B30" s="20">
        <v>14090608</v>
      </c>
      <c r="C30" s="20">
        <v>14103</v>
      </c>
      <c r="D30" s="20">
        <f>'- 3 -'!F30</f>
        <v>14681678</v>
      </c>
      <c r="E30" s="20">
        <f>ROUND(D30/'- 7 -'!E30,0)</f>
        <v>14577</v>
      </c>
      <c r="F30" s="131"/>
      <c r="G30" s="131"/>
    </row>
    <row r="31" spans="1:7" ht="14.1" customHeight="1" x14ac:dyDescent="0.2">
      <c r="A31" s="284" t="s">
        <v>129</v>
      </c>
      <c r="B31" s="285">
        <v>37463904</v>
      </c>
      <c r="C31" s="285">
        <v>11517</v>
      </c>
      <c r="D31" s="285">
        <f>'- 3 -'!F31</f>
        <v>37973092</v>
      </c>
      <c r="E31" s="285">
        <f>ROUND(D31/'- 7 -'!E31,0)</f>
        <v>11471</v>
      </c>
      <c r="F31" s="131"/>
      <c r="G31" s="131"/>
    </row>
    <row r="32" spans="1:7" ht="14.1" customHeight="1" x14ac:dyDescent="0.2">
      <c r="A32" s="19" t="s">
        <v>130</v>
      </c>
      <c r="B32" s="37">
        <v>28989102</v>
      </c>
      <c r="C32" s="37">
        <v>13463</v>
      </c>
      <c r="D32" s="20">
        <f>'- 3 -'!F32</f>
        <v>31080004</v>
      </c>
      <c r="E32" s="20">
        <f>ROUND(D32/'- 7 -'!E32,0)</f>
        <v>14214</v>
      </c>
      <c r="F32" s="131"/>
      <c r="G32" s="131"/>
    </row>
    <row r="33" spans="1:7" ht="14.1" customHeight="1" x14ac:dyDescent="0.2">
      <c r="A33" s="284" t="s">
        <v>131</v>
      </c>
      <c r="B33" s="285">
        <v>27775125</v>
      </c>
      <c r="C33" s="285">
        <v>13753</v>
      </c>
      <c r="D33" s="285">
        <f>'- 3 -'!F33</f>
        <v>28314659</v>
      </c>
      <c r="E33" s="285">
        <f>ROUND(D33/'- 7 -'!E33,0)</f>
        <v>13518</v>
      </c>
      <c r="F33" s="131"/>
      <c r="G33" s="131"/>
    </row>
    <row r="34" spans="1:7" ht="14.1" customHeight="1" x14ac:dyDescent="0.2">
      <c r="A34" s="19" t="s">
        <v>132</v>
      </c>
      <c r="B34" s="20">
        <v>29022258</v>
      </c>
      <c r="C34" s="20">
        <v>14262</v>
      </c>
      <c r="D34" s="20">
        <f>'- 3 -'!F34</f>
        <v>30687842</v>
      </c>
      <c r="E34" s="20">
        <f>ROUND(D34/'- 7 -'!E34,0)</f>
        <v>14634</v>
      </c>
      <c r="F34" s="131"/>
      <c r="G34" s="131"/>
    </row>
    <row r="35" spans="1:7" ht="14.1" customHeight="1" x14ac:dyDescent="0.2">
      <c r="A35" s="284" t="s">
        <v>133</v>
      </c>
      <c r="B35" s="285">
        <v>181302304</v>
      </c>
      <c r="C35" s="285">
        <v>11616</v>
      </c>
      <c r="D35" s="285">
        <f>'- 3 -'!F35</f>
        <v>185306244</v>
      </c>
      <c r="E35" s="285">
        <f>ROUND(D35/'- 7 -'!E35,0)</f>
        <v>11685</v>
      </c>
      <c r="F35" s="131"/>
      <c r="G35" s="131"/>
    </row>
    <row r="36" spans="1:7" ht="14.1" customHeight="1" x14ac:dyDescent="0.2">
      <c r="A36" s="19" t="s">
        <v>134</v>
      </c>
      <c r="B36" s="37">
        <v>23261672</v>
      </c>
      <c r="C36" s="37">
        <v>13950</v>
      </c>
      <c r="D36" s="20">
        <f>'- 3 -'!F36</f>
        <v>23519431</v>
      </c>
      <c r="E36" s="20">
        <f>ROUND(D36/'- 7 -'!E36,0)</f>
        <v>13910</v>
      </c>
      <c r="F36" s="131"/>
      <c r="G36" s="131"/>
    </row>
    <row r="37" spans="1:7" ht="14.1" customHeight="1" x14ac:dyDescent="0.2">
      <c r="A37" s="284" t="s">
        <v>135</v>
      </c>
      <c r="B37" s="285">
        <v>49429915</v>
      </c>
      <c r="C37" s="285">
        <v>11817</v>
      </c>
      <c r="D37" s="285">
        <f>'- 3 -'!F37</f>
        <v>51614450</v>
      </c>
      <c r="E37" s="285">
        <f>ROUND(D37/'- 7 -'!E37,0)</f>
        <v>12304</v>
      </c>
      <c r="F37" s="131"/>
      <c r="G37" s="131"/>
    </row>
    <row r="38" spans="1:7" ht="14.1" customHeight="1" x14ac:dyDescent="0.2">
      <c r="A38" s="19" t="s">
        <v>136</v>
      </c>
      <c r="B38" s="20">
        <v>132740818</v>
      </c>
      <c r="C38" s="20">
        <v>12074</v>
      </c>
      <c r="D38" s="20">
        <f>'- 3 -'!F38</f>
        <v>137706533</v>
      </c>
      <c r="E38" s="20">
        <f>ROUND(D38/'- 7 -'!E38,0)</f>
        <v>12441</v>
      </c>
      <c r="F38" s="131"/>
      <c r="G38" s="131"/>
    </row>
    <row r="39" spans="1:7" ht="14.1" customHeight="1" x14ac:dyDescent="0.2">
      <c r="A39" s="284" t="s">
        <v>137</v>
      </c>
      <c r="B39" s="285">
        <v>21297681</v>
      </c>
      <c r="C39" s="285">
        <v>14198</v>
      </c>
      <c r="D39" s="285">
        <f>'- 3 -'!F39</f>
        <v>22230098</v>
      </c>
      <c r="E39" s="285">
        <f>ROUND(D39/'- 7 -'!E39,0)</f>
        <v>14693</v>
      </c>
      <c r="F39" s="131"/>
      <c r="G39" s="131"/>
    </row>
    <row r="40" spans="1:7" ht="14.1" customHeight="1" x14ac:dyDescent="0.2">
      <c r="A40" s="19" t="s">
        <v>138</v>
      </c>
      <c r="B40" s="37">
        <v>103349549</v>
      </c>
      <c r="C40" s="37">
        <v>12511</v>
      </c>
      <c r="D40" s="20">
        <f>'- 3 -'!F40</f>
        <v>105013281</v>
      </c>
      <c r="E40" s="20">
        <f>ROUND(D40/'- 7 -'!E40,0)</f>
        <v>12921</v>
      </c>
      <c r="F40" s="131"/>
      <c r="G40" s="131"/>
    </row>
    <row r="41" spans="1:7" ht="14.1" customHeight="1" x14ac:dyDescent="0.2">
      <c r="A41" s="284" t="s">
        <v>139</v>
      </c>
      <c r="B41" s="285">
        <v>61370112</v>
      </c>
      <c r="C41" s="285">
        <v>13765</v>
      </c>
      <c r="D41" s="285">
        <f>'- 3 -'!F41</f>
        <v>63563430</v>
      </c>
      <c r="E41" s="285">
        <f>ROUND(D41/'- 7 -'!E41,0)</f>
        <v>14298</v>
      </c>
      <c r="F41" s="131"/>
      <c r="G41" s="131"/>
    </row>
    <row r="42" spans="1:7" ht="14.1" customHeight="1" x14ac:dyDescent="0.2">
      <c r="A42" s="19" t="s">
        <v>140</v>
      </c>
      <c r="B42" s="20">
        <v>20070287</v>
      </c>
      <c r="C42" s="20">
        <v>14558</v>
      </c>
      <c r="D42" s="20">
        <f>'- 3 -'!F42</f>
        <v>20804560</v>
      </c>
      <c r="E42" s="20">
        <f>ROUND(D42/'- 7 -'!E42,0)</f>
        <v>14734</v>
      </c>
      <c r="F42" s="131"/>
      <c r="G42" s="131"/>
    </row>
    <row r="43" spans="1:7" ht="14.1" customHeight="1" x14ac:dyDescent="0.2">
      <c r="A43" s="284" t="s">
        <v>141</v>
      </c>
      <c r="B43" s="285">
        <v>13016350</v>
      </c>
      <c r="C43" s="285">
        <v>13521</v>
      </c>
      <c r="D43" s="285">
        <f>'- 3 -'!F43</f>
        <v>13216171</v>
      </c>
      <c r="E43" s="285">
        <f>ROUND(D43/'- 7 -'!E43,0)</f>
        <v>13639</v>
      </c>
      <c r="F43" s="131"/>
      <c r="G43" s="131"/>
    </row>
    <row r="44" spans="1:7" ht="14.1" customHeight="1" x14ac:dyDescent="0.2">
      <c r="A44" s="19" t="s">
        <v>142</v>
      </c>
      <c r="B44" s="37">
        <v>10774720</v>
      </c>
      <c r="C44" s="37">
        <v>15537</v>
      </c>
      <c r="D44" s="20">
        <f>'- 3 -'!F44</f>
        <v>10941827</v>
      </c>
      <c r="E44" s="20">
        <f>ROUND(D44/'- 7 -'!E44,0)</f>
        <v>15766</v>
      </c>
      <c r="F44" s="131"/>
      <c r="G44" s="131"/>
    </row>
    <row r="45" spans="1:7" ht="14.1" customHeight="1" x14ac:dyDescent="0.2">
      <c r="A45" s="284" t="s">
        <v>143</v>
      </c>
      <c r="B45" s="285">
        <v>18816782</v>
      </c>
      <c r="C45" s="285">
        <v>11167</v>
      </c>
      <c r="D45" s="285">
        <f>'- 3 -'!F45</f>
        <v>19518050</v>
      </c>
      <c r="E45" s="285">
        <f>ROUND(D45/'- 7 -'!E45,0)</f>
        <v>11295</v>
      </c>
      <c r="F45" s="131"/>
      <c r="G45" s="131"/>
    </row>
    <row r="46" spans="1:7" ht="14.1" customHeight="1" x14ac:dyDescent="0.2">
      <c r="A46" s="19" t="s">
        <v>144</v>
      </c>
      <c r="B46" s="20">
        <v>380327432</v>
      </c>
      <c r="C46" s="20">
        <v>12729</v>
      </c>
      <c r="D46" s="20">
        <f>'- 3 -'!F46</f>
        <v>386231922</v>
      </c>
      <c r="E46" s="20">
        <f>ROUND(D46/'- 7 -'!E46,0)</f>
        <v>12918</v>
      </c>
      <c r="F46" s="131"/>
      <c r="G46" s="131"/>
    </row>
    <row r="47" spans="1:7" ht="5.0999999999999996" customHeight="1" x14ac:dyDescent="0.2">
      <c r="A47"/>
      <c r="B47"/>
      <c r="C47"/>
      <c r="D47"/>
      <c r="E47"/>
      <c r="F47"/>
      <c r="G47" s="586"/>
    </row>
    <row r="48" spans="1:7" ht="14.1" customHeight="1" x14ac:dyDescent="0.2">
      <c r="A48" s="286" t="s">
        <v>145</v>
      </c>
      <c r="B48" s="287">
        <v>2256805466.5100002</v>
      </c>
      <c r="C48" s="287">
        <v>12820</v>
      </c>
      <c r="D48" s="287">
        <f>SUM(D11:D46)</f>
        <v>2320240631</v>
      </c>
      <c r="E48" s="287">
        <f>ROUND(D48/'- 7 -'!E48,0)</f>
        <v>13081</v>
      </c>
      <c r="F48" s="131"/>
      <c r="G48" s="131"/>
    </row>
    <row r="49" spans="1:7" ht="5.0999999999999996" customHeight="1" x14ac:dyDescent="0.2">
      <c r="A49" s="21" t="s">
        <v>7</v>
      </c>
      <c r="B49" s="22"/>
      <c r="C49" s="22"/>
      <c r="D49" s="22"/>
      <c r="E49" s="22"/>
    </row>
    <row r="50" spans="1:7" ht="14.1" customHeight="1" x14ac:dyDescent="0.2">
      <c r="A50" s="19" t="s">
        <v>146</v>
      </c>
      <c r="B50" s="37">
        <v>3114441</v>
      </c>
      <c r="C50" s="37">
        <v>20093</v>
      </c>
      <c r="D50" s="20">
        <f>'- 3 -'!F50</f>
        <v>3111473</v>
      </c>
      <c r="E50" s="20">
        <f>ROUND(D50/'- 7 -'!E50,0)</f>
        <v>18972</v>
      </c>
      <c r="F50" s="131"/>
      <c r="G50" s="131"/>
    </row>
    <row r="51" spans="1:7" ht="14.1" customHeight="1" x14ac:dyDescent="0.2">
      <c r="A51" s="284" t="s">
        <v>607</v>
      </c>
      <c r="B51" s="285">
        <v>15875726</v>
      </c>
      <c r="C51" s="285">
        <v>13426</v>
      </c>
      <c r="D51" s="285">
        <f>'- 3 -'!F51</f>
        <v>18210640</v>
      </c>
      <c r="E51" s="285">
        <f>ROUND(D51/'- 7 -'!E51,0)</f>
        <v>16738</v>
      </c>
      <c r="F51" s="131"/>
      <c r="G51" s="131"/>
    </row>
    <row r="52" spans="1:7" ht="50.1" customHeight="1" x14ac:dyDescent="0.2">
      <c r="A52" s="23"/>
      <c r="B52" s="23"/>
      <c r="C52" s="23"/>
      <c r="D52" s="23"/>
      <c r="E52" s="23"/>
    </row>
    <row r="53" spans="1:7" ht="15" customHeight="1" x14ac:dyDescent="0.2">
      <c r="A53" s="602" t="s">
        <v>451</v>
      </c>
      <c r="B53" s="602"/>
      <c r="C53" s="602"/>
      <c r="D53" s="602"/>
      <c r="E53" s="602"/>
    </row>
    <row r="54" spans="1:7" ht="12" customHeight="1" x14ac:dyDescent="0.2">
      <c r="A54" s="603"/>
      <c r="B54" s="603"/>
      <c r="C54" s="603"/>
      <c r="D54" s="603"/>
      <c r="E54" s="603"/>
    </row>
    <row r="55" spans="1:7" ht="12" customHeight="1" x14ac:dyDescent="0.2">
      <c r="A55" s="603"/>
      <c r="B55" s="603"/>
      <c r="C55" s="603"/>
      <c r="D55" s="603"/>
      <c r="E55" s="603"/>
    </row>
    <row r="56" spans="1:7" x14ac:dyDescent="0.2">
      <c r="A56" s="24"/>
    </row>
    <row r="60" spans="1:7" s="3" customFormat="1" ht="11.25" x14ac:dyDescent="0.2"/>
    <row r="61" spans="1:7" s="3" customFormat="1" ht="11.25" x14ac:dyDescent="0.2"/>
    <row r="62" spans="1:7" s="3" customFormat="1" ht="11.25" x14ac:dyDescent="0.2"/>
    <row r="63" spans="1:7" s="3" customFormat="1" ht="11.25" x14ac:dyDescent="0.2"/>
    <row r="64" spans="1:7" s="3" customFormat="1" ht="11.25" x14ac:dyDescent="0.2"/>
    <row r="65" s="3" customFormat="1" ht="11.25" x14ac:dyDescent="0.2"/>
    <row r="66" s="3" customFormat="1" ht="11.25" x14ac:dyDescent="0.2"/>
    <row r="67" s="3" customFormat="1" ht="11.25" x14ac:dyDescent="0.2"/>
    <row r="68" s="3" customFormat="1" ht="11.25" x14ac:dyDescent="0.2"/>
  </sheetData>
  <mergeCells count="2">
    <mergeCell ref="B2:D3"/>
    <mergeCell ref="A53:E55"/>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H52"/>
  <sheetViews>
    <sheetView showGridLines="0" showZeros="0" workbookViewId="0"/>
  </sheetViews>
  <sheetFormatPr defaultColWidth="15.83203125" defaultRowHeight="12" x14ac:dyDescent="0.2"/>
  <cols>
    <col min="1" max="1" width="32.83203125" style="2" customWidth="1"/>
    <col min="2" max="2" width="16.83203125" style="2" customWidth="1"/>
    <col min="3" max="3" width="17.83203125" style="2" customWidth="1"/>
    <col min="4" max="4" width="10.83203125" style="2" customWidth="1"/>
    <col min="5" max="5" width="15.83203125" style="2" customWidth="1"/>
    <col min="6" max="6" width="11.83203125" style="2" customWidth="1"/>
    <col min="7" max="7" width="14.83203125" style="2" customWidth="1"/>
    <col min="8" max="8" width="11.83203125" style="2" customWidth="1"/>
    <col min="9" max="16384" width="15.83203125" style="2"/>
  </cols>
  <sheetData>
    <row r="1" spans="1:8" ht="6.95" customHeight="1" x14ac:dyDescent="0.2">
      <c r="A1" s="7"/>
      <c r="B1" s="8"/>
      <c r="C1" s="8"/>
      <c r="D1" s="8"/>
      <c r="E1" s="8"/>
      <c r="F1" s="8"/>
      <c r="G1" s="8"/>
      <c r="H1" s="8"/>
    </row>
    <row r="2" spans="1:8" ht="15.95" customHeight="1" x14ac:dyDescent="0.2">
      <c r="A2" s="134"/>
      <c r="B2" s="9" t="s">
        <v>267</v>
      </c>
      <c r="C2" s="10"/>
      <c r="D2" s="10"/>
      <c r="E2" s="10"/>
      <c r="F2" s="73"/>
      <c r="G2" s="73"/>
      <c r="H2" s="73"/>
    </row>
    <row r="3" spans="1:8" ht="15.95" customHeight="1" x14ac:dyDescent="0.2">
      <c r="A3" s="541"/>
      <c r="B3" s="11" t="str">
        <f>OPYEAR</f>
        <v>OPERATING FUND 2017/2018 ACTUAL</v>
      </c>
      <c r="C3" s="12"/>
      <c r="D3" s="12"/>
      <c r="E3" s="12"/>
      <c r="F3" s="75"/>
      <c r="G3" s="75"/>
      <c r="H3" s="75"/>
    </row>
    <row r="4" spans="1:8" ht="15.95" customHeight="1" x14ac:dyDescent="0.2">
      <c r="B4" s="8"/>
      <c r="C4" s="8"/>
      <c r="D4" s="8"/>
      <c r="E4" s="8"/>
      <c r="F4" s="8"/>
      <c r="G4" s="8"/>
      <c r="H4" s="8"/>
    </row>
    <row r="5" spans="1:8" ht="15.95" customHeight="1" x14ac:dyDescent="0.2">
      <c r="B5" s="8"/>
      <c r="C5" s="8"/>
      <c r="D5" s="8"/>
      <c r="E5" s="8"/>
      <c r="F5" s="8"/>
      <c r="G5" s="8"/>
      <c r="H5" s="8"/>
    </row>
    <row r="6" spans="1:8" ht="15.95" customHeight="1" x14ac:dyDescent="0.2">
      <c r="B6" s="309" t="s">
        <v>18</v>
      </c>
      <c r="C6" s="312"/>
      <c r="D6" s="316"/>
      <c r="E6" s="316"/>
      <c r="F6" s="316"/>
      <c r="G6" s="316"/>
      <c r="H6" s="306"/>
    </row>
    <row r="7" spans="1:8" ht="15.95" customHeight="1" x14ac:dyDescent="0.2">
      <c r="B7" s="297" t="s">
        <v>32</v>
      </c>
      <c r="C7" s="298"/>
      <c r="D7" s="308"/>
      <c r="E7" s="308"/>
      <c r="F7" s="308"/>
      <c r="G7" s="308"/>
      <c r="H7" s="317"/>
    </row>
    <row r="8" spans="1:8" ht="15.95" customHeight="1" x14ac:dyDescent="0.2">
      <c r="A8" s="67"/>
      <c r="B8" s="31"/>
      <c r="C8" s="612" t="s">
        <v>504</v>
      </c>
      <c r="D8" s="591" t="s">
        <v>476</v>
      </c>
      <c r="E8" s="694" t="s">
        <v>505</v>
      </c>
      <c r="F8" s="692" t="s">
        <v>506</v>
      </c>
      <c r="G8" s="692" t="s">
        <v>507</v>
      </c>
      <c r="H8" s="692" t="s">
        <v>508</v>
      </c>
    </row>
    <row r="9" spans="1:8" ht="15.95" customHeight="1" x14ac:dyDescent="0.2">
      <c r="A9" s="35" t="s">
        <v>42</v>
      </c>
      <c r="B9" s="77" t="s">
        <v>43</v>
      </c>
      <c r="C9" s="593"/>
      <c r="D9" s="593"/>
      <c r="E9" s="693"/>
      <c r="F9" s="693"/>
      <c r="G9" s="693"/>
      <c r="H9" s="693"/>
    </row>
    <row r="10" spans="1:8" ht="5.0999999999999996" customHeight="1" x14ac:dyDescent="0.2">
      <c r="A10" s="6"/>
    </row>
    <row r="11" spans="1:8" ht="14.1" customHeight="1" x14ac:dyDescent="0.2">
      <c r="A11" s="284" t="s">
        <v>110</v>
      </c>
      <c r="B11" s="285">
        <f>'- 29 -'!$D11</f>
        <v>1070117</v>
      </c>
      <c r="C11" s="285">
        <v>740</v>
      </c>
      <c r="D11" s="285">
        <f ca="1">IF(AND(CELL("type",C11)="v",C11&gt;0),B11/C11,"")</f>
        <v>1446.1040540540541</v>
      </c>
      <c r="E11" s="285">
        <v>602915</v>
      </c>
      <c r="F11" s="361">
        <f ca="1">IF(AND(CELL("type",E11)="v",E11&gt;0),B11/E11,"")</f>
        <v>1.7749052519841104</v>
      </c>
      <c r="G11" s="285">
        <v>420335</v>
      </c>
      <c r="H11" s="361">
        <f ca="1">IF(AND(CELL("type",G11)="v",G11&gt;0),B11/G11,"")</f>
        <v>2.5458669870460464</v>
      </c>
    </row>
    <row r="12" spans="1:8" ht="14.1" customHeight="1" x14ac:dyDescent="0.2">
      <c r="A12" s="19" t="s">
        <v>111</v>
      </c>
      <c r="B12" s="20">
        <f>'- 29 -'!$D12</f>
        <v>2127045</v>
      </c>
      <c r="C12" s="20">
        <v>1399</v>
      </c>
      <c r="D12" s="20">
        <f t="shared" ref="D12:D46" ca="1" si="0">IF(AND(CELL("type",C12)="v",C12&gt;0),B12/C12,"")</f>
        <v>1520.4038598999284</v>
      </c>
      <c r="E12" s="20">
        <v>1180855</v>
      </c>
      <c r="F12" s="362">
        <f t="shared" ref="F12:F46" ca="1" si="1">IF(AND(CELL("type",E12)="v",E12&gt;0),B12/E12,"")</f>
        <v>1.8012753471001943</v>
      </c>
      <c r="G12" s="20">
        <v>755300</v>
      </c>
      <c r="H12" s="362">
        <f t="shared" ref="H12:H46" ca="1" si="2">IF(AND(CELL("type",G12)="v",G12&gt;0),B12/G12,"")</f>
        <v>2.8161591420627565</v>
      </c>
    </row>
    <row r="13" spans="1:8" ht="14.1" customHeight="1" x14ac:dyDescent="0.2">
      <c r="A13" s="284" t="s">
        <v>112</v>
      </c>
      <c r="B13" s="285">
        <f>'- 29 -'!$D13</f>
        <v>2159596</v>
      </c>
      <c r="C13" s="285">
        <v>3427</v>
      </c>
      <c r="D13" s="285">
        <f t="shared" ca="1" si="0"/>
        <v>630.17099503939301</v>
      </c>
      <c r="E13" s="285">
        <v>845828</v>
      </c>
      <c r="F13" s="361">
        <f t="shared" ca="1" si="1"/>
        <v>2.5532330450162446</v>
      </c>
      <c r="G13" s="285">
        <v>523909</v>
      </c>
      <c r="H13" s="361">
        <f t="shared" ca="1" si="2"/>
        <v>4.1220822700125401</v>
      </c>
    </row>
    <row r="14" spans="1:8" ht="14.1" customHeight="1" x14ac:dyDescent="0.2">
      <c r="A14" s="19" t="s">
        <v>359</v>
      </c>
      <c r="B14" s="20">
        <f>'- 29 -'!$D14</f>
        <v>8176887</v>
      </c>
      <c r="C14" s="20">
        <v>4538</v>
      </c>
      <c r="D14" s="20">
        <f t="shared" ca="1" si="0"/>
        <v>1801.870207139709</v>
      </c>
      <c r="E14" s="20">
        <v>3144144</v>
      </c>
      <c r="F14" s="362">
        <f t="shared" ca="1" si="1"/>
        <v>2.6006719157901164</v>
      </c>
      <c r="G14" s="20">
        <v>1712316</v>
      </c>
      <c r="H14" s="362">
        <f t="shared" ca="1" si="2"/>
        <v>4.7753376129172418</v>
      </c>
    </row>
    <row r="15" spans="1:8" ht="14.1" customHeight="1" x14ac:dyDescent="0.2">
      <c r="A15" s="284" t="s">
        <v>113</v>
      </c>
      <c r="B15" s="285">
        <f>'- 29 -'!$D15</f>
        <v>1516088</v>
      </c>
      <c r="C15" s="285">
        <v>1004</v>
      </c>
      <c r="D15" s="285">
        <f t="shared" ca="1" si="0"/>
        <v>1510.0478087649403</v>
      </c>
      <c r="E15" s="285">
        <v>745126</v>
      </c>
      <c r="F15" s="361">
        <f t="shared" ca="1" si="1"/>
        <v>2.0346733304166005</v>
      </c>
      <c r="G15" s="285">
        <v>469605</v>
      </c>
      <c r="H15" s="361">
        <f t="shared" ca="1" si="2"/>
        <v>3.2284324059581988</v>
      </c>
    </row>
    <row r="16" spans="1:8" ht="14.1" customHeight="1" x14ac:dyDescent="0.2">
      <c r="A16" s="19" t="s">
        <v>114</v>
      </c>
      <c r="B16" s="20">
        <f>'- 29 -'!$D16</f>
        <v>322980</v>
      </c>
      <c r="C16" s="20">
        <v>285</v>
      </c>
      <c r="D16" s="20">
        <f t="shared" ca="1" si="0"/>
        <v>1133.2631578947369</v>
      </c>
      <c r="E16" s="20">
        <v>60971</v>
      </c>
      <c r="F16" s="362">
        <f t="shared" ca="1" si="1"/>
        <v>5.2972724737990191</v>
      </c>
      <c r="G16" s="20">
        <v>38390</v>
      </c>
      <c r="H16" s="362">
        <f t="shared" ca="1" si="2"/>
        <v>8.4131284188590776</v>
      </c>
    </row>
    <row r="17" spans="1:8" ht="14.1" customHeight="1" x14ac:dyDescent="0.2">
      <c r="A17" s="284" t="s">
        <v>115</v>
      </c>
      <c r="B17" s="285">
        <f>'- 29 -'!$D17</f>
        <v>1366587</v>
      </c>
      <c r="C17" s="285">
        <v>732</v>
      </c>
      <c r="D17" s="285">
        <f t="shared" ca="1" si="0"/>
        <v>1866.922131147541</v>
      </c>
      <c r="E17" s="285">
        <v>945865.8</v>
      </c>
      <c r="F17" s="361">
        <f t="shared" ca="1" si="1"/>
        <v>1.444800097434541</v>
      </c>
      <c r="G17" s="285">
        <v>614525.4</v>
      </c>
      <c r="H17" s="361">
        <f t="shared" ca="1" si="2"/>
        <v>2.2238088124591759</v>
      </c>
    </row>
    <row r="18" spans="1:8" ht="14.1" customHeight="1" x14ac:dyDescent="0.2">
      <c r="A18" s="19" t="s">
        <v>116</v>
      </c>
      <c r="B18" s="20">
        <f>'- 29 -'!$D18</f>
        <v>7555526</v>
      </c>
      <c r="C18" s="20">
        <v>5018</v>
      </c>
      <c r="D18" s="20">
        <f t="shared" ca="1" si="0"/>
        <v>1505.6847349541649</v>
      </c>
      <c r="E18" s="20">
        <v>1582825</v>
      </c>
      <c r="F18" s="362">
        <f t="shared" ca="1" si="1"/>
        <v>4.7734436845513564</v>
      </c>
      <c r="G18" s="20">
        <v>1137858</v>
      </c>
      <c r="H18" s="362">
        <f t="shared" ca="1" si="2"/>
        <v>6.6401308423370926</v>
      </c>
    </row>
    <row r="19" spans="1:8" ht="14.1" customHeight="1" x14ac:dyDescent="0.2">
      <c r="A19" s="284" t="s">
        <v>117</v>
      </c>
      <c r="B19" s="285">
        <f>'- 29 -'!$D19</f>
        <v>2681409</v>
      </c>
      <c r="C19" s="285">
        <v>2705</v>
      </c>
      <c r="D19" s="285">
        <f t="shared" ca="1" si="0"/>
        <v>991.27874306839192</v>
      </c>
      <c r="E19" s="285">
        <v>846820.8</v>
      </c>
      <c r="F19" s="361">
        <f t="shared" ca="1" si="1"/>
        <v>3.1664420618860563</v>
      </c>
      <c r="G19" s="285">
        <v>494202</v>
      </c>
      <c r="H19" s="361">
        <f t="shared" ca="1" si="2"/>
        <v>5.4257348209841316</v>
      </c>
    </row>
    <row r="20" spans="1:8" ht="14.1" customHeight="1" x14ac:dyDescent="0.2">
      <c r="A20" s="19" t="s">
        <v>118</v>
      </c>
      <c r="B20" s="20">
        <f>'- 29 -'!$D20</f>
        <v>3058301</v>
      </c>
      <c r="C20" s="20">
        <v>5100</v>
      </c>
      <c r="D20" s="20">
        <f t="shared" ca="1" si="0"/>
        <v>599.666862745098</v>
      </c>
      <c r="E20" s="20">
        <v>1409620</v>
      </c>
      <c r="F20" s="362">
        <f t="shared" ca="1" si="1"/>
        <v>2.1695925142946324</v>
      </c>
      <c r="G20" s="20">
        <v>826472</v>
      </c>
      <c r="H20" s="362">
        <f t="shared" ca="1" si="2"/>
        <v>3.7004290526478818</v>
      </c>
    </row>
    <row r="21" spans="1:8" ht="14.1" customHeight="1" x14ac:dyDescent="0.2">
      <c r="A21" s="284" t="s">
        <v>119</v>
      </c>
      <c r="B21" s="285">
        <f>'- 29 -'!$D21</f>
        <v>1931615</v>
      </c>
      <c r="C21" s="285">
        <v>1578</v>
      </c>
      <c r="D21" s="285">
        <f t="shared" ca="1" si="0"/>
        <v>1224.0906210392902</v>
      </c>
      <c r="E21" s="285">
        <v>937142.39999999991</v>
      </c>
      <c r="F21" s="361">
        <f t="shared" ca="1" si="1"/>
        <v>2.0611755481344138</v>
      </c>
      <c r="G21" s="285">
        <v>586234.80000000005</v>
      </c>
      <c r="H21" s="361">
        <f t="shared" ca="1" si="2"/>
        <v>3.2949511015040387</v>
      </c>
    </row>
    <row r="22" spans="1:8" ht="14.1" customHeight="1" x14ac:dyDescent="0.2">
      <c r="A22" s="19" t="s">
        <v>120</v>
      </c>
      <c r="B22" s="20">
        <f>'- 29 -'!$D22</f>
        <v>358997</v>
      </c>
      <c r="C22" s="20">
        <v>481</v>
      </c>
      <c r="D22" s="20">
        <f t="shared" ca="1" si="0"/>
        <v>746.35550935550941</v>
      </c>
      <c r="E22" s="20">
        <v>160720</v>
      </c>
      <c r="F22" s="362">
        <f t="shared" ca="1" si="1"/>
        <v>2.2336796913887507</v>
      </c>
      <c r="G22" s="20">
        <v>110936</v>
      </c>
      <c r="H22" s="362">
        <f t="shared" ca="1" si="2"/>
        <v>3.2360730511285785</v>
      </c>
    </row>
    <row r="23" spans="1:8" ht="14.1" customHeight="1" x14ac:dyDescent="0.2">
      <c r="A23" s="284" t="s">
        <v>121</v>
      </c>
      <c r="B23" s="285">
        <f>'- 29 -'!$D23</f>
        <v>1559950</v>
      </c>
      <c r="C23" s="285">
        <v>800</v>
      </c>
      <c r="D23" s="285">
        <f t="shared" ca="1" si="0"/>
        <v>1949.9375</v>
      </c>
      <c r="E23" s="285">
        <v>957900</v>
      </c>
      <c r="F23" s="361">
        <f t="shared" ca="1" si="1"/>
        <v>1.6285102829105336</v>
      </c>
      <c r="G23" s="285">
        <v>540423</v>
      </c>
      <c r="H23" s="361">
        <f t="shared" ca="1" si="2"/>
        <v>2.8865351770742547</v>
      </c>
    </row>
    <row r="24" spans="1:8" ht="14.1" customHeight="1" x14ac:dyDescent="0.2">
      <c r="A24" s="19" t="s">
        <v>122</v>
      </c>
      <c r="B24" s="20">
        <f>'- 29 -'!$D24</f>
        <v>2325502</v>
      </c>
      <c r="C24" s="20">
        <v>2758</v>
      </c>
      <c r="D24" s="20">
        <f t="shared" ca="1" si="0"/>
        <v>843.18419144307472</v>
      </c>
      <c r="E24" s="20">
        <v>1012956</v>
      </c>
      <c r="F24" s="362">
        <f t="shared" ca="1" si="1"/>
        <v>2.2957581573138417</v>
      </c>
      <c r="G24" s="20">
        <v>637236</v>
      </c>
      <c r="H24" s="362">
        <f t="shared" ca="1" si="2"/>
        <v>3.6493575378666616</v>
      </c>
    </row>
    <row r="25" spans="1:8" ht="14.1" customHeight="1" x14ac:dyDescent="0.2">
      <c r="A25" s="284" t="s">
        <v>123</v>
      </c>
      <c r="B25" s="285">
        <f>'- 29 -'!$D25</f>
        <v>3749175</v>
      </c>
      <c r="C25" s="285">
        <v>2626</v>
      </c>
      <c r="D25" s="285">
        <f t="shared" ca="1" si="0"/>
        <v>1427.7132520944401</v>
      </c>
      <c r="E25" s="285">
        <v>802230</v>
      </c>
      <c r="F25" s="361">
        <f t="shared" ca="1" si="1"/>
        <v>4.673441531730302</v>
      </c>
      <c r="G25" s="285">
        <v>397188</v>
      </c>
      <c r="H25" s="361">
        <f t="shared" ca="1" si="2"/>
        <v>9.4392957491162868</v>
      </c>
    </row>
    <row r="26" spans="1:8" ht="14.1" customHeight="1" x14ac:dyDescent="0.2">
      <c r="A26" s="19" t="s">
        <v>124</v>
      </c>
      <c r="B26" s="20">
        <f>'- 29 -'!$D26</f>
        <v>2669323</v>
      </c>
      <c r="C26" s="20">
        <v>1553</v>
      </c>
      <c r="D26" s="20">
        <f t="shared" ca="1" si="0"/>
        <v>1718.8171281390858</v>
      </c>
      <c r="E26" s="20">
        <v>1223849</v>
      </c>
      <c r="F26" s="362">
        <f t="shared" ca="1" si="1"/>
        <v>2.1810885166388991</v>
      </c>
      <c r="G26" s="20">
        <v>1000681</v>
      </c>
      <c r="H26" s="362">
        <f t="shared" ca="1" si="2"/>
        <v>2.6675064281224485</v>
      </c>
    </row>
    <row r="27" spans="1:8" ht="14.1" customHeight="1" x14ac:dyDescent="0.2">
      <c r="A27" s="284" t="s">
        <v>125</v>
      </c>
      <c r="B27" s="285">
        <f>'- 29 -'!$D27</f>
        <v>0</v>
      </c>
      <c r="C27" s="285">
        <v>0</v>
      </c>
      <c r="D27" s="285" t="str">
        <f ca="1">IF(AND(CELL("type",C27)="v",C27&gt;0),B27/C27,"")</f>
        <v/>
      </c>
      <c r="E27" s="285">
        <v>0</v>
      </c>
      <c r="F27" s="361" t="str">
        <f ca="1">IF(AND(CELL("type",E27)="v",E27&gt;0),B27/E27,"")</f>
        <v/>
      </c>
      <c r="G27" s="285">
        <v>0</v>
      </c>
      <c r="H27" s="361" t="str">
        <f ca="1">IF(AND(CELL("type",G27)="v",G27&gt;0),B27/G27,"")</f>
        <v/>
      </c>
    </row>
    <row r="28" spans="1:8" ht="14.1" customHeight="1" x14ac:dyDescent="0.2">
      <c r="A28" s="19" t="s">
        <v>126</v>
      </c>
      <c r="B28" s="20">
        <f>'- 29 -'!$D28</f>
        <v>1833205</v>
      </c>
      <c r="C28" s="20">
        <v>799</v>
      </c>
      <c r="D28" s="20">
        <f t="shared" ca="1" si="0"/>
        <v>2294.3742177722152</v>
      </c>
      <c r="E28" s="20">
        <v>1209000</v>
      </c>
      <c r="F28" s="362">
        <f t="shared" ca="1" si="1"/>
        <v>1.516298593879239</v>
      </c>
      <c r="G28" s="20">
        <v>759550</v>
      </c>
      <c r="H28" s="362">
        <f t="shared" ca="1" si="2"/>
        <v>2.4135409123823317</v>
      </c>
    </row>
    <row r="29" spans="1:8" ht="14.1" customHeight="1" x14ac:dyDescent="0.2">
      <c r="A29" s="284" t="s">
        <v>127</v>
      </c>
      <c r="B29" s="285">
        <f>'- 29 -'!$D29</f>
        <v>2696786</v>
      </c>
      <c r="C29" s="285">
        <v>2775</v>
      </c>
      <c r="D29" s="285">
        <f t="shared" ca="1" si="0"/>
        <v>971.81477477477472</v>
      </c>
      <c r="E29" s="285">
        <v>551808</v>
      </c>
      <c r="F29" s="361">
        <f t="shared" ca="1" si="1"/>
        <v>4.8871817733704477</v>
      </c>
      <c r="G29" s="285">
        <v>320256</v>
      </c>
      <c r="H29" s="361">
        <f t="shared" ca="1" si="2"/>
        <v>8.4207196742605923</v>
      </c>
    </row>
    <row r="30" spans="1:8" ht="14.1" customHeight="1" x14ac:dyDescent="0.2">
      <c r="A30" s="19" t="s">
        <v>128</v>
      </c>
      <c r="B30" s="20">
        <f>'- 29 -'!$D30</f>
        <v>1079014</v>
      </c>
      <c r="C30" s="20">
        <v>563</v>
      </c>
      <c r="D30" s="20">
        <f t="shared" ca="1" si="0"/>
        <v>1916.54351687389</v>
      </c>
      <c r="E30" s="20">
        <v>601732</v>
      </c>
      <c r="F30" s="362">
        <f t="shared" ca="1" si="1"/>
        <v>1.7931803527151622</v>
      </c>
      <c r="G30" s="20">
        <v>444502.80000000005</v>
      </c>
      <c r="H30" s="362">
        <f t="shared" ca="1" si="2"/>
        <v>2.4274627741377555</v>
      </c>
    </row>
    <row r="31" spans="1:8" ht="14.1" customHeight="1" x14ac:dyDescent="0.2">
      <c r="A31" s="284" t="s">
        <v>129</v>
      </c>
      <c r="B31" s="285">
        <f>'- 29 -'!$D31</f>
        <v>1010617</v>
      </c>
      <c r="C31" s="285">
        <v>1138</v>
      </c>
      <c r="D31" s="285">
        <f t="shared" ca="1" si="0"/>
        <v>888.06414762741656</v>
      </c>
      <c r="E31" s="285">
        <v>627072</v>
      </c>
      <c r="F31" s="361">
        <f t="shared" ca="1" si="1"/>
        <v>1.6116442768932435</v>
      </c>
      <c r="G31" s="285">
        <v>404432</v>
      </c>
      <c r="H31" s="361">
        <f t="shared" ca="1" si="2"/>
        <v>2.4988551845551292</v>
      </c>
    </row>
    <row r="32" spans="1:8" ht="14.1" customHeight="1" x14ac:dyDescent="0.2">
      <c r="A32" s="19" t="s">
        <v>130</v>
      </c>
      <c r="B32" s="20">
        <f>'- 29 -'!$D32</f>
        <v>2076997</v>
      </c>
      <c r="C32" s="20">
        <v>1507</v>
      </c>
      <c r="D32" s="20">
        <f t="shared" ca="1" si="0"/>
        <v>1378.2329130723292</v>
      </c>
      <c r="E32" s="20">
        <v>1083475</v>
      </c>
      <c r="F32" s="362">
        <f t="shared" ca="1" si="1"/>
        <v>1.9169773183506773</v>
      </c>
      <c r="G32" s="20">
        <v>755552</v>
      </c>
      <c r="H32" s="362">
        <f t="shared" ca="1" si="2"/>
        <v>2.7489795540214308</v>
      </c>
    </row>
    <row r="33" spans="1:8" ht="14.1" customHeight="1" x14ac:dyDescent="0.2">
      <c r="A33" s="284" t="s">
        <v>131</v>
      </c>
      <c r="B33" s="285">
        <f>'- 29 -'!$D33</f>
        <v>2331130</v>
      </c>
      <c r="C33" s="285">
        <v>1167</v>
      </c>
      <c r="D33" s="285">
        <f t="shared" ca="1" si="0"/>
        <v>1997.5407026563839</v>
      </c>
      <c r="E33" s="285">
        <v>1535616</v>
      </c>
      <c r="F33" s="361">
        <f t="shared" ca="1" si="1"/>
        <v>1.5180422709844128</v>
      </c>
      <c r="G33" s="285">
        <v>906936</v>
      </c>
      <c r="H33" s="361">
        <f t="shared" ca="1" si="2"/>
        <v>2.5703357237996949</v>
      </c>
    </row>
    <row r="34" spans="1:8" ht="14.1" customHeight="1" x14ac:dyDescent="0.2">
      <c r="A34" s="19" t="s">
        <v>132</v>
      </c>
      <c r="B34" s="20">
        <f>'- 29 -'!$D34</f>
        <v>2536660</v>
      </c>
      <c r="C34" s="20">
        <v>1476</v>
      </c>
      <c r="D34" s="20">
        <f t="shared" ca="1" si="0"/>
        <v>1718.6043360433605</v>
      </c>
      <c r="E34" s="20">
        <v>1223445</v>
      </c>
      <c r="F34" s="362">
        <f t="shared" ca="1" si="1"/>
        <v>2.0733747736923198</v>
      </c>
      <c r="G34" s="20">
        <v>924863.7</v>
      </c>
      <c r="H34" s="362">
        <f t="shared" ca="1" si="2"/>
        <v>2.7427392814746652</v>
      </c>
    </row>
    <row r="35" spans="1:8" ht="14.1" customHeight="1" x14ac:dyDescent="0.2">
      <c r="A35" s="284" t="s">
        <v>133</v>
      </c>
      <c r="B35" s="285">
        <f>'- 29 -'!$D35</f>
        <v>4276441</v>
      </c>
      <c r="C35" s="285">
        <v>3845</v>
      </c>
      <c r="D35" s="285">
        <f t="shared" ca="1" si="0"/>
        <v>1112.2083224967491</v>
      </c>
      <c r="E35" s="285">
        <v>1017408</v>
      </c>
      <c r="F35" s="361">
        <f t="shared" ca="1" si="1"/>
        <v>4.2032704676983075</v>
      </c>
      <c r="G35" s="285">
        <v>492480</v>
      </c>
      <c r="H35" s="361">
        <f t="shared" ca="1" si="2"/>
        <v>8.6834815627030544</v>
      </c>
    </row>
    <row r="36" spans="1:8" ht="14.1" customHeight="1" x14ac:dyDescent="0.2">
      <c r="A36" s="19" t="s">
        <v>134</v>
      </c>
      <c r="B36" s="20">
        <f>'- 29 -'!$D36</f>
        <v>1517092</v>
      </c>
      <c r="C36" s="20">
        <v>909</v>
      </c>
      <c r="D36" s="20">
        <f t="shared" ca="1" si="0"/>
        <v>1668.9680968096809</v>
      </c>
      <c r="E36" s="20">
        <v>812634</v>
      </c>
      <c r="F36" s="362">
        <f t="shared" ca="1" si="1"/>
        <v>1.8668822618792715</v>
      </c>
      <c r="G36" s="20">
        <v>514848</v>
      </c>
      <c r="H36" s="362">
        <f t="shared" ca="1" si="2"/>
        <v>2.9466794082913794</v>
      </c>
    </row>
    <row r="37" spans="1:8" ht="14.1" customHeight="1" x14ac:dyDescent="0.2">
      <c r="A37" s="284" t="s">
        <v>135</v>
      </c>
      <c r="B37" s="285">
        <f>'- 29 -'!$D37</f>
        <v>3064865</v>
      </c>
      <c r="C37" s="285">
        <v>2953</v>
      </c>
      <c r="D37" s="285">
        <f t="shared" ca="1" si="0"/>
        <v>1037.8818151032849</v>
      </c>
      <c r="E37" s="285">
        <v>1370076</v>
      </c>
      <c r="F37" s="361">
        <f t="shared" ca="1" si="1"/>
        <v>2.2370036406739482</v>
      </c>
      <c r="G37" s="285">
        <v>849090</v>
      </c>
      <c r="H37" s="361">
        <f t="shared" ca="1" si="2"/>
        <v>3.6095879117643594</v>
      </c>
    </row>
    <row r="38" spans="1:8" ht="14.1" customHeight="1" x14ac:dyDescent="0.2">
      <c r="A38" s="19" t="s">
        <v>136</v>
      </c>
      <c r="B38" s="20">
        <f>'- 29 -'!$D38</f>
        <v>3062430</v>
      </c>
      <c r="C38" s="20">
        <v>2718</v>
      </c>
      <c r="D38" s="20">
        <f t="shared" ca="1" si="0"/>
        <v>1126.7218543046358</v>
      </c>
      <c r="E38" s="20">
        <v>580356</v>
      </c>
      <c r="F38" s="362">
        <f t="shared" ca="1" si="1"/>
        <v>5.2768128528006946</v>
      </c>
      <c r="G38" s="20">
        <v>422772</v>
      </c>
      <c r="H38" s="362">
        <f t="shared" ca="1" si="2"/>
        <v>7.2436916352076297</v>
      </c>
    </row>
    <row r="39" spans="1:8" ht="14.1" customHeight="1" x14ac:dyDescent="0.2">
      <c r="A39" s="284" t="s">
        <v>137</v>
      </c>
      <c r="B39" s="285">
        <f>'- 29 -'!$D39</f>
        <v>2038557</v>
      </c>
      <c r="C39" s="285">
        <v>753</v>
      </c>
      <c r="D39" s="285">
        <f t="shared" ca="1" si="0"/>
        <v>2707.2470119521913</v>
      </c>
      <c r="E39" s="285">
        <v>1146132</v>
      </c>
      <c r="F39" s="361">
        <f t="shared" ca="1" si="1"/>
        <v>1.7786406801310843</v>
      </c>
      <c r="G39" s="285">
        <v>684108</v>
      </c>
      <c r="H39" s="361">
        <f t="shared" ca="1" si="2"/>
        <v>2.9798759844936766</v>
      </c>
    </row>
    <row r="40" spans="1:8" ht="14.1" customHeight="1" x14ac:dyDescent="0.2">
      <c r="A40" s="19" t="s">
        <v>138</v>
      </c>
      <c r="B40" s="20">
        <f>'- 29 -'!$D40</f>
        <v>2568406</v>
      </c>
      <c r="C40" s="20">
        <v>2229</v>
      </c>
      <c r="D40" s="20">
        <f t="shared" ca="1" si="0"/>
        <v>1152.2682817406908</v>
      </c>
      <c r="E40" s="20">
        <v>674325</v>
      </c>
      <c r="F40" s="362">
        <f t="shared" ca="1" si="1"/>
        <v>3.8088547807066324</v>
      </c>
      <c r="G40" s="20">
        <v>416250</v>
      </c>
      <c r="H40" s="362">
        <f t="shared" ca="1" si="2"/>
        <v>6.170344744744745</v>
      </c>
    </row>
    <row r="41" spans="1:8" ht="14.1" customHeight="1" x14ac:dyDescent="0.2">
      <c r="A41" s="284" t="s">
        <v>139</v>
      </c>
      <c r="B41" s="285">
        <f>'- 29 -'!$D41</f>
        <v>4494286</v>
      </c>
      <c r="C41" s="285">
        <v>3690</v>
      </c>
      <c r="D41" s="285">
        <f t="shared" ca="1" si="0"/>
        <v>1217.9636856368563</v>
      </c>
      <c r="E41" s="285">
        <v>2193645</v>
      </c>
      <c r="F41" s="361">
        <f t="shared" ca="1" si="1"/>
        <v>2.0487754399640781</v>
      </c>
      <c r="G41" s="285">
        <v>1575735</v>
      </c>
      <c r="H41" s="361">
        <f t="shared" ca="1" si="2"/>
        <v>2.8521839014808963</v>
      </c>
    </row>
    <row r="42" spans="1:8" ht="14.1" customHeight="1" x14ac:dyDescent="0.2">
      <c r="A42" s="19" t="s">
        <v>140</v>
      </c>
      <c r="B42" s="20">
        <f>'- 29 -'!$D42</f>
        <v>1473133</v>
      </c>
      <c r="C42" s="20">
        <v>1279</v>
      </c>
      <c r="D42" s="20">
        <f t="shared" ca="1" si="0"/>
        <v>1151.7849882720875</v>
      </c>
      <c r="E42" s="20">
        <v>753105</v>
      </c>
      <c r="F42" s="362">
        <f t="shared" ca="1" si="1"/>
        <v>1.9560791655877998</v>
      </c>
      <c r="G42" s="20">
        <v>639129</v>
      </c>
      <c r="H42" s="362">
        <f t="shared" ca="1" si="2"/>
        <v>2.3049071470704661</v>
      </c>
    </row>
    <row r="43" spans="1:8" ht="14.1" customHeight="1" x14ac:dyDescent="0.2">
      <c r="A43" s="284" t="s">
        <v>141</v>
      </c>
      <c r="B43" s="285">
        <f>'- 29 -'!$D43</f>
        <v>1083843</v>
      </c>
      <c r="C43" s="285">
        <v>519</v>
      </c>
      <c r="D43" s="285">
        <f t="shared" ca="1" si="0"/>
        <v>2088.3294797687863</v>
      </c>
      <c r="E43" s="285">
        <v>622362</v>
      </c>
      <c r="F43" s="361">
        <f t="shared" ca="1" si="1"/>
        <v>1.7414993203312541</v>
      </c>
      <c r="G43" s="285">
        <v>401304</v>
      </c>
      <c r="H43" s="361">
        <f t="shared" ca="1" si="2"/>
        <v>2.7008028826027153</v>
      </c>
    </row>
    <row r="44" spans="1:8" ht="14.1" customHeight="1" x14ac:dyDescent="0.2">
      <c r="A44" s="19" t="s">
        <v>142</v>
      </c>
      <c r="B44" s="20">
        <f>'- 29 -'!$D44</f>
        <v>1069298</v>
      </c>
      <c r="C44" s="20">
        <v>516</v>
      </c>
      <c r="D44" s="20">
        <f t="shared" ca="1" si="0"/>
        <v>2072.2829457364342</v>
      </c>
      <c r="E44" s="20">
        <v>721380</v>
      </c>
      <c r="F44" s="362">
        <f t="shared" ca="1" si="1"/>
        <v>1.482295045607031</v>
      </c>
      <c r="G44" s="20">
        <v>500488.8</v>
      </c>
      <c r="H44" s="362">
        <f t="shared" ca="1" si="2"/>
        <v>2.1365073504142349</v>
      </c>
    </row>
    <row r="45" spans="1:8" ht="14.1" customHeight="1" x14ac:dyDescent="0.2">
      <c r="A45" s="284" t="s">
        <v>143</v>
      </c>
      <c r="B45" s="285">
        <f>'- 29 -'!$D45</f>
        <v>707832</v>
      </c>
      <c r="C45" s="285">
        <v>1089</v>
      </c>
      <c r="D45" s="285">
        <f t="shared" ca="1" si="0"/>
        <v>649.98347107438019</v>
      </c>
      <c r="E45" s="285">
        <v>258704</v>
      </c>
      <c r="F45" s="361">
        <f t="shared" ca="1" si="1"/>
        <v>2.7360690209660463</v>
      </c>
      <c r="G45" s="285">
        <v>157102</v>
      </c>
      <c r="H45" s="361">
        <f t="shared" ca="1" si="2"/>
        <v>4.5055568993392825</v>
      </c>
    </row>
    <row r="46" spans="1:8" ht="14.1" customHeight="1" x14ac:dyDescent="0.2">
      <c r="A46" s="19" t="s">
        <v>144</v>
      </c>
      <c r="B46" s="20">
        <f>'- 29 -'!$D46</f>
        <v>5868203</v>
      </c>
      <c r="C46" s="20">
        <v>1984</v>
      </c>
      <c r="D46" s="20">
        <f t="shared" ca="1" si="0"/>
        <v>2957.7636088709678</v>
      </c>
      <c r="E46" s="20">
        <v>888360</v>
      </c>
      <c r="F46" s="362">
        <f t="shared" ca="1" si="1"/>
        <v>6.6056587419514612</v>
      </c>
      <c r="G46" s="20">
        <v>549870</v>
      </c>
      <c r="H46" s="362">
        <f t="shared" ca="1" si="2"/>
        <v>10.671982468583483</v>
      </c>
    </row>
    <row r="47" spans="1:8" ht="5.0999999999999996" customHeight="1" x14ac:dyDescent="0.2">
      <c r="A47"/>
      <c r="B47" s="22"/>
      <c r="C47" s="367"/>
      <c r="D47" s="22"/>
      <c r="E47" s="367"/>
      <c r="F47" s="364"/>
      <c r="G47" s="367"/>
      <c r="H47" s="364"/>
    </row>
    <row r="48" spans="1:8" ht="14.1" customHeight="1" x14ac:dyDescent="0.2">
      <c r="A48" s="286" t="s">
        <v>145</v>
      </c>
      <c r="B48" s="287">
        <f>SUM(B11:B46)</f>
        <v>87417893</v>
      </c>
      <c r="C48" s="287">
        <f>SUM(C11:C46)</f>
        <v>66653</v>
      </c>
      <c r="D48" s="287">
        <f>B48/C48</f>
        <v>1311.5372601383283</v>
      </c>
      <c r="E48" s="287">
        <f>SUM(E11:E46)</f>
        <v>34330403</v>
      </c>
      <c r="F48" s="365">
        <f>B48/E48</f>
        <v>2.5463695547063634</v>
      </c>
      <c r="G48" s="287">
        <f>SUM(G11:G46)</f>
        <v>21984880.5</v>
      </c>
      <c r="H48" s="365">
        <f>B48/G48</f>
        <v>3.9762732847240176</v>
      </c>
    </row>
    <row r="49" spans="1:8" ht="5.0999999999999996" customHeight="1" x14ac:dyDescent="0.2">
      <c r="A49" s="21" t="s">
        <v>7</v>
      </c>
      <c r="B49" s="22"/>
      <c r="C49" s="367"/>
      <c r="D49" s="22"/>
      <c r="E49" s="367"/>
      <c r="F49" s="364"/>
      <c r="G49" s="367"/>
      <c r="H49" s="364"/>
    </row>
    <row r="50" spans="1:8" ht="14.1" customHeight="1" x14ac:dyDescent="0.2">
      <c r="A50" s="19" t="s">
        <v>146</v>
      </c>
      <c r="B50" s="20">
        <f>'- 29 -'!$D50</f>
        <v>0</v>
      </c>
      <c r="C50" s="37" t="s">
        <v>95</v>
      </c>
      <c r="D50" s="20" t="str">
        <f ca="1">IF(AND(CELL("type",C50)="v",C50&gt;0),B50/C50,"")</f>
        <v/>
      </c>
      <c r="E50" s="37" t="s">
        <v>95</v>
      </c>
      <c r="F50" s="362" t="str">
        <f ca="1">IF(AND(CELL("type",E50)="v",E50&gt;0),B50/E50,"")</f>
        <v/>
      </c>
      <c r="G50" s="37" t="s">
        <v>95</v>
      </c>
      <c r="H50" s="362" t="str">
        <f ca="1">IF(AND(CELL("type",G50)="v",G50&gt;0),B50/G50,"")</f>
        <v/>
      </c>
    </row>
    <row r="51" spans="1:8" ht="14.1" customHeight="1" x14ac:dyDescent="0.2">
      <c r="A51" s="284" t="s">
        <v>607</v>
      </c>
      <c r="B51" s="285">
        <f>'- 29 -'!$D51</f>
        <v>0</v>
      </c>
      <c r="C51" s="285">
        <v>0</v>
      </c>
      <c r="D51" s="285" t="str">
        <f ca="1">IF(AND(CELL("type",C51)="v",C51&gt;0),B51/C51,"")</f>
        <v/>
      </c>
      <c r="E51" s="285">
        <v>0</v>
      </c>
      <c r="F51" s="361" t="str">
        <f ca="1">IF(AND(CELL("type",E51)="v",E51&gt;0),B51/E51,"")</f>
        <v/>
      </c>
      <c r="G51" s="285">
        <v>0</v>
      </c>
      <c r="H51" s="361" t="str">
        <f ca="1">IF(AND(CELL("type",G51)="v",G51&gt;0),B51/G51,"")</f>
        <v/>
      </c>
    </row>
    <row r="52" spans="1:8" ht="50.1" customHeight="1" x14ac:dyDescent="0.2"/>
  </sheetData>
  <mergeCells count="6">
    <mergeCell ref="H8:H9"/>
    <mergeCell ref="D8:D9"/>
    <mergeCell ref="C8:C9"/>
    <mergeCell ref="E8:E9"/>
    <mergeCell ref="F8:F9"/>
    <mergeCell ref="G8:G9"/>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E52"/>
  <sheetViews>
    <sheetView showGridLines="0" showZeros="0" workbookViewId="0"/>
  </sheetViews>
  <sheetFormatPr defaultColWidth="15.83203125" defaultRowHeight="12" x14ac:dyDescent="0.2"/>
  <cols>
    <col min="1" max="1" width="32.83203125" style="2" customWidth="1"/>
    <col min="2" max="2" width="22.83203125" style="2" customWidth="1"/>
    <col min="3" max="3" width="19.83203125" style="2" customWidth="1"/>
    <col min="4" max="4" width="15.83203125" style="2"/>
    <col min="5" max="5" width="41.83203125" style="2" customWidth="1"/>
    <col min="6" max="16384" width="15.83203125" style="2"/>
  </cols>
  <sheetData>
    <row r="1" spans="1:5" ht="6.95" customHeight="1" x14ac:dyDescent="0.2">
      <c r="A1" s="7"/>
      <c r="B1" s="8"/>
      <c r="C1" s="8"/>
      <c r="D1" s="8"/>
      <c r="E1" s="8"/>
    </row>
    <row r="2" spans="1:5" ht="15.95" customHeight="1" x14ac:dyDescent="0.2">
      <c r="A2" s="134"/>
      <c r="B2" s="9" t="s">
        <v>266</v>
      </c>
      <c r="C2" s="10"/>
      <c r="D2" s="10"/>
      <c r="E2" s="160"/>
    </row>
    <row r="3" spans="1:5" ht="15.95" customHeight="1" x14ac:dyDescent="0.2">
      <c r="A3" s="541"/>
      <c r="B3" s="11" t="str">
        <f>OPYEAR</f>
        <v>OPERATING FUND 2017/2018 ACTUAL</v>
      </c>
      <c r="C3" s="12"/>
      <c r="D3" s="12"/>
      <c r="E3" s="161"/>
    </row>
    <row r="4" spans="1:5" ht="15.95" customHeight="1" x14ac:dyDescent="0.2">
      <c r="B4" s="8"/>
      <c r="C4" s="8"/>
      <c r="D4" s="8"/>
      <c r="E4" s="8"/>
    </row>
    <row r="5" spans="1:5" ht="15.95" customHeight="1" x14ac:dyDescent="0.2">
      <c r="B5" s="8"/>
      <c r="C5" s="8"/>
      <c r="D5" s="8"/>
      <c r="E5" s="8"/>
    </row>
    <row r="6" spans="1:5" ht="15.95" customHeight="1" x14ac:dyDescent="0.2">
      <c r="B6" s="638" t="s">
        <v>510</v>
      </c>
      <c r="C6" s="646"/>
      <c r="D6" s="639"/>
    </row>
    <row r="7" spans="1:5" ht="15.95" customHeight="1" x14ac:dyDescent="0.2">
      <c r="B7" s="640"/>
      <c r="C7" s="647"/>
      <c r="D7" s="641"/>
    </row>
    <row r="8" spans="1:5" ht="15.95" customHeight="1" x14ac:dyDescent="0.2">
      <c r="A8" s="67"/>
      <c r="B8" s="162"/>
      <c r="C8" s="692" t="s">
        <v>509</v>
      </c>
      <c r="D8" s="591" t="s">
        <v>508</v>
      </c>
    </row>
    <row r="9" spans="1:5" ht="15.95" customHeight="1" x14ac:dyDescent="0.2">
      <c r="A9" s="35" t="s">
        <v>42</v>
      </c>
      <c r="B9" s="77" t="s">
        <v>43</v>
      </c>
      <c r="C9" s="693"/>
      <c r="D9" s="593"/>
    </row>
    <row r="10" spans="1:5" ht="5.0999999999999996" customHeight="1" x14ac:dyDescent="0.2">
      <c r="A10" s="6"/>
    </row>
    <row r="11" spans="1:5" ht="14.1" customHeight="1" x14ac:dyDescent="0.2">
      <c r="A11" s="284" t="s">
        <v>110</v>
      </c>
      <c r="B11" s="285">
        <f>SUM('- 29 -'!$B11,'- 29 -'!$D11,'- 30 -'!$D11)</f>
        <v>1306506</v>
      </c>
      <c r="C11" s="285">
        <v>652515</v>
      </c>
      <c r="D11" s="361">
        <f ca="1">IF(AND(CELL("type",C11)="v",C11&gt;0),B11/C11,"")</f>
        <v>2.0022620169651271</v>
      </c>
      <c r="E11" s="163"/>
    </row>
    <row r="12" spans="1:5" ht="14.1" customHeight="1" x14ac:dyDescent="0.2">
      <c r="A12" s="19" t="s">
        <v>111</v>
      </c>
      <c r="B12" s="20">
        <f>SUM('- 29 -'!$B12,'- 29 -'!$D12,'- 30 -'!$D12)</f>
        <v>2546423</v>
      </c>
      <c r="C12" s="20">
        <v>1262854</v>
      </c>
      <c r="D12" s="362">
        <f t="shared" ref="D12:D46" ca="1" si="0">IF(AND(CELL("type",C12)="v",C12&gt;0),B12/C12,"")</f>
        <v>2.0164033213657317</v>
      </c>
      <c r="E12" s="163"/>
    </row>
    <row r="13" spans="1:5" ht="14.1" customHeight="1" x14ac:dyDescent="0.2">
      <c r="A13" s="284" t="s">
        <v>112</v>
      </c>
      <c r="B13" s="285">
        <f>SUM('- 29 -'!$B13,'- 29 -'!$D13,'- 30 -'!$D13)</f>
        <v>2454570</v>
      </c>
      <c r="C13" s="285">
        <v>888199</v>
      </c>
      <c r="D13" s="361">
        <f t="shared" ca="1" si="0"/>
        <v>2.7635360994551896</v>
      </c>
      <c r="E13" s="163"/>
    </row>
    <row r="14" spans="1:5" ht="14.1" customHeight="1" x14ac:dyDescent="0.2">
      <c r="A14" s="19" t="s">
        <v>359</v>
      </c>
      <c r="B14" s="20">
        <f>SUM('- 29 -'!$B14,'- 29 -'!$D14,'- 30 -'!$D14)</f>
        <v>9115695</v>
      </c>
      <c r="C14" s="37" t="s">
        <v>95</v>
      </c>
      <c r="D14" s="362" t="str">
        <f t="shared" ca="1" si="0"/>
        <v/>
      </c>
      <c r="E14" s="163"/>
    </row>
    <row r="15" spans="1:5" ht="14.1" customHeight="1" x14ac:dyDescent="0.2">
      <c r="A15" s="284" t="s">
        <v>113</v>
      </c>
      <c r="B15" s="285">
        <f>SUM('- 29 -'!$B15,'- 29 -'!$D15,'- 30 -'!$D15)</f>
        <v>1713391</v>
      </c>
      <c r="C15" s="285">
        <v>824182</v>
      </c>
      <c r="D15" s="361">
        <f t="shared" ca="1" si="0"/>
        <v>2.0788988354513931</v>
      </c>
      <c r="E15" s="163"/>
    </row>
    <row r="16" spans="1:5" ht="14.1" customHeight="1" x14ac:dyDescent="0.2">
      <c r="A16" s="19" t="s">
        <v>114</v>
      </c>
      <c r="B16" s="20">
        <f>SUM('- 29 -'!$B16,'- 29 -'!$D16,'- 30 -'!$D16)</f>
        <v>431082</v>
      </c>
      <c r="C16" s="20">
        <v>60971</v>
      </c>
      <c r="D16" s="362">
        <f t="shared" ca="1" si="0"/>
        <v>7.0702793131160719</v>
      </c>
      <c r="E16" s="163"/>
    </row>
    <row r="17" spans="1:5" ht="14.1" customHeight="1" x14ac:dyDescent="0.2">
      <c r="A17" s="284" t="s">
        <v>115</v>
      </c>
      <c r="B17" s="285">
        <f>SUM('- 29 -'!$B17,'- 29 -'!$D17,'- 30 -'!$D17)</f>
        <v>1474548</v>
      </c>
      <c r="C17" s="285">
        <v>900937.17450000008</v>
      </c>
      <c r="D17" s="361">
        <f t="shared" ca="1" si="0"/>
        <v>1.6366823811197946</v>
      </c>
      <c r="E17" s="163"/>
    </row>
    <row r="18" spans="1:5" ht="14.1" customHeight="1" x14ac:dyDescent="0.2">
      <c r="A18" s="19" t="s">
        <v>116</v>
      </c>
      <c r="B18" s="20">
        <f>SUM('- 29 -'!$B18,'- 29 -'!$D18,'- 30 -'!$D18)</f>
        <v>8917417</v>
      </c>
      <c r="C18" s="20">
        <v>1747700</v>
      </c>
      <c r="D18" s="362">
        <f t="shared" ca="1" si="0"/>
        <v>5.1023728328660525</v>
      </c>
      <c r="E18" s="163"/>
    </row>
    <row r="19" spans="1:5" ht="14.1" customHeight="1" x14ac:dyDescent="0.2">
      <c r="A19" s="284" t="s">
        <v>117</v>
      </c>
      <c r="B19" s="285">
        <f>SUM('- 29 -'!$B19,'- 29 -'!$D19,'- 30 -'!$D19)</f>
        <v>3001372</v>
      </c>
      <c r="C19" s="285">
        <v>964003</v>
      </c>
      <c r="D19" s="361">
        <f t="shared" ca="1" si="0"/>
        <v>3.1134467423856567</v>
      </c>
      <c r="E19" s="163"/>
    </row>
    <row r="20" spans="1:5" ht="14.1" customHeight="1" x14ac:dyDescent="0.2">
      <c r="A20" s="19" t="s">
        <v>118</v>
      </c>
      <c r="B20" s="20">
        <f>SUM('- 29 -'!$B20,'- 29 -'!$D20,'- 30 -'!$D20)</f>
        <v>3948191</v>
      </c>
      <c r="C20" s="20">
        <v>1622416</v>
      </c>
      <c r="D20" s="362">
        <f t="shared" ca="1" si="0"/>
        <v>2.4335256802201162</v>
      </c>
      <c r="E20" s="163"/>
    </row>
    <row r="21" spans="1:5" ht="14.1" customHeight="1" x14ac:dyDescent="0.2">
      <c r="A21" s="284" t="s">
        <v>119</v>
      </c>
      <c r="B21" s="285">
        <f>SUM('- 29 -'!$B21,'- 29 -'!$D21,'- 30 -'!$D21)</f>
        <v>2215937</v>
      </c>
      <c r="C21" s="285">
        <v>928532</v>
      </c>
      <c r="D21" s="361">
        <f t="shared" ca="1" si="0"/>
        <v>2.3864950265580509</v>
      </c>
      <c r="E21" s="163"/>
    </row>
    <row r="22" spans="1:5" ht="14.1" customHeight="1" x14ac:dyDescent="0.2">
      <c r="A22" s="19" t="s">
        <v>120</v>
      </c>
      <c r="B22" s="20">
        <f>SUM('- 29 -'!$B22,'- 29 -'!$D22,'- 30 -'!$D22)</f>
        <v>504138</v>
      </c>
      <c r="C22" s="20">
        <v>168782</v>
      </c>
      <c r="D22" s="362">
        <f t="shared" ca="1" si="0"/>
        <v>2.9869180362834897</v>
      </c>
      <c r="E22" s="163"/>
    </row>
    <row r="23" spans="1:5" ht="14.1" customHeight="1" x14ac:dyDescent="0.2">
      <c r="A23" s="284" t="s">
        <v>121</v>
      </c>
      <c r="B23" s="285">
        <f>SUM('- 29 -'!$B23,'- 29 -'!$D23,'- 30 -'!$D23)</f>
        <v>1677025</v>
      </c>
      <c r="C23" s="285">
        <v>866963</v>
      </c>
      <c r="D23" s="361">
        <f t="shared" ca="1" si="0"/>
        <v>1.9343674412864216</v>
      </c>
      <c r="E23" s="163"/>
    </row>
    <row r="24" spans="1:5" ht="14.1" customHeight="1" x14ac:dyDescent="0.2">
      <c r="A24" s="19" t="s">
        <v>122</v>
      </c>
      <c r="B24" s="20">
        <f>SUM('- 29 -'!$B24,'- 29 -'!$D24,'- 30 -'!$D24)</f>
        <v>2626749</v>
      </c>
      <c r="C24" s="20">
        <v>1071804</v>
      </c>
      <c r="D24" s="362">
        <f t="shared" ca="1" si="0"/>
        <v>2.4507736489134206</v>
      </c>
      <c r="E24" s="163"/>
    </row>
    <row r="25" spans="1:5" ht="14.1" customHeight="1" x14ac:dyDescent="0.2">
      <c r="A25" s="284" t="s">
        <v>123</v>
      </c>
      <c r="B25" s="285">
        <f>SUM('- 29 -'!$B25,'- 29 -'!$D25,'- 30 -'!$D25)</f>
        <v>4229406</v>
      </c>
      <c r="C25" s="285">
        <v>898231</v>
      </c>
      <c r="D25" s="361">
        <f t="shared" ca="1" si="0"/>
        <v>4.7085950050710785</v>
      </c>
      <c r="E25" s="163"/>
    </row>
    <row r="26" spans="1:5" ht="14.1" customHeight="1" x14ac:dyDescent="0.2">
      <c r="A26" s="19" t="s">
        <v>124</v>
      </c>
      <c r="B26" s="20">
        <f>SUM('- 29 -'!$B26,'- 29 -'!$D26,'- 30 -'!$D26)</f>
        <v>3125057</v>
      </c>
      <c r="C26" s="20">
        <v>1263849</v>
      </c>
      <c r="D26" s="362">
        <f t="shared" ca="1" si="0"/>
        <v>2.4726506093686824</v>
      </c>
      <c r="E26" s="163"/>
    </row>
    <row r="27" spans="1:5" ht="14.1" customHeight="1" x14ac:dyDescent="0.2">
      <c r="A27" s="284" t="s">
        <v>125</v>
      </c>
      <c r="B27" s="285">
        <f>SUM('- 29 -'!$B27,'- 29 -'!$D27,'- 30 -'!$D27)</f>
        <v>139543</v>
      </c>
      <c r="C27" s="366" t="s">
        <v>95</v>
      </c>
      <c r="D27" s="363" t="str">
        <f t="shared" ca="1" si="0"/>
        <v/>
      </c>
      <c r="E27" s="163"/>
    </row>
    <row r="28" spans="1:5" ht="14.1" customHeight="1" x14ac:dyDescent="0.2">
      <c r="A28" s="19" t="s">
        <v>126</v>
      </c>
      <c r="B28" s="20">
        <f>SUM('- 29 -'!$B28,'- 29 -'!$D28,'- 30 -'!$D28)</f>
        <v>2058971</v>
      </c>
      <c r="C28" s="20">
        <v>1097906</v>
      </c>
      <c r="D28" s="362">
        <f t="shared" ca="1" si="0"/>
        <v>1.8753618251471438</v>
      </c>
      <c r="E28" s="163"/>
    </row>
    <row r="29" spans="1:5" ht="14.1" customHeight="1" x14ac:dyDescent="0.2">
      <c r="A29" s="284" t="s">
        <v>127</v>
      </c>
      <c r="B29" s="285">
        <f>SUM('- 29 -'!$B29,'- 29 -'!$D29,'- 30 -'!$D29)</f>
        <v>3490796</v>
      </c>
      <c r="C29" s="285">
        <v>708072</v>
      </c>
      <c r="D29" s="361">
        <f t="shared" ca="1" si="0"/>
        <v>4.9300014687771867</v>
      </c>
      <c r="E29" s="163"/>
    </row>
    <row r="30" spans="1:5" ht="14.1" customHeight="1" x14ac:dyDescent="0.2">
      <c r="A30" s="19" t="s">
        <v>128</v>
      </c>
      <c r="B30" s="20">
        <f>SUM('- 29 -'!$B30,'- 29 -'!$D30,'- 30 -'!$D30)</f>
        <v>1213571</v>
      </c>
      <c r="C30" s="20">
        <v>694192</v>
      </c>
      <c r="D30" s="362">
        <f t="shared" ca="1" si="0"/>
        <v>1.7481777375711618</v>
      </c>
      <c r="E30" s="163"/>
    </row>
    <row r="31" spans="1:5" ht="14.1" customHeight="1" x14ac:dyDescent="0.2">
      <c r="A31" s="284" t="s">
        <v>129</v>
      </c>
      <c r="B31" s="285">
        <f>SUM('- 29 -'!$B31,'- 29 -'!$D31,'- 30 -'!$D31)</f>
        <v>1126388</v>
      </c>
      <c r="C31" s="285">
        <v>590584</v>
      </c>
      <c r="D31" s="361">
        <f t="shared" ca="1" si="0"/>
        <v>1.9072443547403926</v>
      </c>
      <c r="E31" s="163"/>
    </row>
    <row r="32" spans="1:5" ht="14.1" customHeight="1" x14ac:dyDescent="0.2">
      <c r="A32" s="19" t="s">
        <v>130</v>
      </c>
      <c r="B32" s="20">
        <f>SUM('- 29 -'!$B32,'- 29 -'!$D32,'- 30 -'!$D32)</f>
        <v>2348114</v>
      </c>
      <c r="C32" s="20">
        <v>1152633</v>
      </c>
      <c r="D32" s="362">
        <f t="shared" ca="1" si="0"/>
        <v>2.0371740180959592</v>
      </c>
      <c r="E32" s="163"/>
    </row>
    <row r="33" spans="1:5" ht="14.1" customHeight="1" x14ac:dyDescent="0.2">
      <c r="A33" s="284" t="s">
        <v>131</v>
      </c>
      <c r="B33" s="285">
        <f>SUM('- 29 -'!$B33,'- 29 -'!$D33,'- 30 -'!$D33)</f>
        <v>2523297</v>
      </c>
      <c r="C33" s="285">
        <v>1575871</v>
      </c>
      <c r="D33" s="361">
        <f t="shared" ca="1" si="0"/>
        <v>1.6012078399818259</v>
      </c>
      <c r="E33" s="163"/>
    </row>
    <row r="34" spans="1:5" ht="14.1" customHeight="1" x14ac:dyDescent="0.2">
      <c r="A34" s="19" t="s">
        <v>132</v>
      </c>
      <c r="B34" s="20">
        <f>SUM('- 29 -'!$B34,'- 29 -'!$D34,'- 30 -'!$D34)</f>
        <v>2887340</v>
      </c>
      <c r="C34" s="20">
        <v>1424606</v>
      </c>
      <c r="D34" s="362">
        <f t="shared" ca="1" si="0"/>
        <v>2.0267638912092187</v>
      </c>
      <c r="E34" s="163"/>
    </row>
    <row r="35" spans="1:5" ht="14.1" customHeight="1" x14ac:dyDescent="0.2">
      <c r="A35" s="284" t="s">
        <v>133</v>
      </c>
      <c r="B35" s="285">
        <f>SUM('- 29 -'!$B35,'- 29 -'!$D35,'- 30 -'!$D35)</f>
        <v>4837196</v>
      </c>
      <c r="C35" s="285">
        <v>1248582</v>
      </c>
      <c r="D35" s="361">
        <f t="shared" ca="1" si="0"/>
        <v>3.8741516376177136</v>
      </c>
      <c r="E35" s="163"/>
    </row>
    <row r="36" spans="1:5" ht="14.1" customHeight="1" x14ac:dyDescent="0.2">
      <c r="A36" s="19" t="s">
        <v>134</v>
      </c>
      <c r="B36" s="20">
        <f>SUM('- 29 -'!$B36,'- 29 -'!$D36,'- 30 -'!$D36)</f>
        <v>1677343</v>
      </c>
      <c r="C36" s="20">
        <v>852223</v>
      </c>
      <c r="D36" s="362">
        <f t="shared" ca="1" si="0"/>
        <v>1.9681972910846104</v>
      </c>
      <c r="E36" s="163"/>
    </row>
    <row r="37" spans="1:5" ht="14.1" customHeight="1" x14ac:dyDescent="0.2">
      <c r="A37" s="284" t="s">
        <v>135</v>
      </c>
      <c r="B37" s="285">
        <f>SUM('- 29 -'!$B37,'- 29 -'!$D37,'- 30 -'!$D37)</f>
        <v>3405763</v>
      </c>
      <c r="C37" s="285">
        <v>1390076</v>
      </c>
      <c r="D37" s="361">
        <f t="shared" ca="1" si="0"/>
        <v>2.4500552487777645</v>
      </c>
      <c r="E37" s="163"/>
    </row>
    <row r="38" spans="1:5" ht="14.1" customHeight="1" x14ac:dyDescent="0.2">
      <c r="A38" s="19" t="s">
        <v>136</v>
      </c>
      <c r="B38" s="20">
        <f>SUM('- 29 -'!$B38,'- 29 -'!$D38,'- 30 -'!$D38)</f>
        <v>3838235</v>
      </c>
      <c r="C38" s="20">
        <v>1027732</v>
      </c>
      <c r="D38" s="362">
        <f t="shared" ca="1" si="0"/>
        <v>3.7346652629284676</v>
      </c>
      <c r="E38" s="163"/>
    </row>
    <row r="39" spans="1:5" ht="14.1" customHeight="1" x14ac:dyDescent="0.2">
      <c r="A39" s="284" t="s">
        <v>137</v>
      </c>
      <c r="B39" s="285">
        <f>SUM('- 29 -'!$B39,'- 29 -'!$D39,'- 30 -'!$D39)</f>
        <v>2141241</v>
      </c>
      <c r="C39" s="285">
        <v>1053319</v>
      </c>
      <c r="D39" s="361">
        <f t="shared" ca="1" si="0"/>
        <v>2.0328513963955839</v>
      </c>
      <c r="E39" s="163"/>
    </row>
    <row r="40" spans="1:5" ht="14.1" customHeight="1" x14ac:dyDescent="0.2">
      <c r="A40" s="19" t="s">
        <v>138</v>
      </c>
      <c r="B40" s="20">
        <f>SUM('- 29 -'!$B40,'- 29 -'!$D40,'- 30 -'!$D40)</f>
        <v>2811544</v>
      </c>
      <c r="C40" s="20">
        <v>925851</v>
      </c>
      <c r="D40" s="362">
        <f t="shared" ca="1" si="0"/>
        <v>3.0367132508362578</v>
      </c>
      <c r="E40" s="163"/>
    </row>
    <row r="41" spans="1:5" ht="14.1" customHeight="1" x14ac:dyDescent="0.2">
      <c r="A41" s="284" t="s">
        <v>139</v>
      </c>
      <c r="B41" s="285">
        <f>SUM('- 29 -'!$B41,'- 29 -'!$D41,'- 30 -'!$D41)</f>
        <v>5101097</v>
      </c>
      <c r="C41" s="285">
        <v>2379372</v>
      </c>
      <c r="D41" s="361">
        <f t="shared" ca="1" si="0"/>
        <v>2.1438837642873834</v>
      </c>
      <c r="E41" s="163"/>
    </row>
    <row r="42" spans="1:5" ht="14.1" customHeight="1" x14ac:dyDescent="0.2">
      <c r="A42" s="19" t="s">
        <v>140</v>
      </c>
      <c r="B42" s="20">
        <f>SUM('- 29 -'!$B42,'- 29 -'!$D42,'- 30 -'!$D42)</f>
        <v>1685644</v>
      </c>
      <c r="C42" s="20">
        <v>695411</v>
      </c>
      <c r="D42" s="362">
        <f t="shared" ca="1" si="0"/>
        <v>2.4239536044152308</v>
      </c>
      <c r="E42" s="163"/>
    </row>
    <row r="43" spans="1:5" ht="14.1" customHeight="1" x14ac:dyDescent="0.2">
      <c r="A43" s="284" t="s">
        <v>141</v>
      </c>
      <c r="B43" s="285">
        <f>SUM('- 29 -'!$B43,'- 29 -'!$D43,'- 30 -'!$D43)</f>
        <v>1214895</v>
      </c>
      <c r="C43" s="285">
        <v>608759</v>
      </c>
      <c r="D43" s="361">
        <f t="shared" ca="1" si="0"/>
        <v>1.9956912341337048</v>
      </c>
      <c r="E43" s="163"/>
    </row>
    <row r="44" spans="1:5" ht="14.1" customHeight="1" x14ac:dyDescent="0.2">
      <c r="A44" s="19" t="s">
        <v>142</v>
      </c>
      <c r="B44" s="20">
        <f>SUM('- 29 -'!$B44,'- 29 -'!$D44,'- 30 -'!$D44)</f>
        <v>1172670</v>
      </c>
      <c r="C44" s="20">
        <v>775060</v>
      </c>
      <c r="D44" s="362">
        <f t="shared" ca="1" si="0"/>
        <v>1.5130054447397621</v>
      </c>
      <c r="E44" s="163"/>
    </row>
    <row r="45" spans="1:5" ht="14.1" customHeight="1" x14ac:dyDescent="0.2">
      <c r="A45" s="284" t="s">
        <v>143</v>
      </c>
      <c r="B45" s="285">
        <f>SUM('- 29 -'!$B45,'- 29 -'!$D45,'- 30 -'!$D45)</f>
        <v>852317</v>
      </c>
      <c r="C45" s="285">
        <v>303984</v>
      </c>
      <c r="D45" s="361">
        <f t="shared" ca="1" si="0"/>
        <v>2.8038219116795622</v>
      </c>
      <c r="E45" s="163"/>
    </row>
    <row r="46" spans="1:5" ht="14.1" customHeight="1" x14ac:dyDescent="0.2">
      <c r="A46" s="19" t="s">
        <v>144</v>
      </c>
      <c r="B46" s="20">
        <f>SUM('- 29 -'!$B46,'- 29 -'!$D46,'- 30 -'!$D46)</f>
        <v>7021740</v>
      </c>
      <c r="C46" s="20">
        <v>1320238</v>
      </c>
      <c r="D46" s="362">
        <f t="shared" ca="1" si="0"/>
        <v>5.3185410509317261</v>
      </c>
      <c r="E46" s="163"/>
    </row>
    <row r="47" spans="1:5" ht="5.0999999999999996" customHeight="1" x14ac:dyDescent="0.2">
      <c r="A47"/>
      <c r="B47" s="22"/>
      <c r="C47" s="367"/>
      <c r="D47" s="364"/>
      <c r="E47" s="163"/>
    </row>
    <row r="48" spans="1:5" ht="14.1" customHeight="1" x14ac:dyDescent="0.2">
      <c r="A48" s="286" t="s">
        <v>145</v>
      </c>
      <c r="B48" s="287">
        <f>SUM(B11:B46)</f>
        <v>100835212</v>
      </c>
      <c r="C48" s="287">
        <f>SUM(C11:C46)</f>
        <v>33946409.174500003</v>
      </c>
      <c r="D48" s="365">
        <f>B48/C48</f>
        <v>2.9704235131810579</v>
      </c>
      <c r="E48" s="163"/>
    </row>
    <row r="49" spans="1:5" ht="5.0999999999999996" customHeight="1" x14ac:dyDescent="0.2">
      <c r="A49" s="21" t="s">
        <v>7</v>
      </c>
      <c r="B49" s="22"/>
      <c r="C49" s="367"/>
      <c r="D49" s="364"/>
    </row>
    <row r="50" spans="1:5" ht="14.1" customHeight="1" x14ac:dyDescent="0.2">
      <c r="A50" s="19" t="s">
        <v>146</v>
      </c>
      <c r="B50" s="20">
        <f>SUM('- 29 -'!$B50,'- 29 -'!$D50,'- 30 -'!$D50)</f>
        <v>30841</v>
      </c>
      <c r="C50" s="37" t="s">
        <v>95</v>
      </c>
      <c r="D50" s="362" t="str">
        <f ca="1">IF(AND(CELL("type",C50)="v",C50&gt;0),B50/C50,"")</f>
        <v/>
      </c>
      <c r="E50" s="163"/>
    </row>
    <row r="51" spans="1:5" ht="14.1" customHeight="1" x14ac:dyDescent="0.2">
      <c r="A51" s="284" t="s">
        <v>607</v>
      </c>
      <c r="B51" s="285">
        <f>SUM('- 29 -'!$B51,'- 29 -'!$D51,'- 30 -'!$D51)</f>
        <v>0</v>
      </c>
      <c r="C51" s="285">
        <v>0</v>
      </c>
      <c r="D51" s="361" t="str">
        <f ca="1">IF(AND(CELL("type",C51)="v",C51&gt;0),B51/C51,"")</f>
        <v/>
      </c>
      <c r="E51" s="163"/>
    </row>
    <row r="52" spans="1:5" ht="50.1" customHeight="1" x14ac:dyDescent="0.2"/>
  </sheetData>
  <mergeCells count="3">
    <mergeCell ref="C8:C9"/>
    <mergeCell ref="D8:D9"/>
    <mergeCell ref="B6:D7"/>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I54"/>
  <sheetViews>
    <sheetView showGridLines="0" showZeros="0" workbookViewId="0"/>
  </sheetViews>
  <sheetFormatPr defaultColWidth="15.83203125" defaultRowHeight="12" x14ac:dyDescent="0.2"/>
  <cols>
    <col min="1" max="1" width="32.83203125" style="2" customWidth="1"/>
    <col min="2" max="2" width="18.83203125" style="2" customWidth="1"/>
    <col min="3" max="3" width="15.83203125" style="2"/>
    <col min="4" max="4" width="15.83203125" style="2" customWidth="1"/>
    <col min="5" max="5" width="15.83203125" style="2"/>
    <col min="6" max="6" width="17.83203125" style="2" customWidth="1"/>
    <col min="7" max="8" width="15.83203125" style="2"/>
    <col min="9" max="9" width="0" style="2" hidden="1" customWidth="1"/>
    <col min="10" max="16384" width="15.83203125" style="2"/>
  </cols>
  <sheetData>
    <row r="1" spans="1:9" ht="6.95" customHeight="1" x14ac:dyDescent="0.2">
      <c r="A1" s="7"/>
      <c r="B1" s="8"/>
      <c r="C1" s="8"/>
      <c r="D1" s="8"/>
      <c r="E1" s="8"/>
      <c r="F1" s="8"/>
    </row>
    <row r="2" spans="1:9" ht="15.95" customHeight="1" x14ac:dyDescent="0.2">
      <c r="A2" s="9" t="s">
        <v>262</v>
      </c>
      <c r="B2" s="143"/>
      <c r="C2" s="158"/>
      <c r="D2" s="10"/>
      <c r="E2" s="10"/>
      <c r="F2" s="10"/>
      <c r="G2" s="10"/>
    </row>
    <row r="3" spans="1:9" ht="15.95" customHeight="1" x14ac:dyDescent="0.2">
      <c r="A3" s="11" t="str">
        <f>OPYEAR</f>
        <v>OPERATING FUND 2017/2018 ACTUAL</v>
      </c>
      <c r="B3" s="11"/>
      <c r="C3" s="159"/>
      <c r="D3" s="12"/>
      <c r="E3" s="12"/>
      <c r="F3" s="12"/>
      <c r="G3" s="12"/>
    </row>
    <row r="4" spans="1:9" ht="15.95" customHeight="1" x14ac:dyDescent="0.2">
      <c r="B4" s="8"/>
      <c r="C4" s="8"/>
      <c r="D4" s="69"/>
      <c r="E4" s="8"/>
      <c r="F4" s="8"/>
    </row>
    <row r="5" spans="1:9" ht="15.95" customHeight="1" x14ac:dyDescent="0.2">
      <c r="B5" s="8"/>
      <c r="C5" s="8"/>
      <c r="D5" s="8"/>
      <c r="E5" s="8"/>
      <c r="F5" s="8"/>
    </row>
    <row r="6" spans="1:9" ht="15.95" customHeight="1" x14ac:dyDescent="0.2">
      <c r="B6" s="368"/>
      <c r="C6" s="369"/>
      <c r="D6" s="370"/>
      <c r="E6" s="371"/>
      <c r="F6" s="698" t="s">
        <v>511</v>
      </c>
      <c r="G6" s="699"/>
    </row>
    <row r="7" spans="1:9" ht="15.95" customHeight="1" x14ac:dyDescent="0.2">
      <c r="B7" s="695" t="s">
        <v>29</v>
      </c>
      <c r="C7" s="696"/>
      <c r="D7" s="696"/>
      <c r="E7" s="697"/>
      <c r="F7" s="700"/>
      <c r="G7" s="701"/>
      <c r="I7" s="4" t="s">
        <v>31</v>
      </c>
    </row>
    <row r="8" spans="1:9" ht="15.95" customHeight="1" x14ac:dyDescent="0.2">
      <c r="A8" s="67"/>
      <c r="B8" s="76" t="s">
        <v>7</v>
      </c>
      <c r="C8" s="591" t="s">
        <v>512</v>
      </c>
      <c r="D8" s="591" t="s">
        <v>513</v>
      </c>
      <c r="E8" s="591" t="s">
        <v>514</v>
      </c>
      <c r="F8" s="76" t="s">
        <v>7</v>
      </c>
      <c r="G8" s="591" t="s">
        <v>515</v>
      </c>
      <c r="I8" s="4" t="s">
        <v>41</v>
      </c>
    </row>
    <row r="9" spans="1:9" ht="15.95" customHeight="1" x14ac:dyDescent="0.2">
      <c r="A9" s="35" t="s">
        <v>42</v>
      </c>
      <c r="B9" s="77" t="s">
        <v>43</v>
      </c>
      <c r="C9" s="598"/>
      <c r="D9" s="593"/>
      <c r="E9" s="593"/>
      <c r="F9" s="77" t="s">
        <v>43</v>
      </c>
      <c r="G9" s="593"/>
      <c r="I9" s="415" t="str">
        <f>+Data!AB9</f>
        <v>Sept. 30 / 17</v>
      </c>
    </row>
    <row r="10" spans="1:9" ht="5.0999999999999996" customHeight="1" x14ac:dyDescent="0.2">
      <c r="A10" s="6"/>
    </row>
    <row r="11" spans="1:9" ht="14.1" customHeight="1" x14ac:dyDescent="0.2">
      <c r="A11" s="284" t="s">
        <v>110</v>
      </c>
      <c r="B11" s="285">
        <f>'- 31 -'!D11</f>
        <v>1491200</v>
      </c>
      <c r="C11" s="285">
        <f>B11/'- 7 -'!E11</f>
        <v>829.273718162607</v>
      </c>
      <c r="D11" s="361">
        <f>B11/I11</f>
        <v>5.3950210381218726</v>
      </c>
      <c r="E11" s="285">
        <f>I11/'- 7 -'!E11</f>
        <v>153.7109331553776</v>
      </c>
      <c r="F11" s="285">
        <f>'- 31 -'!F11</f>
        <v>125799</v>
      </c>
      <c r="G11" s="361">
        <f>F11/I11</f>
        <v>0.45512892407101224</v>
      </c>
      <c r="I11" s="2">
        <f>+Data!AB11</f>
        <v>276403</v>
      </c>
    </row>
    <row r="12" spans="1:9" ht="14.1" customHeight="1" x14ac:dyDescent="0.2">
      <c r="A12" s="19" t="s">
        <v>111</v>
      </c>
      <c r="B12" s="20">
        <f>'- 31 -'!D12</f>
        <v>2845886</v>
      </c>
      <c r="C12" s="20">
        <f>B12/'- 7 -'!E12</f>
        <v>1374.4921516541899</v>
      </c>
      <c r="D12" s="362">
        <f t="shared" ref="D12:D46" si="0">B12/I12</f>
        <v>7.2884721766923457</v>
      </c>
      <c r="E12" s="20">
        <f>I12/'- 7 -'!E12</f>
        <v>188.58439990340497</v>
      </c>
      <c r="F12" s="20">
        <f>'- 31 -'!F12</f>
        <v>333113</v>
      </c>
      <c r="G12" s="362">
        <f t="shared" ref="G12:G48" si="1">F12/I12</f>
        <v>0.8531209023110965</v>
      </c>
      <c r="I12" s="2">
        <f>+Data!AB12</f>
        <v>390464</v>
      </c>
    </row>
    <row r="13" spans="1:9" ht="14.1" customHeight="1" x14ac:dyDescent="0.2">
      <c r="A13" s="284" t="s">
        <v>112</v>
      </c>
      <c r="B13" s="285">
        <f>'- 31 -'!D13</f>
        <v>6623715</v>
      </c>
      <c r="C13" s="285">
        <f>B13/'- 7 -'!E13</f>
        <v>785.49570794728584</v>
      </c>
      <c r="D13" s="361">
        <f t="shared" si="0"/>
        <v>6.2903216616128566</v>
      </c>
      <c r="E13" s="285">
        <f>I13/'- 7 -'!E13</f>
        <v>124.87369489239798</v>
      </c>
      <c r="F13" s="285">
        <f>'- 31 -'!F13</f>
        <v>668930</v>
      </c>
      <c r="G13" s="361">
        <f t="shared" si="1"/>
        <v>0.63526055530811465</v>
      </c>
      <c r="I13" s="2">
        <f>+Data!AB13</f>
        <v>1053001</v>
      </c>
    </row>
    <row r="14" spans="1:9" ht="14.1" customHeight="1" x14ac:dyDescent="0.2">
      <c r="A14" s="19" t="s">
        <v>359</v>
      </c>
      <c r="B14" s="20">
        <f>'- 31 -'!D14</f>
        <v>8479126</v>
      </c>
      <c r="C14" s="37">
        <f>B14/'- 7 -'!E14</f>
        <v>1512.0721446888342</v>
      </c>
      <c r="D14" s="362">
        <f t="shared" si="0"/>
        <v>8.5792197569037967</v>
      </c>
      <c r="E14" s="37">
        <f>I14/'- 7 -'!E14</f>
        <v>176.24821225404006</v>
      </c>
      <c r="F14" s="37">
        <f>'- 31 -'!F14</f>
        <v>702153</v>
      </c>
      <c r="G14" s="362">
        <f t="shared" si="1"/>
        <v>0.71044172358911417</v>
      </c>
      <c r="I14" s="2">
        <f>+Data!AB14</f>
        <v>988333</v>
      </c>
    </row>
    <row r="15" spans="1:9" ht="14.1" customHeight="1" x14ac:dyDescent="0.2">
      <c r="A15" s="284" t="s">
        <v>113</v>
      </c>
      <c r="B15" s="285">
        <f>'- 31 -'!D15</f>
        <v>2112223</v>
      </c>
      <c r="C15" s="285">
        <f>B15/'- 7 -'!E15</f>
        <v>1530.818234526743</v>
      </c>
      <c r="D15" s="361">
        <f t="shared" si="0"/>
        <v>7.2521682105653484</v>
      </c>
      <c r="E15" s="285">
        <f>I15/'- 7 -'!E15</f>
        <v>211.08421510363823</v>
      </c>
      <c r="F15" s="285">
        <f>'- 31 -'!F15</f>
        <v>207988</v>
      </c>
      <c r="G15" s="361">
        <f t="shared" si="1"/>
        <v>0.71411208086412548</v>
      </c>
      <c r="I15" s="2">
        <f>+Data!AB15</f>
        <v>291254</v>
      </c>
    </row>
    <row r="16" spans="1:9" ht="14.1" customHeight="1" x14ac:dyDescent="0.2">
      <c r="A16" s="19" t="s">
        <v>114</v>
      </c>
      <c r="B16" s="20">
        <f>'- 31 -'!D16</f>
        <v>2047320</v>
      </c>
      <c r="C16" s="20">
        <f>B16/'- 7 -'!E16</f>
        <v>2242.6552744002629</v>
      </c>
      <c r="D16" s="362">
        <f t="shared" si="0"/>
        <v>9.7609954945290713</v>
      </c>
      <c r="E16" s="20">
        <f>I16/'- 7 -'!E16</f>
        <v>229.7568189286888</v>
      </c>
      <c r="F16" s="20">
        <f>'- 31 -'!F16</f>
        <v>106339</v>
      </c>
      <c r="G16" s="362">
        <f t="shared" si="1"/>
        <v>0.50699182340461035</v>
      </c>
      <c r="I16" s="2">
        <f>+Data!AB16</f>
        <v>209745</v>
      </c>
    </row>
    <row r="17" spans="1:9" ht="14.1" customHeight="1" x14ac:dyDescent="0.2">
      <c r="A17" s="284" t="s">
        <v>115</v>
      </c>
      <c r="B17" s="285">
        <f>'- 31 -'!D17</f>
        <v>1609420</v>
      </c>
      <c r="C17" s="285">
        <f>B17/'- 7 -'!E17</f>
        <v>1152.2311429301969</v>
      </c>
      <c r="D17" s="361">
        <f t="shared" si="0"/>
        <v>6.1385368235163993</v>
      </c>
      <c r="E17" s="285">
        <f>I17/'- 7 -'!E17</f>
        <v>187.70452569675277</v>
      </c>
      <c r="F17" s="285">
        <f>'- 31 -'!F17</f>
        <v>56301</v>
      </c>
      <c r="G17" s="361">
        <f t="shared" si="1"/>
        <v>0.21473932329708639</v>
      </c>
      <c r="I17" s="2">
        <f>+Data!AB17</f>
        <v>262183</v>
      </c>
    </row>
    <row r="18" spans="1:9" ht="14.1" customHeight="1" x14ac:dyDescent="0.2">
      <c r="A18" s="19" t="s">
        <v>116</v>
      </c>
      <c r="B18" s="20">
        <f>'- 31 -'!D18</f>
        <v>17086257</v>
      </c>
      <c r="C18" s="20">
        <f>B18/'- 7 -'!E18</f>
        <v>2804.6579997045351</v>
      </c>
      <c r="D18" s="362">
        <f>B18/I18</f>
        <v>11.747992640253905</v>
      </c>
      <c r="E18" s="20">
        <f>I18/'- 7 -'!E18</f>
        <v>238.73508314046057</v>
      </c>
      <c r="F18" s="20">
        <f>'- 31 -'!F18</f>
        <v>2276359</v>
      </c>
      <c r="G18" s="362">
        <f>F18/I18</f>
        <v>1.5651554801367988</v>
      </c>
      <c r="I18" s="2">
        <f>+Data!AB18</f>
        <v>1454398</v>
      </c>
    </row>
    <row r="19" spans="1:9" ht="14.1" customHeight="1" x14ac:dyDescent="0.2">
      <c r="A19" s="284" t="s">
        <v>117</v>
      </c>
      <c r="B19" s="285">
        <f>'- 31 -'!D19</f>
        <v>3855933</v>
      </c>
      <c r="C19" s="285">
        <f>B19/'- 7 -'!E19</f>
        <v>869.7070101046553</v>
      </c>
      <c r="D19" s="361">
        <f t="shared" si="0"/>
        <v>6.021310750943579</v>
      </c>
      <c r="E19" s="285">
        <f>I19/'- 7 -'!E19</f>
        <v>144.43815409599421</v>
      </c>
      <c r="F19" s="285">
        <f>'- 31 -'!F19</f>
        <v>118942</v>
      </c>
      <c r="G19" s="361">
        <f t="shared" si="1"/>
        <v>0.18573630385661036</v>
      </c>
      <c r="I19" s="2">
        <f>+Data!AB19</f>
        <v>640381</v>
      </c>
    </row>
    <row r="20" spans="1:9" ht="14.1" customHeight="1" x14ac:dyDescent="0.2">
      <c r="A20" s="19" t="s">
        <v>118</v>
      </c>
      <c r="B20" s="20">
        <f>'- 31 -'!D20</f>
        <v>7377154</v>
      </c>
      <c r="C20" s="20">
        <f>B20/'- 7 -'!E20</f>
        <v>946.63852175028876</v>
      </c>
      <c r="D20" s="362">
        <f t="shared" si="0"/>
        <v>7.0020805530930197</v>
      </c>
      <c r="E20" s="20">
        <f>I20/'- 7 -'!E20</f>
        <v>135.19389195431799</v>
      </c>
      <c r="F20" s="20">
        <f>'- 31 -'!F20</f>
        <v>701294</v>
      </c>
      <c r="G20" s="362">
        <f t="shared" si="1"/>
        <v>0.66563841278097435</v>
      </c>
      <c r="I20" s="2">
        <f>+Data!AB20</f>
        <v>1053566</v>
      </c>
    </row>
    <row r="21" spans="1:9" ht="14.1" customHeight="1" x14ac:dyDescent="0.2">
      <c r="A21" s="284" t="s">
        <v>119</v>
      </c>
      <c r="B21" s="285">
        <f>'- 31 -'!D21</f>
        <v>2847802</v>
      </c>
      <c r="C21" s="285">
        <f>B21/'- 7 -'!E21</f>
        <v>1023.5791819423479</v>
      </c>
      <c r="D21" s="361">
        <f t="shared" si="0"/>
        <v>6.1998569666701862</v>
      </c>
      <c r="E21" s="285">
        <f>I21/'- 7 -'!E21</f>
        <v>165.09722521745383</v>
      </c>
      <c r="F21" s="285">
        <f>'- 31 -'!F21</f>
        <v>364409</v>
      </c>
      <c r="G21" s="361">
        <f t="shared" si="1"/>
        <v>0.79334296322824271</v>
      </c>
      <c r="I21" s="2">
        <f>+Data!AB21</f>
        <v>459333.5</v>
      </c>
    </row>
    <row r="22" spans="1:9" ht="14.1" customHeight="1" x14ac:dyDescent="0.2">
      <c r="A22" s="19" t="s">
        <v>120</v>
      </c>
      <c r="B22" s="20">
        <f>'- 31 -'!D22</f>
        <v>2208586</v>
      </c>
      <c r="C22" s="20">
        <f>B22/'- 7 -'!E22</f>
        <v>1478.8978170617381</v>
      </c>
      <c r="D22" s="362">
        <f t="shared" si="0"/>
        <v>6.47891976250264</v>
      </c>
      <c r="E22" s="20">
        <f>I22/'- 7 -'!E22</f>
        <v>228.26302397214408</v>
      </c>
      <c r="F22" s="20">
        <f>'- 31 -'!F22</f>
        <v>112562</v>
      </c>
      <c r="G22" s="362">
        <f t="shared" si="1"/>
        <v>0.33020229518199529</v>
      </c>
      <c r="I22" s="2">
        <f>+Data!AB22</f>
        <v>340888</v>
      </c>
    </row>
    <row r="23" spans="1:9" ht="14.1" customHeight="1" x14ac:dyDescent="0.2">
      <c r="A23" s="284" t="s">
        <v>121</v>
      </c>
      <c r="B23" s="285">
        <f>'- 31 -'!D23</f>
        <v>1239179</v>
      </c>
      <c r="C23" s="285">
        <f>B23/'- 7 -'!E23</f>
        <v>1188.6609112709832</v>
      </c>
      <c r="D23" s="361">
        <f t="shared" si="0"/>
        <v>5.3125278663785709</v>
      </c>
      <c r="E23" s="285">
        <f>I23/'- 7 -'!E23</f>
        <v>223.74676258992807</v>
      </c>
      <c r="F23" s="285">
        <f>'- 31 -'!F23</f>
        <v>117167</v>
      </c>
      <c r="G23" s="361">
        <f t="shared" si="1"/>
        <v>0.50231076585382584</v>
      </c>
      <c r="I23" s="2">
        <f>+Data!AB23</f>
        <v>233256</v>
      </c>
    </row>
    <row r="24" spans="1:9" ht="14.1" customHeight="1" x14ac:dyDescent="0.2">
      <c r="A24" s="19" t="s">
        <v>122</v>
      </c>
      <c r="B24" s="20">
        <f>'- 31 -'!D24</f>
        <v>5661631</v>
      </c>
      <c r="C24" s="20">
        <f>B24/'- 7 -'!E24</f>
        <v>1454.9459049674915</v>
      </c>
      <c r="D24" s="362">
        <f t="shared" si="0"/>
        <v>7.9547566559743945</v>
      </c>
      <c r="E24" s="20">
        <f>I24/'- 7 -'!E24</f>
        <v>182.90262894148483</v>
      </c>
      <c r="F24" s="20">
        <f>'- 31 -'!F24</f>
        <v>310463</v>
      </c>
      <c r="G24" s="362">
        <f t="shared" si="1"/>
        <v>0.4362095685295948</v>
      </c>
      <c r="I24" s="2">
        <f>+Data!AB24</f>
        <v>711729</v>
      </c>
    </row>
    <row r="25" spans="1:9" ht="14.1" customHeight="1" x14ac:dyDescent="0.2">
      <c r="A25" s="284" t="s">
        <v>123</v>
      </c>
      <c r="B25" s="285">
        <f>'- 31 -'!D25</f>
        <v>17546798</v>
      </c>
      <c r="C25" s="285">
        <f>B25/'- 7 -'!E25</f>
        <v>1199.6416143080805</v>
      </c>
      <c r="D25" s="361">
        <f t="shared" si="0"/>
        <v>7.5760105349509956</v>
      </c>
      <c r="E25" s="285">
        <f>I25/'- 7 -'!E25</f>
        <v>158.3474057716368</v>
      </c>
      <c r="F25" s="285">
        <f>'- 31 -'!F25</f>
        <v>680817</v>
      </c>
      <c r="G25" s="361">
        <f t="shared" si="1"/>
        <v>0.29394974310262945</v>
      </c>
      <c r="I25" s="2">
        <f>+Data!AB25</f>
        <v>2316100</v>
      </c>
    </row>
    <row r="26" spans="1:9" ht="14.1" customHeight="1" x14ac:dyDescent="0.2">
      <c r="A26" s="19" t="s">
        <v>124</v>
      </c>
      <c r="B26" s="20">
        <f>'- 31 -'!D26</f>
        <v>4121993</v>
      </c>
      <c r="C26" s="20">
        <f>B26/'- 7 -'!E26</f>
        <v>1394.921489001692</v>
      </c>
      <c r="D26" s="362">
        <f t="shared" si="0"/>
        <v>5.3546076074008546</v>
      </c>
      <c r="E26" s="20">
        <f>I26/'- 7 -'!E26</f>
        <v>260.50862944162435</v>
      </c>
      <c r="F26" s="20">
        <f>'- 31 -'!F26</f>
        <v>371348</v>
      </c>
      <c r="G26" s="362">
        <f t="shared" si="1"/>
        <v>0.48239354744005936</v>
      </c>
      <c r="I26" s="2">
        <f>+Data!AB26</f>
        <v>769803</v>
      </c>
    </row>
    <row r="27" spans="1:9" ht="14.1" customHeight="1" x14ac:dyDescent="0.2">
      <c r="A27" s="284" t="s">
        <v>125</v>
      </c>
      <c r="B27" s="285">
        <f>'- 31 -'!D27</f>
        <v>3657993</v>
      </c>
      <c r="C27" s="366">
        <f>B27/'- 7 -'!E27</f>
        <v>1206.8999307136494</v>
      </c>
      <c r="D27" s="363">
        <f t="shared" si="0"/>
        <v>7.8225592948135345</v>
      </c>
      <c r="E27" s="366">
        <f>I27/'- 7 -'!E27</f>
        <v>154.28453594641854</v>
      </c>
      <c r="F27" s="366">
        <f>'- 31 -'!F27</f>
        <v>328812</v>
      </c>
      <c r="G27" s="363">
        <f t="shared" si="1"/>
        <v>0.70315918232927943</v>
      </c>
      <c r="I27" s="2">
        <f>+Data!AB27</f>
        <v>467621</v>
      </c>
    </row>
    <row r="28" spans="1:9" ht="14.1" customHeight="1" x14ac:dyDescent="0.2">
      <c r="A28" s="19" t="s">
        <v>126</v>
      </c>
      <c r="B28" s="20">
        <f>'- 31 -'!D28</f>
        <v>2886003</v>
      </c>
      <c r="C28" s="20">
        <f>B28/'- 7 -'!E28</f>
        <v>1480.3811233649653</v>
      </c>
      <c r="D28" s="362">
        <f t="shared" si="0"/>
        <v>6.5106966167423543</v>
      </c>
      <c r="E28" s="20">
        <f>I28/'- 7 -'!E28</f>
        <v>227.37676327263401</v>
      </c>
      <c r="F28" s="20">
        <f>'- 31 -'!F28</f>
        <v>155867</v>
      </c>
      <c r="G28" s="362">
        <f t="shared" si="1"/>
        <v>0.35162913883380598</v>
      </c>
      <c r="I28" s="2">
        <f>+Data!AB28+Data!AC28</f>
        <v>443271</v>
      </c>
    </row>
    <row r="29" spans="1:9" ht="14.1" customHeight="1" x14ac:dyDescent="0.2">
      <c r="A29" s="284" t="s">
        <v>127</v>
      </c>
      <c r="B29" s="285">
        <f>'- 31 -'!D29</f>
        <v>14402842</v>
      </c>
      <c r="C29" s="285">
        <f>B29/'- 7 -'!E29</f>
        <v>1075.4087613586303</v>
      </c>
      <c r="D29" s="361">
        <f t="shared" si="0"/>
        <v>7.8348446885339005</v>
      </c>
      <c r="E29" s="285">
        <f>I29/'- 7 -'!E29</f>
        <v>137.25974210215861</v>
      </c>
      <c r="F29" s="285">
        <f>'- 31 -'!F29</f>
        <v>3122603</v>
      </c>
      <c r="G29" s="361">
        <f t="shared" si="1"/>
        <v>1.6986306958689141</v>
      </c>
      <c r="I29" s="2">
        <f>+Data!AB29</f>
        <v>1838306</v>
      </c>
    </row>
    <row r="30" spans="1:9" ht="14.1" customHeight="1" x14ac:dyDescent="0.2">
      <c r="A30" s="19" t="s">
        <v>128</v>
      </c>
      <c r="B30" s="20">
        <f>'- 31 -'!D30</f>
        <v>1193668</v>
      </c>
      <c r="C30" s="20">
        <f>B30/'- 7 -'!E30</f>
        <v>1185.1350277998411</v>
      </c>
      <c r="D30" s="362">
        <f t="shared" si="0"/>
        <v>5.6915866015019665</v>
      </c>
      <c r="E30" s="20">
        <f>I30/'- 7 -'!E30</f>
        <v>208.22577442414615</v>
      </c>
      <c r="F30" s="20">
        <f>'- 31 -'!F30</f>
        <v>74604</v>
      </c>
      <c r="G30" s="362">
        <f t="shared" si="1"/>
        <v>0.35572297055668139</v>
      </c>
      <c r="I30" s="2">
        <f>+Data!AB30</f>
        <v>209725</v>
      </c>
    </row>
    <row r="31" spans="1:9" ht="14.1" customHeight="1" x14ac:dyDescent="0.2">
      <c r="A31" s="284" t="s">
        <v>129</v>
      </c>
      <c r="B31" s="285">
        <f>'- 31 -'!D31</f>
        <v>3333800</v>
      </c>
      <c r="C31" s="285">
        <f>B31/'- 7 -'!E31</f>
        <v>1007.0686321894635</v>
      </c>
      <c r="D31" s="361">
        <f t="shared" si="0"/>
        <v>5.4967485787397941</v>
      </c>
      <c r="E31" s="285">
        <f>I31/'- 7 -'!E31</f>
        <v>183.21169647172547</v>
      </c>
      <c r="F31" s="285">
        <f>'- 31 -'!F31</f>
        <v>92975</v>
      </c>
      <c r="G31" s="361">
        <f t="shared" si="1"/>
        <v>0.15329659820875047</v>
      </c>
      <c r="I31" s="2">
        <f>+Data!AB31</f>
        <v>606504</v>
      </c>
    </row>
    <row r="32" spans="1:9" ht="14.1" customHeight="1" x14ac:dyDescent="0.2">
      <c r="A32" s="19" t="s">
        <v>130</v>
      </c>
      <c r="B32" s="20">
        <f>'- 31 -'!D32</f>
        <v>2348005</v>
      </c>
      <c r="C32" s="20">
        <f>B32/'- 7 -'!E32</f>
        <v>1073.8646238280357</v>
      </c>
      <c r="D32" s="362">
        <f t="shared" si="0"/>
        <v>6.0888456112690079</v>
      </c>
      <c r="E32" s="20">
        <f>I32/'- 7 -'!E32</f>
        <v>176.36588154584953</v>
      </c>
      <c r="F32" s="20">
        <f>'- 31 -'!F32</f>
        <v>566147</v>
      </c>
      <c r="G32" s="362">
        <f t="shared" si="1"/>
        <v>1.4681321701968757</v>
      </c>
      <c r="I32" s="2">
        <f>+Data!AB32</f>
        <v>385624</v>
      </c>
    </row>
    <row r="33" spans="1:9" ht="14.1" customHeight="1" x14ac:dyDescent="0.2">
      <c r="A33" s="284" t="s">
        <v>131</v>
      </c>
      <c r="B33" s="285">
        <f>'- 31 -'!D33</f>
        <v>2577167</v>
      </c>
      <c r="C33" s="285">
        <f>B33/'- 7 -'!E33</f>
        <v>1230.3862312613387</v>
      </c>
      <c r="D33" s="361">
        <f t="shared" si="0"/>
        <v>5.2386234513319305</v>
      </c>
      <c r="E33" s="285">
        <f>I33/'- 7 -'!E33</f>
        <v>234.86823259810944</v>
      </c>
      <c r="F33" s="285">
        <f>'- 31 -'!F33</f>
        <v>444454</v>
      </c>
      <c r="G33" s="361">
        <f t="shared" si="1"/>
        <v>0.90344442072953823</v>
      </c>
      <c r="I33" s="2">
        <f>+Data!AB33</f>
        <v>491955</v>
      </c>
    </row>
    <row r="34" spans="1:9" ht="14.1" customHeight="1" x14ac:dyDescent="0.2">
      <c r="A34" s="19" t="s">
        <v>132</v>
      </c>
      <c r="B34" s="20">
        <f>'- 31 -'!D34</f>
        <v>2274891</v>
      </c>
      <c r="C34" s="20">
        <f>B34/'- 7 -'!E34</f>
        <v>1084.820841002947</v>
      </c>
      <c r="D34" s="362">
        <f t="shared" si="0"/>
        <v>6.03358547414319</v>
      </c>
      <c r="E34" s="20">
        <f>I34/'- 7 -'!E34</f>
        <v>179.79704533099351</v>
      </c>
      <c r="F34" s="20">
        <f>'- 31 -'!F34</f>
        <v>362187</v>
      </c>
      <c r="G34" s="362">
        <f t="shared" si="1"/>
        <v>0.96061139725969269</v>
      </c>
      <c r="I34" s="2">
        <f>+Data!AB34</f>
        <v>377038</v>
      </c>
    </row>
    <row r="35" spans="1:9" ht="14.1" customHeight="1" x14ac:dyDescent="0.2">
      <c r="A35" s="284" t="s">
        <v>133</v>
      </c>
      <c r="B35" s="285">
        <f>'- 31 -'!D35</f>
        <v>18262340</v>
      </c>
      <c r="C35" s="285">
        <f>B35/'- 7 -'!E35</f>
        <v>1151.544233558232</v>
      </c>
      <c r="D35" s="361">
        <f t="shared" si="0"/>
        <v>7.4436559727073748</v>
      </c>
      <c r="E35" s="285">
        <f>I35/'- 7 -'!E35</f>
        <v>154.70143136389433</v>
      </c>
      <c r="F35" s="285">
        <f>'- 31 -'!F35</f>
        <v>597208</v>
      </c>
      <c r="G35" s="361">
        <f t="shared" si="1"/>
        <v>0.24341956705157311</v>
      </c>
      <c r="I35" s="2">
        <f>+Data!AB35</f>
        <v>2453410</v>
      </c>
    </row>
    <row r="36" spans="1:9" ht="14.1" customHeight="1" x14ac:dyDescent="0.2">
      <c r="A36" s="19" t="s">
        <v>134</v>
      </c>
      <c r="B36" s="20">
        <f>'- 31 -'!D36</f>
        <v>2487728</v>
      </c>
      <c r="C36" s="20">
        <f>B36/'- 7 -'!E36</f>
        <v>1471.3319138869174</v>
      </c>
      <c r="D36" s="362">
        <f t="shared" si="0"/>
        <v>7.7282874441983358</v>
      </c>
      <c r="E36" s="20">
        <f>I36/'- 7 -'!E36</f>
        <v>190.38265909628578</v>
      </c>
      <c r="F36" s="20">
        <f>'- 31 -'!F36</f>
        <v>144153</v>
      </c>
      <c r="G36" s="362">
        <f t="shared" si="1"/>
        <v>0.44782058968806987</v>
      </c>
      <c r="I36" s="2">
        <f>+Data!AB36</f>
        <v>321899</v>
      </c>
    </row>
    <row r="37" spans="1:9" ht="14.1" customHeight="1" x14ac:dyDescent="0.2">
      <c r="A37" s="284" t="s">
        <v>135</v>
      </c>
      <c r="B37" s="285">
        <f>'- 31 -'!D37</f>
        <v>4036170</v>
      </c>
      <c r="C37" s="285">
        <f>B37/'- 7 -'!E37</f>
        <v>962.13825983313473</v>
      </c>
      <c r="D37" s="361">
        <f t="shared" si="0"/>
        <v>6.8654139571593076</v>
      </c>
      <c r="E37" s="285">
        <f>I37/'- 7 -'!E37</f>
        <v>140.14278903456497</v>
      </c>
      <c r="F37" s="285">
        <f>'- 31 -'!F37</f>
        <v>443554</v>
      </c>
      <c r="G37" s="361">
        <f t="shared" si="1"/>
        <v>0.75447313228973001</v>
      </c>
      <c r="I37" s="2">
        <f>+Data!AB37</f>
        <v>587899</v>
      </c>
    </row>
    <row r="38" spans="1:9" ht="14.1" customHeight="1" x14ac:dyDescent="0.2">
      <c r="A38" s="19" t="s">
        <v>136</v>
      </c>
      <c r="B38" s="20">
        <f>'- 31 -'!D38</f>
        <v>10946847</v>
      </c>
      <c r="C38" s="20">
        <f>B38/'- 7 -'!E38</f>
        <v>988.94653633505573</v>
      </c>
      <c r="D38" s="362">
        <f t="shared" si="0"/>
        <v>7.9322104271584362</v>
      </c>
      <c r="E38" s="20">
        <f>I38/'- 7 -'!E38</f>
        <v>124.67477324467892</v>
      </c>
      <c r="F38" s="20">
        <f>'- 31 -'!F38</f>
        <v>817149</v>
      </c>
      <c r="G38" s="362">
        <f t="shared" si="1"/>
        <v>0.59211550306148331</v>
      </c>
      <c r="I38" s="2">
        <f>+Data!AB38</f>
        <v>1380050</v>
      </c>
    </row>
    <row r="39" spans="1:9" ht="14.1" customHeight="1" x14ac:dyDescent="0.2">
      <c r="A39" s="284" t="s">
        <v>137</v>
      </c>
      <c r="B39" s="285">
        <f>'- 31 -'!D39</f>
        <v>1954964</v>
      </c>
      <c r="C39" s="285">
        <f>B39/'- 7 -'!E39</f>
        <v>1292.1110376734964</v>
      </c>
      <c r="D39" s="361">
        <f t="shared" si="0"/>
        <v>6.1845790770729794</v>
      </c>
      <c r="E39" s="285">
        <f>I39/'- 7 -'!E39</f>
        <v>208.92465300727034</v>
      </c>
      <c r="F39" s="285">
        <f>'- 31 -'!F39</f>
        <v>138879</v>
      </c>
      <c r="G39" s="361">
        <f t="shared" si="1"/>
        <v>0.43934730135430539</v>
      </c>
      <c r="I39" s="2">
        <f>+Data!AB39</f>
        <v>316103</v>
      </c>
    </row>
    <row r="40" spans="1:9" ht="14.1" customHeight="1" x14ac:dyDescent="0.2">
      <c r="A40" s="19" t="s">
        <v>138</v>
      </c>
      <c r="B40" s="20">
        <f>'- 31 -'!D40</f>
        <v>8184158</v>
      </c>
      <c r="C40" s="20">
        <f>B40/'- 7 -'!E40</f>
        <v>1007.0207084938047</v>
      </c>
      <c r="D40" s="362">
        <f t="shared" si="0"/>
        <v>5.751724816484586</v>
      </c>
      <c r="E40" s="20">
        <f>I40/'- 7 -'!E40</f>
        <v>175.08151739242783</v>
      </c>
      <c r="F40" s="20">
        <f>'- 31 -'!F40</f>
        <v>1459147</v>
      </c>
      <c r="G40" s="362">
        <f t="shared" si="1"/>
        <v>1.0254704284544647</v>
      </c>
      <c r="I40" s="2">
        <f>+Data!AB40</f>
        <v>1422905</v>
      </c>
    </row>
    <row r="41" spans="1:9" ht="14.1" customHeight="1" x14ac:dyDescent="0.2">
      <c r="A41" s="284" t="s">
        <v>139</v>
      </c>
      <c r="B41" s="285">
        <f>'- 31 -'!D41</f>
        <v>5044606</v>
      </c>
      <c r="C41" s="285">
        <f>B41/'- 7 -'!E41</f>
        <v>1134.7668428748173</v>
      </c>
      <c r="D41" s="361">
        <f t="shared" si="0"/>
        <v>6.9320890784617122</v>
      </c>
      <c r="E41" s="285">
        <f>I41/'- 7 -'!E41</f>
        <v>163.69767180294679</v>
      </c>
      <c r="F41" s="285">
        <f>'- 31 -'!F41</f>
        <v>380764</v>
      </c>
      <c r="G41" s="361">
        <f t="shared" si="1"/>
        <v>0.52323015233923031</v>
      </c>
      <c r="I41" s="2">
        <f>+Data!AB41</f>
        <v>727718</v>
      </c>
    </row>
    <row r="42" spans="1:9" ht="14.1" customHeight="1" x14ac:dyDescent="0.2">
      <c r="A42" s="19" t="s">
        <v>140</v>
      </c>
      <c r="B42" s="20">
        <f>'- 31 -'!D42</f>
        <v>2073683</v>
      </c>
      <c r="C42" s="20">
        <f>B42/'- 7 -'!E42</f>
        <v>1468.6140226628895</v>
      </c>
      <c r="D42" s="362">
        <f t="shared" si="0"/>
        <v>6.1288647453649654</v>
      </c>
      <c r="E42" s="20">
        <f>I42/'- 7 -'!E42</f>
        <v>239.62252124645892</v>
      </c>
      <c r="F42" s="20">
        <f>'- 31 -'!F42</f>
        <v>301518</v>
      </c>
      <c r="G42" s="362">
        <f t="shared" si="1"/>
        <v>0.89115020969596304</v>
      </c>
      <c r="I42" s="2">
        <f>+Data!AB42</f>
        <v>338347</v>
      </c>
    </row>
    <row r="43" spans="1:9" ht="14.1" customHeight="1" x14ac:dyDescent="0.2">
      <c r="A43" s="284" t="s">
        <v>141</v>
      </c>
      <c r="B43" s="285">
        <f>'- 31 -'!D43</f>
        <v>804575</v>
      </c>
      <c r="C43" s="285">
        <f>B43/'- 7 -'!E43</f>
        <v>830.31475748194009</v>
      </c>
      <c r="D43" s="361">
        <f t="shared" si="0"/>
        <v>4.4062640335600607</v>
      </c>
      <c r="E43" s="285">
        <f>I43/'- 7 -'!E43</f>
        <v>188.43962848297213</v>
      </c>
      <c r="F43" s="285">
        <f>'- 31 -'!F43</f>
        <v>129550</v>
      </c>
      <c r="G43" s="361">
        <f t="shared" si="1"/>
        <v>0.70948203156661083</v>
      </c>
      <c r="I43" s="2">
        <f>+Data!AB43</f>
        <v>182598</v>
      </c>
    </row>
    <row r="44" spans="1:9" ht="14.1" customHeight="1" x14ac:dyDescent="0.2">
      <c r="A44" s="19" t="s">
        <v>142</v>
      </c>
      <c r="B44" s="20">
        <f>'- 31 -'!D44</f>
        <v>958477</v>
      </c>
      <c r="C44" s="20">
        <f>B44/'- 7 -'!E44</f>
        <v>1381.0907780979828</v>
      </c>
      <c r="D44" s="362">
        <f t="shared" si="0"/>
        <v>5.3040391351746194</v>
      </c>
      <c r="E44" s="20">
        <f>I44/'- 7 -'!E44</f>
        <v>260.38472622478389</v>
      </c>
      <c r="F44" s="20">
        <f>'- 31 -'!F44</f>
        <v>72191</v>
      </c>
      <c r="G44" s="362">
        <f t="shared" si="1"/>
        <v>0.39949199532945595</v>
      </c>
      <c r="I44" s="2">
        <f>+Data!AB44</f>
        <v>180707</v>
      </c>
    </row>
    <row r="45" spans="1:9" ht="14.1" customHeight="1" x14ac:dyDescent="0.2">
      <c r="A45" s="284" t="s">
        <v>143</v>
      </c>
      <c r="B45" s="285">
        <f>'- 31 -'!D45</f>
        <v>1598652</v>
      </c>
      <c r="C45" s="285">
        <f>B45/'- 7 -'!E45</f>
        <v>925.14583333333337</v>
      </c>
      <c r="D45" s="361">
        <f t="shared" si="0"/>
        <v>7.3647181311011707</v>
      </c>
      <c r="E45" s="285">
        <f>I45/'- 7 -'!E45</f>
        <v>125.61863425925925</v>
      </c>
      <c r="F45" s="285">
        <f>'- 31 -'!F45</f>
        <v>146993</v>
      </c>
      <c r="G45" s="361">
        <f t="shared" si="1"/>
        <v>0.67717177487342739</v>
      </c>
      <c r="I45" s="2">
        <f>+Data!AB45</f>
        <v>217069</v>
      </c>
    </row>
    <row r="46" spans="1:9" ht="14.1" customHeight="1" x14ac:dyDescent="0.2">
      <c r="A46" s="19" t="s">
        <v>144</v>
      </c>
      <c r="B46" s="20">
        <f>'- 31 -'!D46</f>
        <v>37986453</v>
      </c>
      <c r="C46" s="20">
        <f>B46/'- 7 -'!E46</f>
        <v>1270.4881752293547</v>
      </c>
      <c r="D46" s="362">
        <f t="shared" si="0"/>
        <v>7.521752646868558</v>
      </c>
      <c r="E46" s="20">
        <f>I46/'- 7 -'!E46</f>
        <v>168.90852901926814</v>
      </c>
      <c r="F46" s="20">
        <f>'- 31 -'!F46</f>
        <v>4875362</v>
      </c>
      <c r="G46" s="362">
        <f t="shared" si="1"/>
        <v>0.96537749991931032</v>
      </c>
      <c r="I46" s="2">
        <f>+Data!AB46</f>
        <v>5050213</v>
      </c>
    </row>
    <row r="47" spans="1:9" ht="5.0999999999999996" customHeight="1" x14ac:dyDescent="0.2">
      <c r="A47"/>
      <c r="B47" s="22"/>
      <c r="C47" s="367"/>
      <c r="D47" s="364"/>
      <c r="E47" s="367"/>
      <c r="F47" s="367"/>
      <c r="G47" s="364"/>
      <c r="I47"/>
    </row>
    <row r="48" spans="1:9" ht="14.1" customHeight="1" x14ac:dyDescent="0.2">
      <c r="A48" s="286" t="s">
        <v>145</v>
      </c>
      <c r="B48" s="287">
        <f>SUM(B11:B46)</f>
        <v>214167245</v>
      </c>
      <c r="C48" s="287">
        <f>B48/'- 7 -'!E48</f>
        <v>1207.4000920934384</v>
      </c>
      <c r="D48" s="365">
        <f>B48/I48</f>
        <v>7.2846498493977823</v>
      </c>
      <c r="E48" s="287">
        <f>I48/'- 7 -'!E48</f>
        <v>165.74579657981135</v>
      </c>
      <c r="F48" s="287">
        <f>SUM(F11:F46)</f>
        <v>21908101</v>
      </c>
      <c r="G48" s="365">
        <f t="shared" si="1"/>
        <v>0.74517858531654269</v>
      </c>
      <c r="I48" s="2">
        <f>+Data!AB48</f>
        <v>29399799.5</v>
      </c>
    </row>
    <row r="49" spans="1:9" ht="5.0999999999999996" customHeight="1" x14ac:dyDescent="0.2">
      <c r="A49" s="21" t="s">
        <v>7</v>
      </c>
      <c r="B49" s="22"/>
      <c r="C49" s="367"/>
      <c r="D49" s="364"/>
      <c r="E49" s="367"/>
      <c r="F49" s="367"/>
      <c r="G49" s="364"/>
    </row>
    <row r="50" spans="1:9" ht="14.1" customHeight="1" x14ac:dyDescent="0.2">
      <c r="A50" s="19" t="s">
        <v>146</v>
      </c>
      <c r="B50" s="20">
        <f>'- 31 -'!D50</f>
        <v>398941</v>
      </c>
      <c r="C50" s="20">
        <f>B50/'- 7 -'!E50</f>
        <v>2432.5670731707319</v>
      </c>
      <c r="D50" s="362">
        <f>B50/I50</f>
        <v>5.4607561322820848</v>
      </c>
      <c r="E50" s="20">
        <f>I50/'- 7 -'!E50</f>
        <v>445.46341463414632</v>
      </c>
      <c r="F50" s="20">
        <f>'- 31 -'!F50</f>
        <v>0</v>
      </c>
      <c r="G50" s="362">
        <f>F50/I50</f>
        <v>0</v>
      </c>
      <c r="I50" s="2">
        <f>+Data!AB50</f>
        <v>73056</v>
      </c>
    </row>
    <row r="51" spans="1:9" ht="14.1" customHeight="1" x14ac:dyDescent="0.2">
      <c r="A51" s="284" t="s">
        <v>607</v>
      </c>
      <c r="B51" s="285">
        <f>'- 31 -'!D51</f>
        <v>3781626</v>
      </c>
      <c r="C51" s="285">
        <f>B51/'- 7 -'!E51</f>
        <v>3475.7591911764707</v>
      </c>
      <c r="D51" s="363" t="s">
        <v>95</v>
      </c>
      <c r="E51" s="285">
        <f>I51/'- 7 -'!E51</f>
        <v>0</v>
      </c>
      <c r="F51" s="285">
        <f>'- 31 -'!F51</f>
        <v>6115</v>
      </c>
      <c r="G51" s="363" t="s">
        <v>95</v>
      </c>
    </row>
    <row r="52" spans="1:9" ht="50.1" customHeight="1" x14ac:dyDescent="0.2">
      <c r="A52" s="23"/>
      <c r="B52" s="23"/>
      <c r="C52" s="23"/>
      <c r="D52" s="23"/>
      <c r="E52" s="23"/>
      <c r="F52" s="23"/>
      <c r="G52" s="23"/>
      <c r="I52" s="221"/>
    </row>
    <row r="53" spans="1:9" ht="15" customHeight="1" x14ac:dyDescent="0.2">
      <c r="A53" s="133" t="s">
        <v>646</v>
      </c>
    </row>
    <row r="54" spans="1:9" ht="12" customHeight="1" x14ac:dyDescent="0.2">
      <c r="A54" s="25" t="s">
        <v>347</v>
      </c>
    </row>
  </sheetData>
  <mergeCells count="6">
    <mergeCell ref="B7:E7"/>
    <mergeCell ref="F6:G7"/>
    <mergeCell ref="C8:C9"/>
    <mergeCell ref="D8:D9"/>
    <mergeCell ref="E8:E9"/>
    <mergeCell ref="G8:G9"/>
  </mergeCells>
  <phoneticPr fontId="6" type="noConversion"/>
  <pageMargins left="0.5" right="0.5" top="0.6" bottom="0.2" header="0.3" footer="0.5"/>
  <pageSetup scale="71" orientation="portrait" r:id="rId1"/>
  <headerFooter alignWithMargins="0">
    <oddHeader>&amp;C&amp;"Arial,Regular"&amp;11&amp;A</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J56"/>
  <sheetViews>
    <sheetView showGridLines="0" showZeros="0" workbookViewId="0"/>
  </sheetViews>
  <sheetFormatPr defaultColWidth="15.83203125" defaultRowHeight="12" x14ac:dyDescent="0.2"/>
  <cols>
    <col min="1" max="1" width="32.83203125" style="2" customWidth="1"/>
    <col min="2" max="2" width="13.83203125" style="2" customWidth="1"/>
    <col min="3" max="3" width="8.83203125" style="2" customWidth="1"/>
    <col min="4" max="4" width="9.83203125" style="2" customWidth="1"/>
    <col min="5" max="5" width="14.83203125" style="2" customWidth="1"/>
    <col min="6" max="6" width="8.83203125" style="2" customWidth="1"/>
    <col min="7" max="7" width="9.83203125" style="2" customWidth="1"/>
    <col min="8" max="8" width="14.83203125" style="2" customWidth="1"/>
    <col min="9" max="9" width="8.83203125" style="2" customWidth="1"/>
    <col min="10" max="10" width="9.83203125" style="2" customWidth="1"/>
    <col min="11" max="16384" width="15.83203125" style="2"/>
  </cols>
  <sheetData>
    <row r="1" spans="1:10" ht="6.95" customHeight="1" x14ac:dyDescent="0.2">
      <c r="A1" s="7"/>
      <c r="B1" s="8"/>
      <c r="C1" s="8"/>
      <c r="D1" s="8"/>
      <c r="E1" s="8"/>
      <c r="F1" s="8"/>
      <c r="G1" s="8"/>
      <c r="H1" s="8"/>
      <c r="I1" s="8"/>
      <c r="J1" s="8"/>
    </row>
    <row r="2" spans="1:10" ht="15.95" customHeight="1" x14ac:dyDescent="0.2">
      <c r="A2" s="134"/>
      <c r="B2" s="9" t="s">
        <v>284</v>
      </c>
      <c r="C2" s="10"/>
      <c r="D2" s="10"/>
      <c r="E2" s="10"/>
      <c r="F2" s="10"/>
      <c r="G2" s="10"/>
      <c r="H2" s="73"/>
      <c r="I2" s="153"/>
      <c r="J2" s="81"/>
    </row>
    <row r="3" spans="1:10" ht="15.95" customHeight="1" x14ac:dyDescent="0.2">
      <c r="A3" s="541"/>
      <c r="B3" s="11" t="str">
        <f>OPYEAR</f>
        <v>OPERATING FUND 2017/2018 ACTUAL</v>
      </c>
      <c r="C3" s="12"/>
      <c r="D3" s="12"/>
      <c r="E3" s="12"/>
      <c r="F3" s="12"/>
      <c r="G3" s="12"/>
      <c r="H3" s="75"/>
      <c r="I3" s="75"/>
      <c r="J3" s="66"/>
    </row>
    <row r="4" spans="1:10" ht="15.95" customHeight="1" x14ac:dyDescent="0.2">
      <c r="B4" s="8"/>
      <c r="C4" s="8"/>
      <c r="D4" s="8"/>
      <c r="E4" s="8"/>
      <c r="F4" s="8"/>
      <c r="G4" s="8"/>
      <c r="H4" s="8"/>
      <c r="I4" s="8"/>
      <c r="J4" s="8"/>
    </row>
    <row r="5" spans="1:10" ht="14.1" customHeight="1" x14ac:dyDescent="0.2"/>
    <row r="6" spans="1:10" ht="18" customHeight="1" x14ac:dyDescent="0.2">
      <c r="B6" s="393" t="s">
        <v>265</v>
      </c>
      <c r="C6" s="155"/>
      <c r="D6" s="156"/>
      <c r="E6" s="156"/>
      <c r="F6" s="156"/>
      <c r="G6" s="156"/>
      <c r="H6" s="156"/>
      <c r="I6" s="156"/>
      <c r="J6" s="157"/>
    </row>
    <row r="7" spans="1:10" ht="15.95" customHeight="1" x14ac:dyDescent="0.2">
      <c r="B7" s="702" t="s">
        <v>72</v>
      </c>
      <c r="C7" s="703"/>
      <c r="D7" s="704"/>
      <c r="E7" s="702" t="s">
        <v>67</v>
      </c>
      <c r="F7" s="703"/>
      <c r="G7" s="704"/>
      <c r="H7" s="702" t="s">
        <v>274</v>
      </c>
      <c r="I7" s="703"/>
      <c r="J7" s="704"/>
    </row>
    <row r="8" spans="1:10" ht="15.95" customHeight="1" x14ac:dyDescent="0.2">
      <c r="A8" s="67"/>
      <c r="B8" s="139"/>
      <c r="C8" s="68"/>
      <c r="D8" s="591" t="s">
        <v>476</v>
      </c>
      <c r="E8" s="139"/>
      <c r="F8" s="137"/>
      <c r="G8" s="591" t="s">
        <v>476</v>
      </c>
      <c r="H8" s="139"/>
      <c r="I8" s="137"/>
      <c r="J8" s="591" t="s">
        <v>476</v>
      </c>
    </row>
    <row r="9" spans="1:10" ht="15.95" customHeight="1" x14ac:dyDescent="0.2">
      <c r="A9" s="35" t="s">
        <v>42</v>
      </c>
      <c r="B9" s="77" t="s">
        <v>43</v>
      </c>
      <c r="C9" s="77" t="s">
        <v>44</v>
      </c>
      <c r="D9" s="593"/>
      <c r="E9" s="77" t="s">
        <v>43</v>
      </c>
      <c r="F9" s="77" t="s">
        <v>44</v>
      </c>
      <c r="G9" s="593"/>
      <c r="H9" s="77" t="s">
        <v>43</v>
      </c>
      <c r="I9" s="77" t="s">
        <v>44</v>
      </c>
      <c r="J9" s="593"/>
    </row>
    <row r="10" spans="1:10" ht="5.0999999999999996" customHeight="1" x14ac:dyDescent="0.2">
      <c r="A10" s="6"/>
    </row>
    <row r="11" spans="1:10" ht="14.1" customHeight="1" x14ac:dyDescent="0.2">
      <c r="A11" s="284" t="s">
        <v>110</v>
      </c>
      <c r="B11" s="285">
        <v>143404</v>
      </c>
      <c r="C11" s="291">
        <f>B11/'- 3 -'!$D11*100</f>
        <v>0.72464368636679044</v>
      </c>
      <c r="D11" s="285">
        <f>B11/'- 7 -'!$E11</f>
        <v>79.748637526415308</v>
      </c>
      <c r="E11" s="285">
        <v>180790</v>
      </c>
      <c r="F11" s="291">
        <f>E11/'- 3 -'!$D11*100</f>
        <v>0.91356121208789198</v>
      </c>
      <c r="G11" s="285">
        <f>E11/'- 7 -'!$E11</f>
        <v>100.53942831720609</v>
      </c>
      <c r="H11" s="285">
        <v>265904</v>
      </c>
      <c r="I11" s="291">
        <f>H11/'- 3 -'!$D11*100</f>
        <v>1.343656068029309</v>
      </c>
      <c r="J11" s="285">
        <f>H11/'- 7 -'!$E11</f>
        <v>147.87231676120564</v>
      </c>
    </row>
    <row r="12" spans="1:10" ht="14.1" customHeight="1" x14ac:dyDescent="0.2">
      <c r="A12" s="19" t="s">
        <v>111</v>
      </c>
      <c r="B12" s="20">
        <v>346774</v>
      </c>
      <c r="C12" s="70">
        <f>B12/'- 3 -'!$D12*100</f>
        <v>1.0185737693770798</v>
      </c>
      <c r="D12" s="20">
        <f>B12/'- 7 -'!$E12</f>
        <v>167.48321661434437</v>
      </c>
      <c r="E12" s="20">
        <v>125050</v>
      </c>
      <c r="F12" s="70">
        <f>E12/'- 3 -'!$D12*100</f>
        <v>0.3673073813509774</v>
      </c>
      <c r="G12" s="20">
        <f>E12/'- 7 -'!$E12</f>
        <v>60.396039603960396</v>
      </c>
      <c r="H12" s="20">
        <v>448018</v>
      </c>
      <c r="I12" s="70">
        <f>H12/'- 3 -'!$D12*100</f>
        <v>1.3159561645589939</v>
      </c>
      <c r="J12" s="20">
        <f>H12/'- 7 -'!$E12</f>
        <v>216.38155035015697</v>
      </c>
    </row>
    <row r="13" spans="1:10" ht="14.1" customHeight="1" x14ac:dyDescent="0.2">
      <c r="A13" s="284" t="s">
        <v>112</v>
      </c>
      <c r="B13" s="285">
        <v>529220</v>
      </c>
      <c r="C13" s="291">
        <f>B13/'- 3 -'!$D13*100</f>
        <v>0.53477126801561359</v>
      </c>
      <c r="D13" s="285">
        <f>B13/'- 7 -'!$E13</f>
        <v>62.759348577024014</v>
      </c>
      <c r="E13" s="285">
        <v>372643</v>
      </c>
      <c r="F13" s="291">
        <f>E13/'- 3 -'!$D13*100</f>
        <v>0.37655184918775231</v>
      </c>
      <c r="G13" s="285">
        <f>E13/'- 7 -'!$E13</f>
        <v>44.19113399302362</v>
      </c>
      <c r="H13" s="285">
        <v>1899455</v>
      </c>
      <c r="I13" s="291">
        <f>H13/'- 3 -'!$D13*100</f>
        <v>1.9193793864339923</v>
      </c>
      <c r="J13" s="285">
        <f>H13/'- 7 -'!$E13</f>
        <v>225.25331327495397</v>
      </c>
    </row>
    <row r="14" spans="1:10" ht="14.1" customHeight="1" x14ac:dyDescent="0.2">
      <c r="A14" s="19" t="s">
        <v>359</v>
      </c>
      <c r="B14" s="20">
        <v>500936</v>
      </c>
      <c r="C14" s="70">
        <f>B14/'- 3 -'!$D14*100</f>
        <v>0.56883494317345318</v>
      </c>
      <c r="D14" s="20">
        <f>B14/'- 7 -'!$E14</f>
        <v>89.331302763026031</v>
      </c>
      <c r="E14" s="20">
        <v>409125</v>
      </c>
      <c r="F14" s="70">
        <f>E14/'- 3 -'!$D14*100</f>
        <v>0.46457949942874754</v>
      </c>
      <c r="G14" s="20">
        <f>E14/'- 7 -'!$E14</f>
        <v>72.958759687710653</v>
      </c>
      <c r="H14" s="20">
        <v>738819</v>
      </c>
      <c r="I14" s="70">
        <f>H14/'- 3 -'!$D14*100</f>
        <v>0.83896159166134499</v>
      </c>
      <c r="J14" s="20">
        <f>H14/'- 7 -'!$E14</f>
        <v>131.75268652298124</v>
      </c>
    </row>
    <row r="15" spans="1:10" ht="14.1" customHeight="1" x14ac:dyDescent="0.2">
      <c r="A15" s="284" t="s">
        <v>113</v>
      </c>
      <c r="B15" s="285">
        <v>135651</v>
      </c>
      <c r="C15" s="291">
        <f>B15/'- 3 -'!$D15*100</f>
        <v>0.67888493733335165</v>
      </c>
      <c r="D15" s="285">
        <f>B15/'- 7 -'!$E15</f>
        <v>98.312074213654157</v>
      </c>
      <c r="E15" s="285">
        <v>178581</v>
      </c>
      <c r="F15" s="291">
        <f>E15/'- 3 -'!$D15*100</f>
        <v>0.8937342960533079</v>
      </c>
      <c r="G15" s="285">
        <f>E15/'- 7 -'!$E15</f>
        <v>129.4252790259458</v>
      </c>
      <c r="H15" s="285">
        <v>86900</v>
      </c>
      <c r="I15" s="291">
        <f>H15/'- 3 -'!$D15*100</f>
        <v>0.43490354700126244</v>
      </c>
      <c r="J15" s="285">
        <f>H15/'- 7 -'!$E15</f>
        <v>62.980142049572407</v>
      </c>
    </row>
    <row r="16" spans="1:10" ht="14.1" customHeight="1" x14ac:dyDescent="0.2">
      <c r="A16" s="19" t="s">
        <v>114</v>
      </c>
      <c r="B16" s="20">
        <v>45890</v>
      </c>
      <c r="C16" s="70">
        <f>B16/'- 3 -'!$D16*100</f>
        <v>0.31723002128323796</v>
      </c>
      <c r="D16" s="20">
        <f>B16/'- 7 -'!$E16</f>
        <v>50.26837550662723</v>
      </c>
      <c r="E16" s="20">
        <v>94224</v>
      </c>
      <c r="F16" s="70">
        <f>E16/'- 3 -'!$D16*100</f>
        <v>0.65135501253850103</v>
      </c>
      <c r="G16" s="20">
        <f>E16/'- 7 -'!$E16</f>
        <v>103.21393361813999</v>
      </c>
      <c r="H16" s="20">
        <v>143520</v>
      </c>
      <c r="I16" s="70">
        <f>H16/'- 3 -'!$D16*100</f>
        <v>0.99213015154871009</v>
      </c>
      <c r="J16" s="20">
        <f>H16/'- 7 -'!$E16</f>
        <v>157.21327637200133</v>
      </c>
    </row>
    <row r="17" spans="1:10" ht="14.1" customHeight="1" x14ac:dyDescent="0.2">
      <c r="A17" s="284" t="s">
        <v>115</v>
      </c>
      <c r="B17" s="285">
        <v>111905</v>
      </c>
      <c r="C17" s="291">
        <f>B17/'- 3 -'!$D17*100</f>
        <v>0.61022323084204155</v>
      </c>
      <c r="D17" s="285">
        <f>B17/'- 7 -'!$E17</f>
        <v>80.116082843262603</v>
      </c>
      <c r="E17" s="285">
        <v>111745</v>
      </c>
      <c r="F17" s="291">
        <f>E17/'- 3 -'!$D17*100</f>
        <v>0.60935074331302386</v>
      </c>
      <c r="G17" s="285">
        <f>E17/'- 7 -'!$E17</f>
        <v>80.001534134492459</v>
      </c>
      <c r="H17" s="285">
        <v>159478</v>
      </c>
      <c r="I17" s="291">
        <f>H17/'- 3 -'!$D17*100</f>
        <v>0.86964103845428797</v>
      </c>
      <c r="J17" s="285">
        <f>H17/'- 7 -'!$E17</f>
        <v>114.17499360777295</v>
      </c>
    </row>
    <row r="18" spans="1:10" ht="14.1" customHeight="1" x14ac:dyDescent="0.2">
      <c r="A18" s="19" t="s">
        <v>116</v>
      </c>
      <c r="B18" s="20">
        <v>363474</v>
      </c>
      <c r="C18" s="70">
        <f>B18/'- 3 -'!$D18*100</f>
        <v>0.27313755967505682</v>
      </c>
      <c r="D18" s="20">
        <f>B18/'- 7 -'!$E18</f>
        <v>59.663170335352341</v>
      </c>
      <c r="E18" s="20">
        <v>0</v>
      </c>
      <c r="F18" s="70">
        <f>E18/'- 3 -'!$D18*100</f>
        <v>0</v>
      </c>
      <c r="G18" s="20">
        <f>E18/'- 7 -'!$E18</f>
        <v>0</v>
      </c>
      <c r="H18" s="20">
        <v>1497893</v>
      </c>
      <c r="I18" s="70">
        <f>H18/'- 3 -'!$D18*100</f>
        <v>1.1256123922876187</v>
      </c>
      <c r="J18" s="20">
        <f>H18/'- 7 -'!$E18</f>
        <v>245.87465734311647</v>
      </c>
    </row>
    <row r="19" spans="1:10" ht="14.1" customHeight="1" x14ac:dyDescent="0.2">
      <c r="A19" s="284" t="s">
        <v>117</v>
      </c>
      <c r="B19" s="285">
        <v>469878</v>
      </c>
      <c r="C19" s="291">
        <f>B19/'- 3 -'!$D19*100</f>
        <v>0.95454553765126104</v>
      </c>
      <c r="D19" s="285">
        <f>B19/'- 7 -'!$E19</f>
        <v>105.98114399133885</v>
      </c>
      <c r="E19" s="285">
        <v>275130</v>
      </c>
      <c r="F19" s="291">
        <f>E19/'- 3 -'!$D19*100</f>
        <v>0.55891979146500037</v>
      </c>
      <c r="G19" s="285">
        <f>E19/'- 7 -'!$E19</f>
        <v>62.055665824612049</v>
      </c>
      <c r="H19" s="285">
        <v>1119966</v>
      </c>
      <c r="I19" s="291">
        <f>H19/'- 3 -'!$D19*100</f>
        <v>2.2751832339908065</v>
      </c>
      <c r="J19" s="285">
        <f>H19/'- 7 -'!$E19</f>
        <v>252.60871526524718</v>
      </c>
    </row>
    <row r="20" spans="1:10" ht="14.1" customHeight="1" x14ac:dyDescent="0.2">
      <c r="A20" s="19" t="s">
        <v>118</v>
      </c>
      <c r="B20" s="20">
        <v>758303</v>
      </c>
      <c r="C20" s="70">
        <f>B20/'- 3 -'!$D20*100</f>
        <v>0.89415419909387628</v>
      </c>
      <c r="D20" s="20">
        <f>B20/'- 7 -'!$E20</f>
        <v>97.305658924675996</v>
      </c>
      <c r="E20" s="20">
        <v>393647</v>
      </c>
      <c r="F20" s="70">
        <f>E20/'- 3 -'!$D20*100</f>
        <v>0.46416949162894922</v>
      </c>
      <c r="G20" s="20">
        <f>E20/'- 7 -'!$E20</f>
        <v>50.51289618888746</v>
      </c>
      <c r="H20" s="20">
        <v>1931639</v>
      </c>
      <c r="I20" s="70">
        <f>H20/'- 3 -'!$D20*100</f>
        <v>2.277695226029036</v>
      </c>
      <c r="J20" s="20">
        <f>H20/'- 7 -'!$E20</f>
        <v>247.86847170537661</v>
      </c>
    </row>
    <row r="21" spans="1:10" ht="14.1" customHeight="1" x14ac:dyDescent="0.2">
      <c r="A21" s="284" t="s">
        <v>119</v>
      </c>
      <c r="B21" s="285">
        <v>376770</v>
      </c>
      <c r="C21" s="291">
        <f>B21/'- 3 -'!$D21*100</f>
        <v>1.0234023045877987</v>
      </c>
      <c r="D21" s="285">
        <f>B21/'- 7 -'!$E21</f>
        <v>135.42160879879233</v>
      </c>
      <c r="E21" s="285">
        <v>145782</v>
      </c>
      <c r="F21" s="291">
        <f>E21/'- 3 -'!$D21*100</f>
        <v>0.3959806639791344</v>
      </c>
      <c r="G21" s="285">
        <f>E21/'- 7 -'!$E21</f>
        <v>52.398102221263748</v>
      </c>
      <c r="H21" s="285">
        <v>381961</v>
      </c>
      <c r="I21" s="291">
        <f>H21/'- 3 -'!$D21*100</f>
        <v>1.0375023692508962</v>
      </c>
      <c r="J21" s="285">
        <f>H21/'- 7 -'!$E21</f>
        <v>137.28739846164908</v>
      </c>
    </row>
    <row r="22" spans="1:10" ht="14.1" customHeight="1" x14ac:dyDescent="0.2">
      <c r="A22" s="19" t="s">
        <v>120</v>
      </c>
      <c r="B22" s="20">
        <v>175874</v>
      </c>
      <c r="C22" s="70">
        <f>B22/'- 3 -'!$D22*100</f>
        <v>0.85280557537028223</v>
      </c>
      <c r="D22" s="20">
        <f>B22/'- 7 -'!$E22</f>
        <v>117.76751037900092</v>
      </c>
      <c r="E22" s="20">
        <v>16681</v>
      </c>
      <c r="F22" s="70">
        <f>E22/'- 3 -'!$D22*100</f>
        <v>8.0885462335260908E-2</v>
      </c>
      <c r="G22" s="20">
        <f>E22/'- 7 -'!$E22</f>
        <v>11.169813847596089</v>
      </c>
      <c r="H22" s="20">
        <v>214020</v>
      </c>
      <c r="I22" s="70">
        <f>H22/'- 3 -'!$D22*100</f>
        <v>1.0377739133740507</v>
      </c>
      <c r="J22" s="20">
        <f>H22/'- 7 -'!$E22</f>
        <v>143.31056649256729</v>
      </c>
    </row>
    <row r="23" spans="1:10" ht="14.1" customHeight="1" x14ac:dyDescent="0.2">
      <c r="A23" s="284" t="s">
        <v>121</v>
      </c>
      <c r="B23" s="285">
        <v>109905</v>
      </c>
      <c r="C23" s="291">
        <f>B23/'- 3 -'!$D23*100</f>
        <v>0.66352896344224377</v>
      </c>
      <c r="D23" s="285">
        <f>B23/'- 7 -'!$E23</f>
        <v>105.42446043165468</v>
      </c>
      <c r="E23" s="285">
        <v>0</v>
      </c>
      <c r="F23" s="291">
        <f>E23/'- 3 -'!$D23*100</f>
        <v>0</v>
      </c>
      <c r="G23" s="285">
        <f>E23/'- 7 -'!$E23</f>
        <v>0</v>
      </c>
      <c r="H23" s="285">
        <v>158044</v>
      </c>
      <c r="I23" s="291">
        <f>H23/'- 3 -'!$D23*100</f>
        <v>0.95415833218020984</v>
      </c>
      <c r="J23" s="285">
        <f>H23/'- 7 -'!$E23</f>
        <v>151.60095923261392</v>
      </c>
    </row>
    <row r="24" spans="1:10" ht="14.1" customHeight="1" x14ac:dyDescent="0.2">
      <c r="A24" s="19" t="s">
        <v>122</v>
      </c>
      <c r="B24" s="20">
        <v>472486</v>
      </c>
      <c r="C24" s="70">
        <f>B24/'- 3 -'!$D24*100</f>
        <v>0.81643810762182678</v>
      </c>
      <c r="D24" s="20">
        <f>B24/'- 7 -'!$E24</f>
        <v>121.4211189062781</v>
      </c>
      <c r="E24" s="20">
        <v>464087</v>
      </c>
      <c r="F24" s="70">
        <f>E24/'- 3 -'!$D24*100</f>
        <v>0.80192495026707822</v>
      </c>
      <c r="G24" s="20">
        <f>E24/'- 7 -'!$E24</f>
        <v>119.26271426001593</v>
      </c>
      <c r="H24" s="20">
        <v>1008423</v>
      </c>
      <c r="I24" s="70">
        <f>H24/'- 3 -'!$D24*100</f>
        <v>1.742517166227836</v>
      </c>
      <c r="J24" s="20">
        <f>H24/'- 7 -'!$E24</f>
        <v>259.14809960681521</v>
      </c>
    </row>
    <row r="25" spans="1:10" ht="14.1" customHeight="1" x14ac:dyDescent="0.2">
      <c r="A25" s="284" t="s">
        <v>123</v>
      </c>
      <c r="B25" s="285">
        <v>881053</v>
      </c>
      <c r="C25" s="291">
        <f>B25/'- 3 -'!$D25*100</f>
        <v>0.47102902300359345</v>
      </c>
      <c r="D25" s="285">
        <f>B25/'- 7 -'!$E25</f>
        <v>60.235938386649075</v>
      </c>
      <c r="E25" s="285">
        <v>1230615</v>
      </c>
      <c r="F25" s="291">
        <f>E25/'- 3 -'!$D25*100</f>
        <v>0.65791204518180757</v>
      </c>
      <c r="G25" s="285">
        <f>E25/'- 7 -'!$E25</f>
        <v>84.134835608852313</v>
      </c>
      <c r="H25" s="285">
        <v>1982919</v>
      </c>
      <c r="I25" s="291">
        <f>H25/'- 3 -'!$D25*100</f>
        <v>1.0601092093951925</v>
      </c>
      <c r="J25" s="285">
        <f>H25/'- 7 -'!$E25</f>
        <v>135.56844674465191</v>
      </c>
    </row>
    <row r="26" spans="1:10" ht="14.1" customHeight="1" x14ac:dyDescent="0.2">
      <c r="A26" s="19" t="s">
        <v>124</v>
      </c>
      <c r="B26" s="20">
        <v>390072</v>
      </c>
      <c r="C26" s="70">
        <f>B26/'- 3 -'!$D26*100</f>
        <v>0.95642524222944325</v>
      </c>
      <c r="D26" s="20">
        <f>B26/'- 7 -'!$E26</f>
        <v>132.00406091370559</v>
      </c>
      <c r="E26" s="20">
        <v>458951</v>
      </c>
      <c r="F26" s="70">
        <f>E26/'- 3 -'!$D26*100</f>
        <v>1.125311022955878</v>
      </c>
      <c r="G26" s="20">
        <f>E26/'- 7 -'!$E26</f>
        <v>155.31336717428087</v>
      </c>
      <c r="H26" s="20">
        <v>402476</v>
      </c>
      <c r="I26" s="70">
        <f>H26/'- 3 -'!$D26*100</f>
        <v>0.9868388548563789</v>
      </c>
      <c r="J26" s="20">
        <f>H26/'- 7 -'!$E26</f>
        <v>136.20169204737732</v>
      </c>
    </row>
    <row r="27" spans="1:10" ht="14.1" customHeight="1" x14ac:dyDescent="0.2">
      <c r="A27" s="284" t="s">
        <v>125</v>
      </c>
      <c r="B27" s="285">
        <v>143967</v>
      </c>
      <c r="C27" s="291">
        <f>B27/'- 3 -'!$D27*100</f>
        <v>0.3516050812132589</v>
      </c>
      <c r="D27" s="285">
        <f>B27/'- 7 -'!$E27</f>
        <v>47.499752548747892</v>
      </c>
      <c r="E27" s="285">
        <v>150495</v>
      </c>
      <c r="F27" s="291">
        <f>E27/'- 3 -'!$D27*100</f>
        <v>0.36754816518500355</v>
      </c>
      <c r="G27" s="285">
        <f>E27/'- 7 -'!$E27</f>
        <v>49.653568247055325</v>
      </c>
      <c r="H27" s="285">
        <v>248015</v>
      </c>
      <c r="I27" s="291">
        <f>H27/'- 3 -'!$D27*100</f>
        <v>0.60571752010604107</v>
      </c>
      <c r="J27" s="285">
        <f>H27/'- 7 -'!$E27</f>
        <v>81.828829720545045</v>
      </c>
    </row>
    <row r="28" spans="1:10" ht="14.1" customHeight="1" x14ac:dyDescent="0.2">
      <c r="A28" s="19" t="s">
        <v>126</v>
      </c>
      <c r="B28" s="20">
        <v>237006</v>
      </c>
      <c r="C28" s="70">
        <f>B28/'- 3 -'!$D28*100</f>
        <v>0.82018183143904388</v>
      </c>
      <c r="D28" s="20">
        <f>B28/'- 7 -'!$E28</f>
        <v>121.57271095152603</v>
      </c>
      <c r="E28" s="20">
        <v>442943</v>
      </c>
      <c r="F28" s="70">
        <f>E28/'- 3 -'!$D28*100</f>
        <v>1.5328464298925109</v>
      </c>
      <c r="G28" s="20">
        <f>E28/'- 7 -'!$E28</f>
        <v>227.20851500384714</v>
      </c>
      <c r="H28" s="20">
        <v>277873</v>
      </c>
      <c r="I28" s="70">
        <f>H28/'- 3 -'!$D28*100</f>
        <v>0.96160597642026535</v>
      </c>
      <c r="J28" s="20">
        <f>H28/'- 7 -'!$E28</f>
        <v>142.53552192869967</v>
      </c>
    </row>
    <row r="29" spans="1:10" ht="14.1" customHeight="1" x14ac:dyDescent="0.2">
      <c r="A29" s="284" t="s">
        <v>127</v>
      </c>
      <c r="B29" s="285">
        <v>1282679</v>
      </c>
      <c r="C29" s="291">
        <f>B29/'- 3 -'!$D29*100</f>
        <v>0.78769007978404992</v>
      </c>
      <c r="D29" s="285">
        <f>B29/'- 7 -'!$E29</f>
        <v>95.773058859544989</v>
      </c>
      <c r="E29" s="285">
        <v>571189</v>
      </c>
      <c r="F29" s="291">
        <f>E29/'- 3 -'!$D29*100</f>
        <v>0.35076578706112105</v>
      </c>
      <c r="G29" s="285">
        <f>E29/'- 7 -'!$E29</f>
        <v>42.648642191011653</v>
      </c>
      <c r="H29" s="285">
        <v>2116768</v>
      </c>
      <c r="I29" s="291">
        <f>H29/'- 3 -'!$D29*100</f>
        <v>1.2999021226700709</v>
      </c>
      <c r="J29" s="285">
        <f>H29/'- 7 -'!$E29</f>
        <v>158.05150490185099</v>
      </c>
    </row>
    <row r="30" spans="1:10" ht="14.1" customHeight="1" x14ac:dyDescent="0.2">
      <c r="A30" s="19" t="s">
        <v>128</v>
      </c>
      <c r="B30" s="20">
        <v>110862</v>
      </c>
      <c r="C30" s="70">
        <f>B30/'- 3 -'!$D30*100</f>
        <v>0.75423037641716684</v>
      </c>
      <c r="D30" s="20">
        <f>B30/'- 7 -'!$E30</f>
        <v>110.06949960285941</v>
      </c>
      <c r="E30" s="20">
        <v>136016</v>
      </c>
      <c r="F30" s="70">
        <f>E30/'- 3 -'!$D30*100</f>
        <v>0.92536124983093726</v>
      </c>
      <c r="G30" s="20">
        <f>E30/'- 7 -'!$E30</f>
        <v>135.04368546465449</v>
      </c>
      <c r="H30" s="20">
        <v>145253</v>
      </c>
      <c r="I30" s="70">
        <f>H30/'- 3 -'!$D30*100</f>
        <v>0.98820357620936616</v>
      </c>
      <c r="J30" s="20">
        <f>H30/'- 7 -'!$E30</f>
        <v>144.21465448768865</v>
      </c>
    </row>
    <row r="31" spans="1:10" ht="14.1" customHeight="1" x14ac:dyDescent="0.2">
      <c r="A31" s="284" t="s">
        <v>129</v>
      </c>
      <c r="B31" s="285">
        <v>273463</v>
      </c>
      <c r="C31" s="291">
        <f>B31/'- 3 -'!$D31*100</f>
        <v>0.71902604985499341</v>
      </c>
      <c r="D31" s="285">
        <f>B31/'- 7 -'!$E31</f>
        <v>82.607237796036728</v>
      </c>
      <c r="E31" s="285">
        <v>169907</v>
      </c>
      <c r="F31" s="291">
        <f>E31/'- 3 -'!$D31*100</f>
        <v>0.44674255403002372</v>
      </c>
      <c r="G31" s="285">
        <f>E31/'- 7 -'!$E31</f>
        <v>51.32521749637506</v>
      </c>
      <c r="H31" s="285">
        <v>237043</v>
      </c>
      <c r="I31" s="291">
        <f>H31/'- 3 -'!$D31*100</f>
        <v>0.62326564082079561</v>
      </c>
      <c r="J31" s="285">
        <f>H31/'- 7 -'!$E31</f>
        <v>71.605546157564035</v>
      </c>
    </row>
    <row r="32" spans="1:10" ht="14.1" customHeight="1" x14ac:dyDescent="0.2">
      <c r="A32" s="19" t="s">
        <v>130</v>
      </c>
      <c r="B32" s="20">
        <v>278021</v>
      </c>
      <c r="C32" s="70">
        <f>B32/'- 3 -'!$D32*100</f>
        <v>0.88553965010066038</v>
      </c>
      <c r="D32" s="20">
        <f>B32/'- 7 -'!$E32</f>
        <v>127.15344157329065</v>
      </c>
      <c r="E32" s="20">
        <v>197083</v>
      </c>
      <c r="F32" s="70">
        <f>E32/'- 3 -'!$D32*100</f>
        <v>0.62773967024357313</v>
      </c>
      <c r="G32" s="20">
        <f>E32/'- 7 -'!$E32</f>
        <v>90.136290875828948</v>
      </c>
      <c r="H32" s="20">
        <v>371301</v>
      </c>
      <c r="I32" s="70">
        <f>H32/'- 3 -'!$D32*100</f>
        <v>1.1826507984002119</v>
      </c>
      <c r="J32" s="20">
        <f>H32/'- 7 -'!$E32</f>
        <v>169.81522981934597</v>
      </c>
    </row>
    <row r="33" spans="1:10" ht="14.1" customHeight="1" x14ac:dyDescent="0.2">
      <c r="A33" s="284" t="s">
        <v>131</v>
      </c>
      <c r="B33" s="285">
        <v>351280</v>
      </c>
      <c r="C33" s="291">
        <f>B33/'- 3 -'!$D33*100</f>
        <v>1.2391161540526714</v>
      </c>
      <c r="D33" s="285">
        <f>B33/'- 7 -'!$E33</f>
        <v>167.70743817435311</v>
      </c>
      <c r="E33" s="285">
        <v>288402</v>
      </c>
      <c r="F33" s="291">
        <f>E33/'- 3 -'!$D33*100</f>
        <v>1.0173183132005765</v>
      </c>
      <c r="G33" s="285">
        <f>E33/'- 7 -'!$E33</f>
        <v>137.68834144944142</v>
      </c>
      <c r="H33" s="285">
        <v>434338</v>
      </c>
      <c r="I33" s="291">
        <f>H33/'- 3 -'!$D33*100</f>
        <v>1.5320975635360088</v>
      </c>
      <c r="J33" s="285">
        <f>H33/'- 7 -'!$E33</f>
        <v>207.36083261720617</v>
      </c>
    </row>
    <row r="34" spans="1:10" ht="14.1" customHeight="1" x14ac:dyDescent="0.2">
      <c r="A34" s="19" t="s">
        <v>132</v>
      </c>
      <c r="B34" s="20">
        <v>381066</v>
      </c>
      <c r="C34" s="70">
        <f>B34/'- 3 -'!$D34*100</f>
        <v>1.239539617786336</v>
      </c>
      <c r="D34" s="20">
        <f>B34/'- 7 -'!$E34</f>
        <v>181.71786630551927</v>
      </c>
      <c r="E34" s="20">
        <v>240166</v>
      </c>
      <c r="F34" s="70">
        <f>E34/'- 3 -'!$D34*100</f>
        <v>0.78121709059657163</v>
      </c>
      <c r="G34" s="20">
        <f>E34/'- 7 -'!$E34</f>
        <v>114.52728157099122</v>
      </c>
      <c r="H34" s="20">
        <v>587886</v>
      </c>
      <c r="I34" s="70">
        <f>H34/'- 3 -'!$D34*100</f>
        <v>1.9122881278884445</v>
      </c>
      <c r="J34" s="20">
        <f>H34/'- 7 -'!$E34</f>
        <v>280.34353511172998</v>
      </c>
    </row>
    <row r="35" spans="1:10" ht="14.1" customHeight="1" x14ac:dyDescent="0.2">
      <c r="A35" s="284" t="s">
        <v>133</v>
      </c>
      <c r="B35" s="285">
        <v>778655</v>
      </c>
      <c r="C35" s="291">
        <f>B35/'- 3 -'!$D35*100</f>
        <v>0.41345035831682964</v>
      </c>
      <c r="D35" s="285">
        <f>B35/'- 7 -'!$E35</f>
        <v>49.098619080648213</v>
      </c>
      <c r="E35" s="285">
        <v>587825</v>
      </c>
      <c r="F35" s="291">
        <f>E35/'- 3 -'!$D35*100</f>
        <v>0.31212341393504234</v>
      </c>
      <c r="G35" s="285">
        <f>E35/'- 7 -'!$E35</f>
        <v>37.065704016646698</v>
      </c>
      <c r="H35" s="285">
        <v>774982</v>
      </c>
      <c r="I35" s="291">
        <f>H35/'- 3 -'!$D35*100</f>
        <v>0.41150006818050772</v>
      </c>
      <c r="J35" s="285">
        <f>H35/'- 7 -'!$E35</f>
        <v>48.867015574752507</v>
      </c>
    </row>
    <row r="36" spans="1:10" ht="14.1" customHeight="1" x14ac:dyDescent="0.2">
      <c r="A36" s="19" t="s">
        <v>134</v>
      </c>
      <c r="B36" s="20">
        <v>189247</v>
      </c>
      <c r="C36" s="70">
        <f>B36/'- 3 -'!$D36*100</f>
        <v>0.79972761923081925</v>
      </c>
      <c r="D36" s="20">
        <f>B36/'- 7 -'!$E36</f>
        <v>111.92748994558789</v>
      </c>
      <c r="E36" s="20">
        <v>341178</v>
      </c>
      <c r="F36" s="70">
        <f>E36/'- 3 -'!$D36*100</f>
        <v>1.4417637778877999</v>
      </c>
      <c r="G36" s="20">
        <f>E36/'- 7 -'!$E36</f>
        <v>201.78495386799148</v>
      </c>
      <c r="H36" s="20">
        <v>280817</v>
      </c>
      <c r="I36" s="70">
        <f>H36/'- 3 -'!$D36*100</f>
        <v>1.1866878251678548</v>
      </c>
      <c r="J36" s="20">
        <f>H36/'- 7 -'!$E36</f>
        <v>166.08528507215519</v>
      </c>
    </row>
    <row r="37" spans="1:10" ht="14.1" customHeight="1" x14ac:dyDescent="0.2">
      <c r="A37" s="284" t="s">
        <v>135</v>
      </c>
      <c r="B37" s="285">
        <v>282189</v>
      </c>
      <c r="C37" s="291">
        <f>B37/'- 3 -'!$D37*100</f>
        <v>0.53839979017234785</v>
      </c>
      <c r="D37" s="285">
        <f>B37/'- 7 -'!$E37</f>
        <v>67.267938021454114</v>
      </c>
      <c r="E37" s="285">
        <v>717780</v>
      </c>
      <c r="F37" s="291">
        <f>E37/'- 3 -'!$D37*100</f>
        <v>1.3694814517571836</v>
      </c>
      <c r="G37" s="285">
        <f>E37/'- 7 -'!$E37</f>
        <v>171.10369487485102</v>
      </c>
      <c r="H37" s="285">
        <v>600700</v>
      </c>
      <c r="I37" s="291">
        <f>H37/'- 3 -'!$D37*100</f>
        <v>1.1460997911205943</v>
      </c>
      <c r="J37" s="285">
        <f>H37/'- 7 -'!$E37</f>
        <v>143.19427890345651</v>
      </c>
    </row>
    <row r="38" spans="1:10" ht="14.1" customHeight="1" x14ac:dyDescent="0.2">
      <c r="A38" s="19" t="s">
        <v>136</v>
      </c>
      <c r="B38" s="20">
        <v>326759</v>
      </c>
      <c r="C38" s="70">
        <f>B38/'- 3 -'!$D38*100</f>
        <v>0.23198395656635912</v>
      </c>
      <c r="D38" s="20">
        <f>B38/'- 7 -'!$E38</f>
        <v>29.519658150543851</v>
      </c>
      <c r="E38" s="20">
        <v>687269</v>
      </c>
      <c r="F38" s="70">
        <f>E38/'- 3 -'!$D38*100</f>
        <v>0.48792958065548331</v>
      </c>
      <c r="G38" s="20">
        <f>E38/'- 7 -'!$E38</f>
        <v>62.088407472988109</v>
      </c>
      <c r="H38" s="20">
        <v>1155599</v>
      </c>
      <c r="I38" s="70">
        <f>H38/'- 3 -'!$D38*100</f>
        <v>0.82042247719000261</v>
      </c>
      <c r="J38" s="20">
        <f>H38/'- 7 -'!$E38</f>
        <v>104.39769811729845</v>
      </c>
    </row>
    <row r="39" spans="1:10" ht="14.1" customHeight="1" x14ac:dyDescent="0.2">
      <c r="A39" s="284" t="s">
        <v>137</v>
      </c>
      <c r="B39" s="285">
        <v>190648</v>
      </c>
      <c r="C39" s="291">
        <f>B39/'- 3 -'!$D39*100</f>
        <v>0.85526295720150181</v>
      </c>
      <c r="D39" s="285">
        <f>B39/'- 7 -'!$E39</f>
        <v>126.00660938532717</v>
      </c>
      <c r="E39" s="285">
        <v>108439</v>
      </c>
      <c r="F39" s="291">
        <f>E39/'- 3 -'!$D39*100</f>
        <v>0.48646647127677001</v>
      </c>
      <c r="G39" s="285">
        <f>E39/'- 7 -'!$E39</f>
        <v>71.671513549239918</v>
      </c>
      <c r="H39" s="285">
        <v>86376</v>
      </c>
      <c r="I39" s="291">
        <f>H39/'- 3 -'!$D39*100</f>
        <v>0.38748999827554925</v>
      </c>
      <c r="J39" s="285">
        <f>H39/'- 7 -'!$E39</f>
        <v>57.089226701916722</v>
      </c>
    </row>
    <row r="40" spans="1:10" ht="14.1" customHeight="1" x14ac:dyDescent="0.2">
      <c r="A40" s="19" t="s">
        <v>138</v>
      </c>
      <c r="B40" s="20">
        <v>669836</v>
      </c>
      <c r="C40" s="70">
        <f>B40/'- 3 -'!$D40*100</f>
        <v>0.6323311077789906</v>
      </c>
      <c r="D40" s="20">
        <f>B40/'- 7 -'!$E40</f>
        <v>82.420051432860433</v>
      </c>
      <c r="E40" s="20">
        <v>670988</v>
      </c>
      <c r="F40" s="70">
        <f>E40/'- 3 -'!$D40*100</f>
        <v>0.63341860596684774</v>
      </c>
      <c r="G40" s="20">
        <f>E40/'- 7 -'!$E40</f>
        <v>82.561799411844333</v>
      </c>
      <c r="H40" s="20">
        <v>711887</v>
      </c>
      <c r="I40" s="70">
        <f>H40/'- 3 -'!$D40*100</f>
        <v>0.67202762366230295</v>
      </c>
      <c r="J40" s="20">
        <f>H40/'- 7 -'!$E40</f>
        <v>87.594221801134481</v>
      </c>
    </row>
    <row r="41" spans="1:10" ht="14.1" customHeight="1" x14ac:dyDescent="0.2">
      <c r="A41" s="284" t="s">
        <v>139</v>
      </c>
      <c r="B41" s="285">
        <v>394074</v>
      </c>
      <c r="C41" s="291">
        <f>B41/'- 3 -'!$D41*100</f>
        <v>0.6068665108349528</v>
      </c>
      <c r="D41" s="285">
        <f>B41/'- 7 -'!$E41</f>
        <v>88.645596670790681</v>
      </c>
      <c r="E41" s="285">
        <v>544778</v>
      </c>
      <c r="F41" s="291">
        <f>E41/'- 3 -'!$D41*100</f>
        <v>0.83894782208327345</v>
      </c>
      <c r="G41" s="285">
        <f>E41/'- 7 -'!$E41</f>
        <v>122.54594533798223</v>
      </c>
      <c r="H41" s="285">
        <v>399242</v>
      </c>
      <c r="I41" s="291">
        <f>H41/'- 3 -'!$D41*100</f>
        <v>0.61482513314445575</v>
      </c>
      <c r="J41" s="285">
        <f>H41/'- 7 -'!$E41</f>
        <v>89.808120571364299</v>
      </c>
    </row>
    <row r="42" spans="1:10" ht="14.1" customHeight="1" x14ac:dyDescent="0.2">
      <c r="A42" s="19" t="s">
        <v>140</v>
      </c>
      <c r="B42" s="20">
        <v>211510</v>
      </c>
      <c r="C42" s="70">
        <f>B42/'- 3 -'!$D42*100</f>
        <v>1.013498053720524</v>
      </c>
      <c r="D42" s="20">
        <f>B42/'- 7 -'!$E42</f>
        <v>149.79461756373937</v>
      </c>
      <c r="E42" s="20">
        <v>183399</v>
      </c>
      <c r="F42" s="70">
        <f>E42/'- 3 -'!$D42*100</f>
        <v>0.87879783251047416</v>
      </c>
      <c r="G42" s="20">
        <f>E42/'- 7 -'!$E42</f>
        <v>129.88597733711049</v>
      </c>
      <c r="H42" s="20">
        <v>471444</v>
      </c>
      <c r="I42" s="70">
        <f>H42/'- 3 -'!$D42*100</f>
        <v>2.2590306672886329</v>
      </c>
      <c r="J42" s="20">
        <f>H42/'- 7 -'!$E42</f>
        <v>333.88385269121812</v>
      </c>
    </row>
    <row r="43" spans="1:10" ht="14.1" customHeight="1" x14ac:dyDescent="0.2">
      <c r="A43" s="284" t="s">
        <v>141</v>
      </c>
      <c r="B43" s="285">
        <v>66785</v>
      </c>
      <c r="C43" s="291">
        <f>B43/'- 3 -'!$D43*100</f>
        <v>0.49648487076004816</v>
      </c>
      <c r="D43" s="285">
        <f>B43/'- 7 -'!$E43</f>
        <v>68.921568627450981</v>
      </c>
      <c r="E43" s="285">
        <v>77837</v>
      </c>
      <c r="F43" s="291">
        <f>E43/'- 3 -'!$D43*100</f>
        <v>0.57864629610466234</v>
      </c>
      <c r="G43" s="285">
        <f>E43/'- 7 -'!$E43</f>
        <v>80.32714138286893</v>
      </c>
      <c r="H43" s="285">
        <v>204948</v>
      </c>
      <c r="I43" s="291">
        <f>H43/'- 3 -'!$D43*100</f>
        <v>1.5235993305761828</v>
      </c>
      <c r="J43" s="285">
        <f>H43/'- 7 -'!$E43</f>
        <v>211.50464396284829</v>
      </c>
    </row>
    <row r="44" spans="1:10" ht="14.1" customHeight="1" x14ac:dyDescent="0.2">
      <c r="A44" s="19" t="s">
        <v>142</v>
      </c>
      <c r="B44" s="20">
        <v>118482</v>
      </c>
      <c r="C44" s="70">
        <f>B44/'- 3 -'!$D44*100</f>
        <v>1.080834531022155</v>
      </c>
      <c r="D44" s="20">
        <f>B44/'- 7 -'!$E44</f>
        <v>170.72334293948126</v>
      </c>
      <c r="E44" s="20">
        <v>79254</v>
      </c>
      <c r="F44" s="70">
        <f>E44/'- 3 -'!$D44*100</f>
        <v>0.72298289969472052</v>
      </c>
      <c r="G44" s="20">
        <f>E44/'- 7 -'!$E44</f>
        <v>114.19884726224784</v>
      </c>
      <c r="H44" s="20">
        <v>139876</v>
      </c>
      <c r="I44" s="70">
        <f>H44/'- 3 -'!$D44*100</f>
        <v>1.2759981335667439</v>
      </c>
      <c r="J44" s="20">
        <f>H44/'- 7 -'!$E44</f>
        <v>201.55043227665706</v>
      </c>
    </row>
    <row r="45" spans="1:10" ht="14.1" customHeight="1" x14ac:dyDescent="0.2">
      <c r="A45" s="284" t="s">
        <v>143</v>
      </c>
      <c r="B45" s="285">
        <v>212892</v>
      </c>
      <c r="C45" s="291">
        <f>B45/'- 3 -'!$D45*100</f>
        <v>1.0669153456306673</v>
      </c>
      <c r="D45" s="285">
        <f>B45/'- 7 -'!$E45</f>
        <v>123.20138888888889</v>
      </c>
      <c r="E45" s="285">
        <v>64742</v>
      </c>
      <c r="F45" s="291">
        <f>E45/'- 3 -'!$D45*100</f>
        <v>0.32445668839984898</v>
      </c>
      <c r="G45" s="285">
        <f>E45/'- 7 -'!$E45</f>
        <v>37.466435185185183</v>
      </c>
      <c r="H45" s="285">
        <v>98028</v>
      </c>
      <c r="I45" s="291">
        <f>H45/'- 3 -'!$D45*100</f>
        <v>0.49127058556208325</v>
      </c>
      <c r="J45" s="285">
        <f>H45/'- 7 -'!$E45</f>
        <v>56.729166666666664</v>
      </c>
    </row>
    <row r="46" spans="1:10" ht="14.1" customHeight="1" x14ac:dyDescent="0.2">
      <c r="A46" s="19" t="s">
        <v>144</v>
      </c>
      <c r="B46" s="20">
        <v>2123191</v>
      </c>
      <c r="C46" s="70">
        <f>B46/'- 3 -'!$D46*100</f>
        <v>0.5349664641350268</v>
      </c>
      <c r="D46" s="20">
        <f>B46/'- 7 -'!$E46</f>
        <v>71.011869922506037</v>
      </c>
      <c r="E46" s="20">
        <v>1326147</v>
      </c>
      <c r="F46" s="70">
        <f>E46/'- 3 -'!$D46*100</f>
        <v>0.33414053258198312</v>
      </c>
      <c r="G46" s="20">
        <f>E46/'- 7 -'!$E46</f>
        <v>44.354077547484707</v>
      </c>
      <c r="H46" s="20">
        <v>3282315</v>
      </c>
      <c r="I46" s="70">
        <f>H46/'- 3 -'!$D46*100</f>
        <v>0.82702331053935341</v>
      </c>
      <c r="J46" s="20">
        <f>H46/'- 7 -'!$E46</f>
        <v>109.77972581114483</v>
      </c>
    </row>
    <row r="47" spans="1:10" ht="5.0999999999999996" customHeight="1" x14ac:dyDescent="0.2">
      <c r="A47" s="21"/>
      <c r="B47" s="22"/>
      <c r="C47"/>
      <c r="D47"/>
      <c r="E47"/>
      <c r="F47"/>
      <c r="G47"/>
      <c r="H47"/>
      <c r="I47"/>
      <c r="J47"/>
    </row>
    <row r="48" spans="1:10" ht="14.1" customHeight="1" x14ac:dyDescent="0.2">
      <c r="A48" s="286" t="s">
        <v>145</v>
      </c>
      <c r="B48" s="287">
        <f>SUM(B11:B46)</f>
        <v>14434207</v>
      </c>
      <c r="C48" s="294">
        <f>B48/'- 3 -'!$D48*100</f>
        <v>0.61242356507489148</v>
      </c>
      <c r="D48" s="287">
        <f>B48/'- 7 -'!$E48</f>
        <v>81.375015404880202</v>
      </c>
      <c r="E48" s="287">
        <v>12042888</v>
      </c>
      <c r="F48" s="294">
        <f>E48/'- 3 -'!$D48*100</f>
        <v>0.51096318646099703</v>
      </c>
      <c r="G48" s="287">
        <f>E48/'- 7 -'!$E48</f>
        <v>67.893594467589864</v>
      </c>
      <c r="H48" s="287">
        <v>25064126</v>
      </c>
      <c r="I48" s="294">
        <f>H48/'- 3 -'!$D48*100</f>
        <v>1.0634364188075089</v>
      </c>
      <c r="J48" s="287">
        <f>H48/'- 7 -'!$E48</f>
        <v>141.30278437602138</v>
      </c>
    </row>
    <row r="49" spans="1:10" ht="5.0999999999999996" customHeight="1" x14ac:dyDescent="0.2">
      <c r="A49" s="21" t="s">
        <v>7</v>
      </c>
      <c r="B49" s="22"/>
      <c r="C49"/>
      <c r="D49"/>
      <c r="E49"/>
      <c r="F49"/>
      <c r="G49"/>
      <c r="H49"/>
      <c r="I49"/>
      <c r="J49"/>
    </row>
    <row r="50" spans="1:10" ht="14.1" customHeight="1" x14ac:dyDescent="0.2">
      <c r="A50" s="19" t="s">
        <v>146</v>
      </c>
      <c r="B50" s="20">
        <v>0</v>
      </c>
      <c r="C50" s="70">
        <f>B50/'- 3 -'!$D50*100</f>
        <v>0</v>
      </c>
      <c r="D50" s="20">
        <f>B50/'- 7 -'!$E50</f>
        <v>0</v>
      </c>
      <c r="E50" s="20">
        <v>23784</v>
      </c>
      <c r="F50" s="70">
        <f>E50/'- 3 -'!$D50*100</f>
        <v>0.73472466823245652</v>
      </c>
      <c r="G50" s="20">
        <f>E50/'- 7 -'!$E50</f>
        <v>145.02439024390245</v>
      </c>
      <c r="H50" s="20">
        <v>52235</v>
      </c>
      <c r="I50" s="70">
        <f>H50/'- 3 -'!$D50*100</f>
        <v>1.6136202087589289</v>
      </c>
      <c r="J50" s="20">
        <f>H50/'- 7 -'!$E50</f>
        <v>318.5060975609756</v>
      </c>
    </row>
    <row r="51" spans="1:10" ht="14.1" customHeight="1" x14ac:dyDescent="0.2">
      <c r="A51" s="284" t="s">
        <v>607</v>
      </c>
      <c r="B51" s="285">
        <v>38579</v>
      </c>
      <c r="C51" s="291">
        <f>B51/'- 3 -'!$D51*100</f>
        <v>0.12710755505311588</v>
      </c>
      <c r="D51" s="285">
        <f>B51/'- 7 -'!$E51</f>
        <v>35.458639705882355</v>
      </c>
      <c r="E51" s="285">
        <v>150350</v>
      </c>
      <c r="F51" s="291">
        <f>E51/'- 3 -'!$D51*100</f>
        <v>0.49536330392793937</v>
      </c>
      <c r="G51" s="285">
        <f>E51/'- 7 -'!$E51</f>
        <v>138.18933823529412</v>
      </c>
      <c r="H51" s="285">
        <v>262835</v>
      </c>
      <c r="I51" s="291">
        <f>H51/'- 3 -'!$D51*100</f>
        <v>0.86597149310209487</v>
      </c>
      <c r="J51" s="285">
        <f>H51/'- 7 -'!$E51</f>
        <v>241.57628676470588</v>
      </c>
    </row>
    <row r="52" spans="1:10" ht="50.1" customHeight="1" x14ac:dyDescent="0.2">
      <c r="A52" s="23"/>
      <c r="B52" s="23"/>
      <c r="C52" s="23"/>
      <c r="D52" s="23"/>
      <c r="E52" s="23"/>
      <c r="F52" s="23"/>
      <c r="G52" s="23"/>
      <c r="H52" s="23"/>
      <c r="I52" s="23"/>
      <c r="J52" s="23"/>
    </row>
    <row r="53" spans="1:10" ht="15" customHeight="1" x14ac:dyDescent="0.2">
      <c r="A53" s="614" t="s">
        <v>516</v>
      </c>
      <c r="B53" s="614"/>
      <c r="C53" s="614"/>
      <c r="D53" s="614"/>
      <c r="E53" s="614"/>
      <c r="F53" s="614"/>
      <c r="G53" s="614"/>
      <c r="H53" s="614"/>
      <c r="I53" s="614"/>
      <c r="J53" s="614"/>
    </row>
    <row r="54" spans="1:10" ht="12" customHeight="1" x14ac:dyDescent="0.2">
      <c r="A54" s="615"/>
      <c r="B54" s="615"/>
      <c r="C54" s="615"/>
      <c r="D54" s="615"/>
      <c r="E54" s="615"/>
      <c r="F54" s="615"/>
      <c r="G54" s="615"/>
      <c r="H54" s="615"/>
      <c r="I54" s="615"/>
      <c r="J54" s="615"/>
    </row>
    <row r="55" spans="1:10" ht="12" customHeight="1" x14ac:dyDescent="0.2">
      <c r="A55" s="615"/>
      <c r="B55" s="615"/>
      <c r="C55" s="615"/>
      <c r="D55" s="615"/>
      <c r="E55" s="615"/>
      <c r="F55" s="615"/>
      <c r="G55" s="615"/>
      <c r="H55" s="615"/>
      <c r="I55" s="615"/>
      <c r="J55" s="615"/>
    </row>
    <row r="56" spans="1:10" x14ac:dyDescent="0.2">
      <c r="A56" s="133" t="s">
        <v>414</v>
      </c>
    </row>
  </sheetData>
  <mergeCells count="7">
    <mergeCell ref="A53:J55"/>
    <mergeCell ref="B7:D7"/>
    <mergeCell ref="E7:G7"/>
    <mergeCell ref="H7:J7"/>
    <mergeCell ref="D8:D9"/>
    <mergeCell ref="G8:G9"/>
    <mergeCell ref="J8:J9"/>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pageSetUpPr autoPageBreaks="0" fitToPage="1"/>
  </sheetPr>
  <dimension ref="A1:H54"/>
  <sheetViews>
    <sheetView showGridLines="0" showZeros="0" workbookViewId="0"/>
  </sheetViews>
  <sheetFormatPr defaultColWidth="15.83203125" defaultRowHeight="12" x14ac:dyDescent="0.2"/>
  <cols>
    <col min="1" max="1" width="32.83203125" style="2" customWidth="1"/>
    <col min="2" max="2" width="18.83203125" style="2" customWidth="1"/>
    <col min="3" max="3" width="9.83203125" style="2" customWidth="1"/>
    <col min="4" max="4" width="10.83203125" style="2" customWidth="1"/>
    <col min="5" max="5" width="18.83203125" style="2" customWidth="1"/>
    <col min="6" max="6" width="9.83203125" style="2" customWidth="1"/>
    <col min="7" max="7" width="10.83203125" style="2" customWidth="1"/>
    <col min="8" max="8" width="22.1640625" style="2" customWidth="1"/>
    <col min="9" max="16384" width="15.83203125" style="2"/>
  </cols>
  <sheetData>
    <row r="1" spans="1:8" ht="6.95" customHeight="1" x14ac:dyDescent="0.2">
      <c r="A1" s="7"/>
      <c r="B1" s="7"/>
      <c r="C1" s="7"/>
      <c r="D1" s="7"/>
      <c r="E1" s="8"/>
      <c r="F1" s="8"/>
      <c r="G1" s="8"/>
    </row>
    <row r="2" spans="1:8" ht="15.95" customHeight="1" x14ac:dyDescent="0.2">
      <c r="A2" s="134"/>
      <c r="B2" s="9" t="s">
        <v>284</v>
      </c>
      <c r="C2" s="141"/>
      <c r="D2" s="141"/>
      <c r="E2" s="9"/>
      <c r="F2" s="142"/>
      <c r="G2" s="143"/>
      <c r="H2" s="144"/>
    </row>
    <row r="3" spans="1:8" ht="15.95" customHeight="1" x14ac:dyDescent="0.2">
      <c r="A3" s="541"/>
      <c r="B3" s="11" t="str">
        <f>OPYEAR</f>
        <v>OPERATING FUND 2017/2018 ACTUAL</v>
      </c>
      <c r="C3" s="145"/>
      <c r="D3" s="145"/>
      <c r="E3" s="11"/>
      <c r="F3" s="146"/>
      <c r="G3" s="146"/>
      <c r="H3" s="147"/>
    </row>
    <row r="4" spans="1:8" ht="15.95" customHeight="1" x14ac:dyDescent="0.2">
      <c r="E4" s="8"/>
      <c r="F4" s="8"/>
      <c r="G4" s="8"/>
    </row>
    <row r="5" spans="1:8" ht="18" customHeight="1" x14ac:dyDescent="0.2">
      <c r="B5" s="559" t="s">
        <v>265</v>
      </c>
      <c r="C5" s="560"/>
      <c r="D5" s="561"/>
      <c r="E5" s="148"/>
      <c r="F5" s="149"/>
      <c r="G5" s="150"/>
    </row>
    <row r="6" spans="1:8" ht="15.95" customHeight="1" x14ac:dyDescent="0.2">
      <c r="B6" s="665" t="s">
        <v>517</v>
      </c>
      <c r="C6" s="669"/>
      <c r="D6" s="666"/>
      <c r="E6" s="321"/>
      <c r="F6" s="322"/>
      <c r="G6" s="323"/>
    </row>
    <row r="7" spans="1:8" ht="15.95" customHeight="1" x14ac:dyDescent="0.2">
      <c r="B7" s="667"/>
      <c r="C7" s="670"/>
      <c r="D7" s="668"/>
      <c r="E7" s="705" t="s">
        <v>31</v>
      </c>
      <c r="F7" s="706"/>
      <c r="G7" s="707"/>
    </row>
    <row r="8" spans="1:8" ht="15.95" customHeight="1" x14ac:dyDescent="0.2">
      <c r="A8" s="67"/>
      <c r="B8" s="139"/>
      <c r="C8" s="68"/>
      <c r="D8" s="597" t="s">
        <v>476</v>
      </c>
      <c r="E8" s="139"/>
      <c r="F8" s="137"/>
      <c r="G8" s="597" t="s">
        <v>476</v>
      </c>
    </row>
    <row r="9" spans="1:8" ht="15.95" customHeight="1" x14ac:dyDescent="0.2">
      <c r="A9" s="35" t="s">
        <v>42</v>
      </c>
      <c r="B9" s="77" t="s">
        <v>43</v>
      </c>
      <c r="C9" s="77" t="s">
        <v>44</v>
      </c>
      <c r="D9" s="593"/>
      <c r="E9" s="77" t="s">
        <v>43</v>
      </c>
      <c r="F9" s="77" t="s">
        <v>44</v>
      </c>
      <c r="G9" s="593"/>
    </row>
    <row r="10" spans="1:8" ht="5.0999999999999996" customHeight="1" x14ac:dyDescent="0.2">
      <c r="A10" s="6"/>
      <c r="B10" s="6"/>
      <c r="C10" s="6"/>
      <c r="D10" s="6"/>
    </row>
    <row r="11" spans="1:8" ht="14.1" customHeight="1" x14ac:dyDescent="0.2">
      <c r="A11" s="284" t="s">
        <v>110</v>
      </c>
      <c r="B11" s="285">
        <f>'- 26 -'!B11</f>
        <v>13903</v>
      </c>
      <c r="C11" s="291">
        <f>'- 26 -'!C11</f>
        <v>7.025411544697141E-2</v>
      </c>
      <c r="D11" s="285">
        <f>'- 26 -'!D11</f>
        <v>7.7316205093982866</v>
      </c>
      <c r="E11" s="285">
        <f>SUM('- 37 -'!B11,'- 37 -'!E11,'- 37 -'!H11,B11)</f>
        <v>604001</v>
      </c>
      <c r="F11" s="291">
        <f>E11/'- 3 -'!D11*100</f>
        <v>3.0521150819309626</v>
      </c>
      <c r="G11" s="285">
        <f>E11/'- 7 -'!E11</f>
        <v>335.8920031142253</v>
      </c>
    </row>
    <row r="12" spans="1:8" ht="14.1" customHeight="1" x14ac:dyDescent="0.2">
      <c r="A12" s="19" t="s">
        <v>111</v>
      </c>
      <c r="B12" s="20">
        <f>'- 26 -'!B12</f>
        <v>84635</v>
      </c>
      <c r="C12" s="70">
        <f>'- 26 -'!C12</f>
        <v>0.24859704294794061</v>
      </c>
      <c r="D12" s="20">
        <f>'- 26 -'!D12</f>
        <v>40.876599855107465</v>
      </c>
      <c r="E12" s="20">
        <f>SUM('- 37 -'!B12,'- 37 -'!E12,'- 37 -'!H12,B12)</f>
        <v>1004477</v>
      </c>
      <c r="F12" s="70">
        <f>E12/'- 3 -'!D12*100</f>
        <v>2.9504343582349919</v>
      </c>
      <c r="G12" s="20">
        <f>E12/'- 7 -'!E12</f>
        <v>485.13740642356919</v>
      </c>
    </row>
    <row r="13" spans="1:8" ht="14.1" customHeight="1" x14ac:dyDescent="0.2">
      <c r="A13" s="284" t="s">
        <v>112</v>
      </c>
      <c r="B13" s="285">
        <f>'- 26 -'!B13</f>
        <v>364445</v>
      </c>
      <c r="C13" s="291">
        <f>'- 26 -'!C13</f>
        <v>0.36826785603709289</v>
      </c>
      <c r="D13" s="285">
        <f>'- 26 -'!D13</f>
        <v>43.218946359082267</v>
      </c>
      <c r="E13" s="285">
        <f>SUM('- 37 -'!B13,'- 37 -'!E13,'- 37 -'!H13,B13)</f>
        <v>3165763</v>
      </c>
      <c r="F13" s="291">
        <f>E13/'- 3 -'!D13*100</f>
        <v>3.1989703596744508</v>
      </c>
      <c r="G13" s="285">
        <f>E13/'- 7 -'!E13</f>
        <v>375.42274220408387</v>
      </c>
    </row>
    <row r="14" spans="1:8" ht="14.1" customHeight="1" x14ac:dyDescent="0.2">
      <c r="A14" s="19" t="s">
        <v>359</v>
      </c>
      <c r="B14" s="20">
        <f>'- 26 -'!B14</f>
        <v>118852</v>
      </c>
      <c r="C14" s="70">
        <f>'- 26 -'!C14</f>
        <v>0.13496169304272654</v>
      </c>
      <c r="D14" s="20">
        <f>'- 26 -'!D14</f>
        <v>21.194731454699141</v>
      </c>
      <c r="E14" s="20">
        <f>SUM('- 37 -'!B14,'- 37 -'!E14,'- 37 -'!H14,B14)</f>
        <v>1767732</v>
      </c>
      <c r="F14" s="70">
        <f>E14/'- 3 -'!D14*100</f>
        <v>2.0073377273062722</v>
      </c>
      <c r="G14" s="20">
        <f>E14/'- 7 -'!E14</f>
        <v>315.23748042841703</v>
      </c>
    </row>
    <row r="15" spans="1:8" ht="14.1" customHeight="1" x14ac:dyDescent="0.2">
      <c r="A15" s="284" t="s">
        <v>113</v>
      </c>
      <c r="B15" s="285">
        <f>'- 26 -'!B15</f>
        <v>50088</v>
      </c>
      <c r="C15" s="291">
        <f>'- 26 -'!C15</f>
        <v>0.25067259910470924</v>
      </c>
      <c r="D15" s="285">
        <f>'- 26 -'!D15</f>
        <v>36.300913175822586</v>
      </c>
      <c r="E15" s="285">
        <f>SUM('- 37 -'!B15,'- 37 -'!E15,'- 37 -'!H15,B15)</f>
        <v>451220</v>
      </c>
      <c r="F15" s="291">
        <f>E15/'- 3 -'!D15*100</f>
        <v>2.2581953794926313</v>
      </c>
      <c r="G15" s="285">
        <f>E15/'- 7 -'!E15</f>
        <v>327.01840846499493</v>
      </c>
    </row>
    <row r="16" spans="1:8" ht="14.1" customHeight="1" x14ac:dyDescent="0.2">
      <c r="A16" s="19" t="s">
        <v>114</v>
      </c>
      <c r="B16" s="20">
        <f>'- 26 -'!B16</f>
        <v>35313</v>
      </c>
      <c r="C16" s="70">
        <f>'- 26 -'!C16</f>
        <v>0.24411296015635175</v>
      </c>
      <c r="D16" s="20">
        <f>'- 26 -'!D16</f>
        <v>38.682221491948738</v>
      </c>
      <c r="E16" s="20">
        <f>SUM('- 37 -'!B16,'- 37 -'!E16,'- 37 -'!H16,B16)</f>
        <v>318947</v>
      </c>
      <c r="F16" s="70">
        <f>E16/'- 3 -'!D16*100</f>
        <v>2.2048281455268008</v>
      </c>
      <c r="G16" s="20">
        <f>E16/'- 7 -'!E16</f>
        <v>349.37780698871728</v>
      </c>
    </row>
    <row r="17" spans="1:7" ht="14.1" customHeight="1" x14ac:dyDescent="0.2">
      <c r="A17" s="284" t="s">
        <v>115</v>
      </c>
      <c r="B17" s="285">
        <f>'- 26 -'!B17</f>
        <v>83869</v>
      </c>
      <c r="C17" s="291">
        <f>'- 26 -'!C17</f>
        <v>0.4573416035699136</v>
      </c>
      <c r="D17" s="285">
        <f>'- 26 -'!D17</f>
        <v>60.044285349015603</v>
      </c>
      <c r="E17" s="285">
        <f>SUM('- 37 -'!B17,'- 37 -'!E17,'- 37 -'!H17,B17)</f>
        <v>466997</v>
      </c>
      <c r="F17" s="291">
        <f>E17/'- 3 -'!D17*100</f>
        <v>2.546556616179267</v>
      </c>
      <c r="G17" s="285">
        <f>E17/'- 7 -'!E17</f>
        <v>334.33689593454363</v>
      </c>
    </row>
    <row r="18" spans="1:7" ht="14.1" customHeight="1" x14ac:dyDescent="0.2">
      <c r="A18" s="19" t="s">
        <v>116</v>
      </c>
      <c r="B18" s="20">
        <f>'- 26 -'!B18</f>
        <v>755891</v>
      </c>
      <c r="C18" s="70">
        <f>'- 26 -'!C18</f>
        <v>0.56802473662583397</v>
      </c>
      <c r="D18" s="20">
        <f>'- 26 -'!D18</f>
        <v>124.07724758293527</v>
      </c>
      <c r="E18" s="20">
        <f>SUM('- 37 -'!B18,'- 37 -'!E18,'- 37 -'!H18,B18)</f>
        <v>2617258</v>
      </c>
      <c r="F18" s="70">
        <f>E18/'- 3 -'!D18*100</f>
        <v>1.9667746885885093</v>
      </c>
      <c r="G18" s="20">
        <f>E18/'- 7 -'!E18</f>
        <v>429.61507526140412</v>
      </c>
    </row>
    <row r="19" spans="1:7" ht="14.1" customHeight="1" x14ac:dyDescent="0.2">
      <c r="A19" s="284" t="s">
        <v>117</v>
      </c>
      <c r="B19" s="285">
        <f>'- 26 -'!B19</f>
        <v>146335</v>
      </c>
      <c r="C19" s="291">
        <f>'- 26 -'!C19</f>
        <v>0.29727593386410361</v>
      </c>
      <c r="D19" s="285">
        <f>'- 26 -'!D19</f>
        <v>33.005909418982313</v>
      </c>
      <c r="E19" s="285">
        <f>SUM('- 37 -'!B19,'- 37 -'!E19,'- 37 -'!H19,B19)</f>
        <v>2011309</v>
      </c>
      <c r="F19" s="291">
        <f>E19/'- 3 -'!D19*100</f>
        <v>4.0859244969711721</v>
      </c>
      <c r="G19" s="285">
        <f>E19/'- 7 -'!E19</f>
        <v>453.65143450018041</v>
      </c>
    </row>
    <row r="20" spans="1:7" ht="14.1" customHeight="1" x14ac:dyDescent="0.2">
      <c r="A20" s="19" t="s">
        <v>118</v>
      </c>
      <c r="B20" s="20">
        <f>'- 26 -'!B20</f>
        <v>98934</v>
      </c>
      <c r="C20" s="70">
        <f>'- 26 -'!C20</f>
        <v>0.11665818483265074</v>
      </c>
      <c r="D20" s="20">
        <f>'- 26 -'!D20</f>
        <v>12.695239317336071</v>
      </c>
      <c r="E20" s="20">
        <f>SUM('- 37 -'!B20,'- 37 -'!E20,'- 37 -'!H20,B20)</f>
        <v>3182523</v>
      </c>
      <c r="F20" s="70">
        <f>E20/'- 3 -'!D20*100</f>
        <v>3.7526771015845126</v>
      </c>
      <c r="G20" s="20">
        <f>E20/'- 7 -'!E20</f>
        <v>408.38226613627614</v>
      </c>
    </row>
    <row r="21" spans="1:7" ht="14.1" customHeight="1" x14ac:dyDescent="0.2">
      <c r="A21" s="284" t="s">
        <v>119</v>
      </c>
      <c r="B21" s="285">
        <f>'- 26 -'!B21</f>
        <v>35895</v>
      </c>
      <c r="C21" s="291">
        <f>'- 26 -'!C21</f>
        <v>9.7499869212461274E-2</v>
      </c>
      <c r="D21" s="285">
        <f>'- 26 -'!D21</f>
        <v>12.901660556394221</v>
      </c>
      <c r="E21" s="285">
        <f>SUM('- 37 -'!B21,'- 37 -'!E21,'- 37 -'!H21,B21)</f>
        <v>940408</v>
      </c>
      <c r="F21" s="291">
        <f>E21/'- 3 -'!D21*100</f>
        <v>2.5543852070302906</v>
      </c>
      <c r="G21" s="285">
        <f>E21/'- 7 -'!E21</f>
        <v>338.00877003809939</v>
      </c>
    </row>
    <row r="22" spans="1:7" ht="14.1" customHeight="1" x14ac:dyDescent="0.2">
      <c r="A22" s="19" t="s">
        <v>120</v>
      </c>
      <c r="B22" s="20">
        <f>'- 26 -'!B22</f>
        <v>67618</v>
      </c>
      <c r="C22" s="70">
        <f>'- 26 -'!C22</f>
        <v>0.32787681746811775</v>
      </c>
      <c r="D22" s="20">
        <f>'- 26 -'!D22</f>
        <v>45.277889379938394</v>
      </c>
      <c r="E22" s="20">
        <f>SUM('- 37 -'!B22,'- 37 -'!E22,'- 37 -'!H22,B22)</f>
        <v>474193</v>
      </c>
      <c r="F22" s="70">
        <f>E22/'- 3 -'!D22*100</f>
        <v>2.2993417685477113</v>
      </c>
      <c r="G22" s="20">
        <f>E22/'- 7 -'!E22</f>
        <v>317.52578009910269</v>
      </c>
    </row>
    <row r="23" spans="1:7" ht="14.1" customHeight="1" x14ac:dyDescent="0.2">
      <c r="A23" s="284" t="s">
        <v>121</v>
      </c>
      <c r="B23" s="285">
        <f>'- 26 -'!B23</f>
        <v>61976</v>
      </c>
      <c r="C23" s="291">
        <f>'- 26 -'!C23</f>
        <v>0.37416742676217185</v>
      </c>
      <c r="D23" s="285">
        <f>'- 26 -'!D23</f>
        <v>59.449400479616308</v>
      </c>
      <c r="E23" s="285">
        <f>SUM('- 37 -'!B23,'- 37 -'!E23,'- 37 -'!H23,B23)</f>
        <v>329925</v>
      </c>
      <c r="F23" s="291">
        <f>E23/'- 3 -'!D23*100</f>
        <v>1.9918547223846255</v>
      </c>
      <c r="G23" s="285">
        <f>E23/'- 7 -'!E23</f>
        <v>316.47482014388487</v>
      </c>
    </row>
    <row r="24" spans="1:7" ht="14.1" customHeight="1" x14ac:dyDescent="0.2">
      <c r="A24" s="19" t="s">
        <v>122</v>
      </c>
      <c r="B24" s="20">
        <f>'- 26 -'!B24</f>
        <v>150146</v>
      </c>
      <c r="C24" s="70">
        <f>'- 26 -'!C24</f>
        <v>0.25944666319634191</v>
      </c>
      <c r="D24" s="20">
        <f>'- 26 -'!D24</f>
        <v>38.585048698378429</v>
      </c>
      <c r="E24" s="20">
        <f>SUM('- 37 -'!B24,'- 37 -'!E24,'- 37 -'!H24,B24)</f>
        <v>2095142</v>
      </c>
      <c r="F24" s="70">
        <f>E24/'- 3 -'!D24*100</f>
        <v>3.6203268873130829</v>
      </c>
      <c r="G24" s="20">
        <f>E24/'- 7 -'!E24</f>
        <v>538.4169814714877</v>
      </c>
    </row>
    <row r="25" spans="1:7" ht="14.1" customHeight="1" x14ac:dyDescent="0.2">
      <c r="A25" s="284" t="s">
        <v>123</v>
      </c>
      <c r="B25" s="285">
        <f>'- 26 -'!B25</f>
        <v>803513</v>
      </c>
      <c r="C25" s="291">
        <f>'- 26 -'!C25</f>
        <v>0.42957454700305925</v>
      </c>
      <c r="D25" s="285">
        <f>'- 26 -'!D25</f>
        <v>54.934674260086013</v>
      </c>
      <c r="E25" s="285">
        <f>SUM('- 37 -'!B25,'- 37 -'!E25,'- 37 -'!H25,B25)</f>
        <v>4898100</v>
      </c>
      <c r="F25" s="291">
        <f>E25/'- 3 -'!D25*100</f>
        <v>2.6186248245836525</v>
      </c>
      <c r="G25" s="285">
        <f>E25/'- 7 -'!E25</f>
        <v>334.87389500023932</v>
      </c>
    </row>
    <row r="26" spans="1:7" ht="14.1" customHeight="1" x14ac:dyDescent="0.2">
      <c r="A26" s="19" t="s">
        <v>124</v>
      </c>
      <c r="B26" s="20">
        <f>'- 26 -'!B26</f>
        <v>33031</v>
      </c>
      <c r="C26" s="70">
        <f>'- 26 -'!C26</f>
        <v>8.098936138989915E-2</v>
      </c>
      <c r="D26" s="20">
        <f>'- 26 -'!D26</f>
        <v>11.178003384094755</v>
      </c>
      <c r="E26" s="20">
        <f>SUM('- 37 -'!B26,'- 37 -'!E26,'- 37 -'!H26,B26)</f>
        <v>1284530</v>
      </c>
      <c r="F26" s="70">
        <f>E26/'- 3 -'!D26*100</f>
        <v>3.1495644814315993</v>
      </c>
      <c r="G26" s="20">
        <f>E26/'- 7 -'!E26</f>
        <v>434.69712351945856</v>
      </c>
    </row>
    <row r="27" spans="1:7" ht="14.1" customHeight="1" x14ac:dyDescent="0.2">
      <c r="A27" s="284" t="s">
        <v>125</v>
      </c>
      <c r="B27" s="285">
        <f>'- 26 -'!B27</f>
        <v>223679</v>
      </c>
      <c r="C27" s="291">
        <f>'- 26 -'!C27</f>
        <v>0.54628264088784606</v>
      </c>
      <c r="D27" s="285">
        <f>'- 26 -'!D27</f>
        <v>73.799531492296012</v>
      </c>
      <c r="E27" s="285">
        <f>SUM('- 37 -'!B27,'- 37 -'!E27,'- 37 -'!H27,B27)</f>
        <v>766156</v>
      </c>
      <c r="F27" s="291">
        <f>E27/'- 3 -'!D27*100</f>
        <v>1.8711534073921496</v>
      </c>
      <c r="G27" s="285">
        <f>E27/'- 7 -'!E27</f>
        <v>252.78168200864428</v>
      </c>
    </row>
    <row r="28" spans="1:7" ht="14.1" customHeight="1" x14ac:dyDescent="0.2">
      <c r="A28" s="19" t="s">
        <v>126</v>
      </c>
      <c r="B28" s="20">
        <f>'- 26 -'!B28</f>
        <v>80117</v>
      </c>
      <c r="C28" s="70">
        <f>'- 26 -'!C28</f>
        <v>0.27725250748673824</v>
      </c>
      <c r="D28" s="20">
        <f>'- 26 -'!D28</f>
        <v>41.096178507309567</v>
      </c>
      <c r="E28" s="20">
        <f>SUM('- 37 -'!B28,'- 37 -'!E28,'- 37 -'!H28,B28)</f>
        <v>1037939</v>
      </c>
      <c r="F28" s="70">
        <f>E28/'- 3 -'!D28*100</f>
        <v>3.5918867452385581</v>
      </c>
      <c r="G28" s="20">
        <f>E28/'- 7 -'!E28</f>
        <v>532.41292639138237</v>
      </c>
    </row>
    <row r="29" spans="1:7" ht="14.1" customHeight="1" x14ac:dyDescent="0.2">
      <c r="A29" s="284" t="s">
        <v>127</v>
      </c>
      <c r="B29" s="285">
        <f>'- 26 -'!B29</f>
        <v>1192458</v>
      </c>
      <c r="C29" s="291">
        <f>'- 26 -'!C29</f>
        <v>0.73228558131779542</v>
      </c>
      <c r="D29" s="285">
        <f>'- 26 -'!D29</f>
        <v>89.036579082946943</v>
      </c>
      <c r="E29" s="285">
        <f>SUM('- 37 -'!B29,'- 37 -'!E29,'- 37 -'!H29,B29)</f>
        <v>5163094</v>
      </c>
      <c r="F29" s="291">
        <f>E29/'- 3 -'!D29*100</f>
        <v>3.1706435708330369</v>
      </c>
      <c r="G29" s="285">
        <f>E29/'- 7 -'!E29</f>
        <v>385.50978503535458</v>
      </c>
    </row>
    <row r="30" spans="1:7" ht="14.1" customHeight="1" x14ac:dyDescent="0.2">
      <c r="A30" s="19" t="s">
        <v>128</v>
      </c>
      <c r="B30" s="20">
        <f>'- 26 -'!B30</f>
        <v>47897</v>
      </c>
      <c r="C30" s="70">
        <f>'- 26 -'!C30</f>
        <v>0.32585892676708922</v>
      </c>
      <c r="D30" s="20">
        <f>'- 26 -'!D30</f>
        <v>47.554606830818109</v>
      </c>
      <c r="E30" s="20">
        <f>SUM('- 37 -'!B30,'- 37 -'!E30,'- 37 -'!H30,B30)</f>
        <v>440028</v>
      </c>
      <c r="F30" s="70">
        <f>E30/'- 3 -'!D30*100</f>
        <v>2.9936541292245598</v>
      </c>
      <c r="G30" s="20">
        <f>E30/'- 7 -'!E30</f>
        <v>436.8824463860206</v>
      </c>
    </row>
    <row r="31" spans="1:7" ht="14.1" customHeight="1" x14ac:dyDescent="0.2">
      <c r="A31" s="284" t="s">
        <v>129</v>
      </c>
      <c r="B31" s="285">
        <f>'- 26 -'!B31</f>
        <v>160670</v>
      </c>
      <c r="C31" s="291">
        <f>'- 26 -'!C31</f>
        <v>0.42245537944878025</v>
      </c>
      <c r="D31" s="285">
        <f>'- 26 -'!D31</f>
        <v>48.53492025132914</v>
      </c>
      <c r="E31" s="285">
        <f>SUM('- 37 -'!B31,'- 37 -'!E31,'- 37 -'!H31,B31)</f>
        <v>841083</v>
      </c>
      <c r="F31" s="291">
        <f>E31/'- 3 -'!D31*100</f>
        <v>2.2114896241545932</v>
      </c>
      <c r="G31" s="285">
        <f>E31/'- 7 -'!E31</f>
        <v>254.07292170130498</v>
      </c>
    </row>
    <row r="32" spans="1:7" ht="14.1" customHeight="1" x14ac:dyDescent="0.2">
      <c r="A32" s="19" t="s">
        <v>130</v>
      </c>
      <c r="B32" s="20">
        <f>'- 26 -'!B32</f>
        <v>66259</v>
      </c>
      <c r="C32" s="70">
        <f>'- 26 -'!C32</f>
        <v>0.21104510693803585</v>
      </c>
      <c r="D32" s="20">
        <f>'- 26 -'!D32</f>
        <v>30.30368168305511</v>
      </c>
      <c r="E32" s="20">
        <f>SUM('- 37 -'!B32,'- 37 -'!E32,'- 37 -'!H32,B32)</f>
        <v>912664</v>
      </c>
      <c r="F32" s="70">
        <f>E32/'- 3 -'!D32*100</f>
        <v>2.9069752256824812</v>
      </c>
      <c r="G32" s="20">
        <f>E32/'- 7 -'!E32</f>
        <v>417.40864395152067</v>
      </c>
    </row>
    <row r="33" spans="1:7" ht="14.1" customHeight="1" x14ac:dyDescent="0.2">
      <c r="A33" s="284" t="s">
        <v>131</v>
      </c>
      <c r="B33" s="285">
        <f>'- 26 -'!B33</f>
        <v>75394</v>
      </c>
      <c r="C33" s="291">
        <f>'- 26 -'!C33</f>
        <v>0.26594717410227486</v>
      </c>
      <c r="D33" s="285">
        <f>'- 26 -'!D33</f>
        <v>35.994461949775612</v>
      </c>
      <c r="E33" s="285">
        <f>SUM('- 37 -'!B33,'- 37 -'!E33,'- 37 -'!H33,B33)</f>
        <v>1149414</v>
      </c>
      <c r="F33" s="291">
        <f>E33/'- 3 -'!D33*100</f>
        <v>4.0544792048915319</v>
      </c>
      <c r="G33" s="285">
        <f>E33/'- 7 -'!E33</f>
        <v>548.75107419077631</v>
      </c>
    </row>
    <row r="34" spans="1:7" ht="14.1" customHeight="1" x14ac:dyDescent="0.2">
      <c r="A34" s="19" t="s">
        <v>132</v>
      </c>
      <c r="B34" s="20">
        <f>'- 26 -'!B34</f>
        <v>43087</v>
      </c>
      <c r="C34" s="70">
        <f>'- 26 -'!C34</f>
        <v>0.14015431319393454</v>
      </c>
      <c r="D34" s="20">
        <f>'- 26 -'!D34</f>
        <v>20.546775901040526</v>
      </c>
      <c r="E34" s="20">
        <f>SUM('- 37 -'!B34,'- 37 -'!E34,'- 37 -'!H34,B34)</f>
        <v>1252205</v>
      </c>
      <c r="F34" s="70">
        <f>E34/'- 3 -'!D34*100</f>
        <v>4.0731991494652862</v>
      </c>
      <c r="G34" s="20">
        <f>E34/'- 7 -'!E34</f>
        <v>597.13545888928104</v>
      </c>
    </row>
    <row r="35" spans="1:7" ht="14.1" customHeight="1" x14ac:dyDescent="0.2">
      <c r="A35" s="284" t="s">
        <v>133</v>
      </c>
      <c r="B35" s="285">
        <f>'- 26 -'!B35</f>
        <v>1167551</v>
      </c>
      <c r="C35" s="291">
        <f>'- 26 -'!C35</f>
        <v>0.61994641953518914</v>
      </c>
      <c r="D35" s="285">
        <f>'- 26 -'!D35</f>
        <v>73.620720095844632</v>
      </c>
      <c r="E35" s="285">
        <f>SUM('- 37 -'!B35,'- 37 -'!E35,'- 37 -'!H35,B35)</f>
        <v>3309013</v>
      </c>
      <c r="F35" s="291">
        <f>E35/'- 3 -'!D35*100</f>
        <v>1.7570202599675688</v>
      </c>
      <c r="G35" s="285">
        <f>E35/'- 7 -'!E35</f>
        <v>208.65205876789204</v>
      </c>
    </row>
    <row r="36" spans="1:7" ht="14.1" customHeight="1" x14ac:dyDescent="0.2">
      <c r="A36" s="19" t="s">
        <v>134</v>
      </c>
      <c r="B36" s="20">
        <f>'- 26 -'!B36</f>
        <v>6452</v>
      </c>
      <c r="C36" s="70">
        <f>'- 26 -'!C36</f>
        <v>2.7265122296666503E-2</v>
      </c>
      <c r="D36" s="20">
        <f>'- 26 -'!D36</f>
        <v>3.8159451147385854</v>
      </c>
      <c r="E36" s="20">
        <f>SUM('- 37 -'!B36,'- 37 -'!E36,'- 37 -'!H36,B36)</f>
        <v>817694</v>
      </c>
      <c r="F36" s="70">
        <f>E36/'- 3 -'!D36*100</f>
        <v>3.4554443445831402</v>
      </c>
      <c r="G36" s="20">
        <f>E36/'- 7 -'!E36</f>
        <v>483.61367400047317</v>
      </c>
    </row>
    <row r="37" spans="1:7" ht="14.1" customHeight="1" x14ac:dyDescent="0.2">
      <c r="A37" s="284" t="s">
        <v>135</v>
      </c>
      <c r="B37" s="285">
        <f>'- 26 -'!B37</f>
        <v>253095</v>
      </c>
      <c r="C37" s="291">
        <f>'- 26 -'!C37</f>
        <v>0.48289017252150296</v>
      </c>
      <c r="D37" s="285">
        <f>'- 26 -'!D37</f>
        <v>60.332538736591182</v>
      </c>
      <c r="E37" s="285">
        <f>SUM('- 37 -'!B37,'- 37 -'!E37,'- 37 -'!H37,B37)</f>
        <v>1853764</v>
      </c>
      <c r="F37" s="291">
        <f>E37/'- 3 -'!D37*100</f>
        <v>3.5368712055716283</v>
      </c>
      <c r="G37" s="285">
        <f>E37/'- 7 -'!E37</f>
        <v>441.89845053635281</v>
      </c>
    </row>
    <row r="38" spans="1:7" ht="14.1" customHeight="1" x14ac:dyDescent="0.2">
      <c r="A38" s="19" t="s">
        <v>136</v>
      </c>
      <c r="B38" s="20">
        <f>'- 26 -'!B38</f>
        <v>521642</v>
      </c>
      <c r="C38" s="70">
        <f>'- 26 -'!C38</f>
        <v>0.37034198008681846</v>
      </c>
      <c r="D38" s="20">
        <f>'- 26 -'!D38</f>
        <v>47.125537527553931</v>
      </c>
      <c r="E38" s="20">
        <f>SUM('- 37 -'!B38,'- 37 -'!E38,'- 37 -'!H38,B38)</f>
        <v>2691269</v>
      </c>
      <c r="F38" s="70">
        <f>E38/'- 3 -'!D38*100</f>
        <v>1.9106779944986636</v>
      </c>
      <c r="G38" s="20">
        <f>E38/'- 7 -'!E38</f>
        <v>243.13130126838433</v>
      </c>
    </row>
    <row r="39" spans="1:7" ht="14.1" customHeight="1" x14ac:dyDescent="0.2">
      <c r="A39" s="284" t="s">
        <v>137</v>
      </c>
      <c r="B39" s="285">
        <f>'- 26 -'!B39</f>
        <v>63174</v>
      </c>
      <c r="C39" s="291">
        <f>'- 26 -'!C39</f>
        <v>0.28340387551009022</v>
      </c>
      <c r="D39" s="285">
        <f>'- 26 -'!D39</f>
        <v>41.754130865829481</v>
      </c>
      <c r="E39" s="285">
        <f>SUM('- 37 -'!B39,'- 37 -'!E39,'- 37 -'!H39,B39)</f>
        <v>448637</v>
      </c>
      <c r="F39" s="291">
        <f>E39/'- 3 -'!D39*100</f>
        <v>2.0126233022639113</v>
      </c>
      <c r="G39" s="285">
        <f>E39/'- 7 -'!E39</f>
        <v>296.5214805023133</v>
      </c>
    </row>
    <row r="40" spans="1:7" ht="14.1" customHeight="1" x14ac:dyDescent="0.2">
      <c r="A40" s="19" t="s">
        <v>138</v>
      </c>
      <c r="B40" s="20">
        <f>'- 26 -'!B40</f>
        <v>499694</v>
      </c>
      <c r="C40" s="70">
        <f>'- 26 -'!C40</f>
        <v>0.47171555510679469</v>
      </c>
      <c r="D40" s="20">
        <f>'- 26 -'!D40</f>
        <v>61.484908515952803</v>
      </c>
      <c r="E40" s="20">
        <f>SUM('- 37 -'!B40,'- 37 -'!E40,'- 37 -'!H40,B40)</f>
        <v>2552405</v>
      </c>
      <c r="F40" s="70">
        <f>E40/'- 3 -'!D40*100</f>
        <v>2.4094928925149359</v>
      </c>
      <c r="G40" s="20">
        <f>E40/'- 7 -'!E40</f>
        <v>314.06098116179203</v>
      </c>
    </row>
    <row r="41" spans="1:7" ht="14.1" customHeight="1" x14ac:dyDescent="0.2">
      <c r="A41" s="284" t="s">
        <v>139</v>
      </c>
      <c r="B41" s="285">
        <f>'- 26 -'!B41</f>
        <v>122200</v>
      </c>
      <c r="C41" s="291">
        <f>'- 26 -'!C41</f>
        <v>0.18818569005829167</v>
      </c>
      <c r="D41" s="285">
        <f>'- 26 -'!D41</f>
        <v>27.488471488021595</v>
      </c>
      <c r="E41" s="285">
        <f>SUM('- 37 -'!B41,'- 37 -'!E41,'- 37 -'!H41,B41)</f>
        <v>1460294</v>
      </c>
      <c r="F41" s="291">
        <f>E41/'- 3 -'!D41*100</f>
        <v>2.2488251561209736</v>
      </c>
      <c r="G41" s="285">
        <f>E41/'- 7 -'!E41</f>
        <v>328.48813406815879</v>
      </c>
    </row>
    <row r="42" spans="1:7" ht="14.1" customHeight="1" x14ac:dyDescent="0.2">
      <c r="A42" s="19" t="s">
        <v>140</v>
      </c>
      <c r="B42" s="20">
        <f>'- 26 -'!B42</f>
        <v>21845</v>
      </c>
      <c r="C42" s="70">
        <f>'- 26 -'!C42</f>
        <v>0.10467526350302514</v>
      </c>
      <c r="D42" s="20">
        <f>'- 26 -'!D42</f>
        <v>15.470963172804533</v>
      </c>
      <c r="E42" s="20">
        <f>SUM('- 37 -'!B42,'- 37 -'!E42,'- 37 -'!H42,B42)</f>
        <v>888198</v>
      </c>
      <c r="F42" s="70">
        <f>E42/'- 3 -'!D42*100</f>
        <v>4.2560018170226561</v>
      </c>
      <c r="G42" s="20">
        <f>E42/'- 7 -'!E42</f>
        <v>629.03541076487249</v>
      </c>
    </row>
    <row r="43" spans="1:7" ht="14.1" customHeight="1" x14ac:dyDescent="0.2">
      <c r="A43" s="284" t="s">
        <v>141</v>
      </c>
      <c r="B43" s="285">
        <f>'- 26 -'!B43</f>
        <v>29939</v>
      </c>
      <c r="C43" s="291">
        <f>'- 26 -'!C43</f>
        <v>0.22256884847922562</v>
      </c>
      <c r="D43" s="285">
        <f>'- 26 -'!D43</f>
        <v>30.896800825593395</v>
      </c>
      <c r="E43" s="285">
        <f>SUM('- 37 -'!B43,'- 37 -'!E43,'- 37 -'!H43,B43)</f>
        <v>379509</v>
      </c>
      <c r="F43" s="291">
        <f>E43/'- 3 -'!D43*100</f>
        <v>2.8212993459201186</v>
      </c>
      <c r="G43" s="285">
        <f>E43/'- 7 -'!E43</f>
        <v>391.6501547987616</v>
      </c>
    </row>
    <row r="44" spans="1:7" ht="14.1" customHeight="1" x14ac:dyDescent="0.2">
      <c r="A44" s="19" t="s">
        <v>142</v>
      </c>
      <c r="B44" s="20">
        <f>'- 26 -'!B44</f>
        <v>8903</v>
      </c>
      <c r="C44" s="70">
        <f>'- 26 -'!C44</f>
        <v>8.1216301460899087E-2</v>
      </c>
      <c r="D44" s="20">
        <f>'- 26 -'!D44</f>
        <v>12.828530259365994</v>
      </c>
      <c r="E44" s="20">
        <f>SUM('- 37 -'!B44,'- 37 -'!E44,'- 37 -'!H44,B44)</f>
        <v>346515</v>
      </c>
      <c r="F44" s="70">
        <f>E44/'- 3 -'!D44*100</f>
        <v>3.1610318657445187</v>
      </c>
      <c r="G44" s="20">
        <f>E44/'- 7 -'!E44</f>
        <v>499.30115273775215</v>
      </c>
    </row>
    <row r="45" spans="1:7" ht="14.1" customHeight="1" x14ac:dyDescent="0.2">
      <c r="A45" s="284" t="s">
        <v>143</v>
      </c>
      <c r="B45" s="285">
        <f>'- 26 -'!B45</f>
        <v>70438</v>
      </c>
      <c r="C45" s="291">
        <f>'- 26 -'!C45</f>
        <v>0.35300238203188905</v>
      </c>
      <c r="D45" s="285">
        <f>'- 26 -'!D45</f>
        <v>40.762731481481481</v>
      </c>
      <c r="E45" s="285">
        <f>SUM('- 37 -'!B45,'- 37 -'!E45,'- 37 -'!H45,B45)</f>
        <v>446100</v>
      </c>
      <c r="F45" s="291">
        <f>E45/'- 3 -'!D45*100</f>
        <v>2.2356450016244884</v>
      </c>
      <c r="G45" s="285">
        <f>E45/'- 7 -'!E45</f>
        <v>258.15972222222223</v>
      </c>
    </row>
    <row r="46" spans="1:7" ht="14.1" customHeight="1" x14ac:dyDescent="0.2">
      <c r="A46" s="19" t="s">
        <v>144</v>
      </c>
      <c r="B46" s="20">
        <f>'- 26 -'!B46</f>
        <v>1336733</v>
      </c>
      <c r="C46" s="70">
        <f>'- 26 -'!C46</f>
        <v>0.33680781733843385</v>
      </c>
      <c r="D46" s="20">
        <f>'- 26 -'!D46</f>
        <v>44.708135027475748</v>
      </c>
      <c r="E46" s="20">
        <f>SUM('- 37 -'!B46,'- 37 -'!E46,'- 37 -'!H46,B46)</f>
        <v>8068386</v>
      </c>
      <c r="F46" s="70">
        <f>E46/'- 3 -'!D46*100</f>
        <v>2.0329381245947973</v>
      </c>
      <c r="G46" s="20">
        <f>E46/'- 7 -'!E46</f>
        <v>269.85380830861129</v>
      </c>
    </row>
    <row r="47" spans="1:7" ht="5.0999999999999996" customHeight="1" x14ac:dyDescent="0.2">
      <c r="A47" s="21"/>
      <c r="B47" s="22"/>
      <c r="C47"/>
      <c r="D47"/>
      <c r="E47"/>
      <c r="F47"/>
      <c r="G47"/>
    </row>
    <row r="48" spans="1:7" ht="14.1" customHeight="1" x14ac:dyDescent="0.2">
      <c r="A48" s="286" t="s">
        <v>145</v>
      </c>
      <c r="B48" s="287">
        <f>SUM(B11:B46)</f>
        <v>8895671</v>
      </c>
      <c r="C48" s="294">
        <f>'- 26 -'!C48</f>
        <v>0.37743109459032453</v>
      </c>
      <c r="D48" s="287">
        <f>'- 26 -'!D48</f>
        <v>50.150684735347504</v>
      </c>
      <c r="E48" s="287">
        <f>SUM('- 37 -'!B48,'- 37 -'!E48,'- 37 -'!H48,B48)</f>
        <v>60436892</v>
      </c>
      <c r="F48" s="294">
        <f>E48/'- 3 -'!D48*100</f>
        <v>2.5642542649337221</v>
      </c>
      <c r="G48" s="287">
        <f>E48/'- 7 -'!E48</f>
        <v>340.72207898383897</v>
      </c>
    </row>
    <row r="49" spans="1:8" ht="5.0999999999999996" customHeight="1" x14ac:dyDescent="0.2">
      <c r="A49" s="21" t="s">
        <v>7</v>
      </c>
      <c r="B49" s="22"/>
      <c r="C49"/>
      <c r="D49"/>
      <c r="E49"/>
      <c r="F49"/>
      <c r="G49"/>
    </row>
    <row r="50" spans="1:8" ht="14.1" customHeight="1" x14ac:dyDescent="0.2">
      <c r="A50" s="19" t="s">
        <v>146</v>
      </c>
      <c r="B50" s="20">
        <f>'- 26 -'!B50</f>
        <v>1524</v>
      </c>
      <c r="C50" s="70">
        <f>'- 26 -'!C50</f>
        <v>4.7078724957377381E-2</v>
      </c>
      <c r="D50" s="20">
        <f>'- 26 -'!D50</f>
        <v>9.2926829268292686</v>
      </c>
      <c r="E50" s="20">
        <f>SUM('- 37 -'!B50,'- 37 -'!E50,'- 37 -'!H50,B50)</f>
        <v>77543</v>
      </c>
      <c r="F50" s="70">
        <f>E50/'- 3 -'!D50*100</f>
        <v>2.3954236019487629</v>
      </c>
      <c r="G50" s="20">
        <f>E50/'- 7 -'!E50</f>
        <v>472.82317073170731</v>
      </c>
    </row>
    <row r="51" spans="1:8" ht="14.1" customHeight="1" x14ac:dyDescent="0.2">
      <c r="A51" s="284" t="s">
        <v>607</v>
      </c>
      <c r="B51" s="285">
        <f>'- 26 -'!B51</f>
        <v>1560591</v>
      </c>
      <c r="C51" s="291">
        <f>'- 26 -'!C51</f>
        <v>5.1417327159308739</v>
      </c>
      <c r="D51" s="285">
        <f>'- 26 -'!D51</f>
        <v>1434.3667279411766</v>
      </c>
      <c r="E51" s="285">
        <f>SUM('- 37 -'!B51,'- 37 -'!E51,'- 37 -'!H51,B51)</f>
        <v>2012355</v>
      </c>
      <c r="F51" s="291">
        <f>E51/'- 3 -'!D51*100</f>
        <v>6.6301750680140241</v>
      </c>
      <c r="G51" s="285">
        <f>E51/'- 7 -'!E51</f>
        <v>1849.5909926470588</v>
      </c>
    </row>
    <row r="52" spans="1:8" ht="50.1" customHeight="1" x14ac:dyDescent="0.2">
      <c r="A52" s="23"/>
      <c r="B52" s="23"/>
      <c r="C52" s="23"/>
      <c r="D52" s="23"/>
      <c r="E52" s="23"/>
      <c r="F52" s="23"/>
      <c r="G52" s="23"/>
      <c r="H52" s="23"/>
    </row>
    <row r="53" spans="1:8" ht="15" customHeight="1" x14ac:dyDescent="0.2">
      <c r="A53" s="133" t="s">
        <v>348</v>
      </c>
    </row>
    <row r="54" spans="1:8" ht="12" customHeight="1" x14ac:dyDescent="0.2">
      <c r="A54" s="133" t="s">
        <v>415</v>
      </c>
      <c r="B54" s="130"/>
      <c r="C54" s="130"/>
      <c r="D54" s="130"/>
    </row>
  </sheetData>
  <mergeCells count="4">
    <mergeCell ref="D8:D9"/>
    <mergeCell ref="G8:G9"/>
    <mergeCell ref="E7:G7"/>
    <mergeCell ref="B6:D7"/>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M55"/>
  <sheetViews>
    <sheetView showGridLines="0" showZeros="0" workbookViewId="0"/>
  </sheetViews>
  <sheetFormatPr defaultColWidth="14.83203125" defaultRowHeight="12" x14ac:dyDescent="0.2"/>
  <cols>
    <col min="1" max="1" width="31.83203125" style="2" customWidth="1"/>
    <col min="2" max="2" width="15.83203125" style="2" customWidth="1"/>
    <col min="3" max="3" width="13.83203125" style="2" customWidth="1"/>
    <col min="4" max="5" width="14.83203125" style="2" customWidth="1"/>
    <col min="6" max="6" width="12.83203125" style="2" customWidth="1"/>
    <col min="7" max="7" width="16.83203125" style="2" customWidth="1"/>
    <col min="8" max="8" width="11.83203125" style="2" customWidth="1"/>
    <col min="9" max="10" width="14.83203125" style="2"/>
    <col min="11" max="11" width="19.5" style="2" customWidth="1"/>
    <col min="12" max="16384" width="14.83203125" style="2"/>
  </cols>
  <sheetData>
    <row r="1" spans="1:13" ht="6.95" customHeight="1" x14ac:dyDescent="0.2">
      <c r="A1" s="7"/>
      <c r="J1" s="495">
        <v>100.00000000000003</v>
      </c>
    </row>
    <row r="2" spans="1:13" ht="15.95" customHeight="1" x14ac:dyDescent="0.2">
      <c r="A2" s="204" t="str">
        <f>"  SUMMARY"&amp;REPLACE(REVYEAR,1,8,"")</f>
        <v xml:space="preserve">  SUMMARY OF OPERATING FUND REVENUE: 2017/2018 ACTUAL</v>
      </c>
      <c r="B2" s="41"/>
      <c r="C2" s="41"/>
      <c r="D2" s="41"/>
      <c r="E2" s="41"/>
      <c r="F2" s="41"/>
      <c r="G2" s="41"/>
      <c r="H2" s="41"/>
    </row>
    <row r="3" spans="1:13" ht="15.95" customHeight="1" x14ac:dyDescent="0.2">
      <c r="A3" s="537"/>
    </row>
    <row r="4" spans="1:13" ht="15.95" customHeight="1" x14ac:dyDescent="0.2">
      <c r="B4" s="8"/>
      <c r="C4" s="69"/>
      <c r="D4" s="69"/>
      <c r="E4" s="8"/>
      <c r="F4" s="8"/>
      <c r="G4" s="8"/>
      <c r="H4" s="8"/>
    </row>
    <row r="5" spans="1:13" ht="15.95" customHeight="1" x14ac:dyDescent="0.2">
      <c r="B5" s="8"/>
      <c r="C5" s="8"/>
      <c r="D5" s="8"/>
      <c r="E5" s="8"/>
      <c r="F5" s="8"/>
      <c r="G5" s="8"/>
      <c r="H5" s="8"/>
    </row>
    <row r="6" spans="1:13" ht="15.95" customHeight="1" x14ac:dyDescent="0.2">
      <c r="B6" s="206" t="s">
        <v>54</v>
      </c>
      <c r="C6" s="173"/>
      <c r="D6" s="173"/>
      <c r="E6" s="173"/>
      <c r="F6" s="173"/>
      <c r="G6" s="173"/>
      <c r="H6" s="174"/>
    </row>
    <row r="7" spans="1:13" ht="15.95" customHeight="1" x14ac:dyDescent="0.2">
      <c r="B7" s="686" t="s">
        <v>58</v>
      </c>
      <c r="C7" s="687"/>
      <c r="D7" s="688"/>
      <c r="E7" s="631" t="s">
        <v>519</v>
      </c>
      <c r="F7" s="303" t="s">
        <v>7</v>
      </c>
      <c r="G7" s="629" t="s">
        <v>518</v>
      </c>
      <c r="H7" s="303" t="s">
        <v>7</v>
      </c>
    </row>
    <row r="8" spans="1:13" ht="15.95" customHeight="1" x14ac:dyDescent="0.2">
      <c r="A8" s="33"/>
      <c r="B8" s="338"/>
      <c r="C8" s="372"/>
      <c r="D8" s="372"/>
      <c r="E8" s="708"/>
      <c r="F8" s="708" t="s">
        <v>61</v>
      </c>
      <c r="G8" s="708"/>
      <c r="H8" s="350" t="s">
        <v>7</v>
      </c>
      <c r="K8" s="510"/>
      <c r="L8" s="510"/>
      <c r="M8" s="510"/>
    </row>
    <row r="9" spans="1:13" ht="15.95" customHeight="1" x14ac:dyDescent="0.2">
      <c r="A9" s="82" t="s">
        <v>42</v>
      </c>
      <c r="B9" s="307" t="s">
        <v>246</v>
      </c>
      <c r="C9" s="307" t="s">
        <v>56</v>
      </c>
      <c r="D9" s="307" t="s">
        <v>57</v>
      </c>
      <c r="E9" s="630"/>
      <c r="F9" s="630"/>
      <c r="G9" s="630"/>
      <c r="H9" s="307" t="s">
        <v>24</v>
      </c>
      <c r="J9" s="496" t="s">
        <v>85</v>
      </c>
      <c r="K9" s="510"/>
      <c r="L9" s="510"/>
      <c r="M9" s="510"/>
    </row>
    <row r="10" spans="1:13" ht="5.0999999999999996" customHeight="1" x14ac:dyDescent="0.2">
      <c r="A10" s="6"/>
      <c r="B10" s="207"/>
      <c r="C10" s="207"/>
      <c r="D10" s="207"/>
      <c r="E10" s="207"/>
      <c r="F10" s="207"/>
      <c r="G10" s="207"/>
      <c r="H10" s="207"/>
      <c r="K10" s="510"/>
      <c r="L10" s="510"/>
      <c r="M10" s="510"/>
    </row>
    <row r="11" spans="1:13" ht="14.1" customHeight="1" x14ac:dyDescent="0.2">
      <c r="A11" s="284" t="s">
        <v>110</v>
      </c>
      <c r="B11" s="291">
        <f>'- 41 -'!I11</f>
        <v>64.094994200843729</v>
      </c>
      <c r="C11" s="291">
        <f>'- 42 -'!C11</f>
        <v>0</v>
      </c>
      <c r="D11" s="291">
        <f>'- 42 -'!E11</f>
        <v>35.206964997154593</v>
      </c>
      <c r="E11" s="291">
        <f>'- 42 -'!G11</f>
        <v>0.16437264761791803</v>
      </c>
      <c r="F11" s="291">
        <f>'- 42 -'!I11</f>
        <v>0</v>
      </c>
      <c r="G11" s="291">
        <f>'- 43 -'!C11</f>
        <v>7.119343814473808E-2</v>
      </c>
      <c r="H11" s="291">
        <f>'- 43 -'!E11</f>
        <v>0.46247471623901104</v>
      </c>
      <c r="J11" s="131">
        <f>SUM(B11:H11)</f>
        <v>99.999999999999986</v>
      </c>
      <c r="K11" s="495" t="s">
        <v>60</v>
      </c>
      <c r="L11" s="548">
        <f>B48</f>
        <v>59.518606247289675</v>
      </c>
      <c r="M11" s="510"/>
    </row>
    <row r="12" spans="1:13" ht="14.1" customHeight="1" x14ac:dyDescent="0.2">
      <c r="A12" s="19" t="s">
        <v>111</v>
      </c>
      <c r="B12" s="70">
        <f>'- 41 -'!I12</f>
        <v>60.222180104481083</v>
      </c>
      <c r="C12" s="70">
        <f>'- 42 -'!C12</f>
        <v>1.8270963272685441E-2</v>
      </c>
      <c r="D12" s="70">
        <f>'- 42 -'!E12</f>
        <v>32.554482786499442</v>
      </c>
      <c r="E12" s="70">
        <f>'- 42 -'!G12</f>
        <v>1.6467696235585143</v>
      </c>
      <c r="F12" s="70">
        <f>'- 42 -'!I12</f>
        <v>3.4164685632572667</v>
      </c>
      <c r="G12" s="70">
        <f>'- 43 -'!C12</f>
        <v>0.41787407719486119</v>
      </c>
      <c r="H12" s="70">
        <f>'- 43 -'!E12</f>
        <v>1.7239538817361442</v>
      </c>
      <c r="J12" s="131">
        <f t="shared" ref="J12:J46" si="0">SUM(B12:H12)</f>
        <v>100</v>
      </c>
      <c r="K12" s="495" t="s">
        <v>56</v>
      </c>
      <c r="L12" s="548">
        <f>C48</f>
        <v>0.30278736751868124</v>
      </c>
      <c r="M12" s="510"/>
    </row>
    <row r="13" spans="1:13" ht="14.1" customHeight="1" x14ac:dyDescent="0.2">
      <c r="A13" s="284" t="s">
        <v>112</v>
      </c>
      <c r="B13" s="291">
        <f>'- 41 -'!I13</f>
        <v>60.041682104764817</v>
      </c>
      <c r="C13" s="291">
        <f>'- 42 -'!C13</f>
        <v>2.1850645389588867E-2</v>
      </c>
      <c r="D13" s="291">
        <f>'- 42 -'!E13</f>
        <v>38.212815751267513</v>
      </c>
      <c r="E13" s="291">
        <f>'- 42 -'!G13</f>
        <v>0.42691305392281181</v>
      </c>
      <c r="F13" s="291">
        <f>'- 42 -'!I13</f>
        <v>0.19844506000756174</v>
      </c>
      <c r="G13" s="291">
        <f>'- 43 -'!C13</f>
        <v>0.91437912644288188</v>
      </c>
      <c r="H13" s="291">
        <f>'- 43 -'!E13</f>
        <v>0.18391425820482415</v>
      </c>
      <c r="J13" s="131">
        <f t="shared" si="0"/>
        <v>100</v>
      </c>
      <c r="K13" s="495" t="s">
        <v>57</v>
      </c>
      <c r="L13" s="548">
        <f>D48</f>
        <v>34.058291446297986</v>
      </c>
      <c r="M13" s="510"/>
    </row>
    <row r="14" spans="1:13" ht="14.1" customHeight="1" x14ac:dyDescent="0.2">
      <c r="A14" s="19" t="s">
        <v>359</v>
      </c>
      <c r="B14" s="70">
        <f>'- 41 -'!I14</f>
        <v>70.629701016966109</v>
      </c>
      <c r="C14" s="70">
        <f>'- 42 -'!C14</f>
        <v>0.17140053180031647</v>
      </c>
      <c r="D14" s="70">
        <f>'- 42 -'!E14</f>
        <v>26.659818454374719</v>
      </c>
      <c r="E14" s="70">
        <f>'- 42 -'!G14</f>
        <v>2.1540150221963676</v>
      </c>
      <c r="F14" s="70">
        <f>'- 42 -'!I14</f>
        <v>0</v>
      </c>
      <c r="G14" s="70">
        <f>'- 43 -'!C14</f>
        <v>0.17107259850830933</v>
      </c>
      <c r="H14" s="70">
        <f>'- 43 -'!E14</f>
        <v>0.2139923761541826</v>
      </c>
      <c r="J14" s="131">
        <f t="shared" si="0"/>
        <v>99.999999999999986</v>
      </c>
      <c r="K14" s="495" t="s">
        <v>70</v>
      </c>
      <c r="L14" s="548">
        <f>E48</f>
        <v>0.55729100456984693</v>
      </c>
      <c r="M14" s="510"/>
    </row>
    <row r="15" spans="1:13" ht="14.1" customHeight="1" x14ac:dyDescent="0.2">
      <c r="A15" s="284" t="s">
        <v>113</v>
      </c>
      <c r="B15" s="291">
        <f>'- 41 -'!I15</f>
        <v>60.668930502255222</v>
      </c>
      <c r="C15" s="291">
        <f>'- 42 -'!C15</f>
        <v>0</v>
      </c>
      <c r="D15" s="291">
        <f>'- 42 -'!E15</f>
        <v>37.58506166883577</v>
      </c>
      <c r="E15" s="291">
        <f>'- 42 -'!G15</f>
        <v>0.26944392591944738</v>
      </c>
      <c r="F15" s="291">
        <f>'- 42 -'!I15</f>
        <v>0.70863356241467257</v>
      </c>
      <c r="G15" s="291">
        <f>'- 43 -'!C15</f>
        <v>0.53023972513968942</v>
      </c>
      <c r="H15" s="291">
        <f>'- 43 -'!E15</f>
        <v>0.23769061543519515</v>
      </c>
      <c r="J15" s="131">
        <f t="shared" si="0"/>
        <v>100.00000000000001</v>
      </c>
      <c r="K15" s="495" t="s">
        <v>61</v>
      </c>
      <c r="L15" s="548">
        <f>F48</f>
        <v>4.0634699217996211</v>
      </c>
      <c r="M15" s="510"/>
    </row>
    <row r="16" spans="1:13" ht="14.1" customHeight="1" x14ac:dyDescent="0.2">
      <c r="A16" s="19" t="s">
        <v>114</v>
      </c>
      <c r="B16" s="70">
        <f>'- 41 -'!I16</f>
        <v>73.123062304575342</v>
      </c>
      <c r="C16" s="70">
        <f>'- 42 -'!C16</f>
        <v>0.19226071382022841</v>
      </c>
      <c r="D16" s="70">
        <f>'- 42 -'!E16</f>
        <v>22.436390626424192</v>
      </c>
      <c r="E16" s="70">
        <f>'- 42 -'!G16</f>
        <v>2.0259330613061568</v>
      </c>
      <c r="F16" s="70">
        <f>'- 42 -'!I16</f>
        <v>0.13303103930524535</v>
      </c>
      <c r="G16" s="70">
        <f>'- 43 -'!C16</f>
        <v>1.6382619016236368</v>
      </c>
      <c r="H16" s="70">
        <f>'- 43 -'!E16</f>
        <v>0.45106035294519675</v>
      </c>
      <c r="J16" s="131">
        <f t="shared" si="0"/>
        <v>100.00000000000001</v>
      </c>
      <c r="K16" s="495" t="s">
        <v>53</v>
      </c>
      <c r="L16" s="548">
        <f>G48</f>
        <v>1.1254392709207628</v>
      </c>
      <c r="M16" s="510"/>
    </row>
    <row r="17" spans="1:13" ht="14.1" customHeight="1" x14ac:dyDescent="0.2">
      <c r="A17" s="284" t="s">
        <v>115</v>
      </c>
      <c r="B17" s="291">
        <f>'- 41 -'!I17</f>
        <v>53.686327067050556</v>
      </c>
      <c r="C17" s="291">
        <f>'- 42 -'!C17</f>
        <v>0</v>
      </c>
      <c r="D17" s="291">
        <f>'- 42 -'!E17</f>
        <v>41.23470291590727</v>
      </c>
      <c r="E17" s="291">
        <f>'- 42 -'!G17</f>
        <v>0.15242352608445348</v>
      </c>
      <c r="F17" s="291">
        <f>'- 42 -'!I17</f>
        <v>4.6740128954027202</v>
      </c>
      <c r="G17" s="291">
        <f>'- 43 -'!C17</f>
        <v>0</v>
      </c>
      <c r="H17" s="291">
        <f>'- 43 -'!E17</f>
        <v>0.2525335955550001</v>
      </c>
      <c r="J17" s="131">
        <f t="shared" si="0"/>
        <v>100</v>
      </c>
      <c r="K17" s="497" t="s">
        <v>24</v>
      </c>
      <c r="L17" s="548">
        <f>H48</f>
        <v>0.37411474160342761</v>
      </c>
      <c r="M17" s="510"/>
    </row>
    <row r="18" spans="1:13" ht="14.1" customHeight="1" x14ac:dyDescent="0.2">
      <c r="A18" s="19" t="s">
        <v>116</v>
      </c>
      <c r="B18" s="70">
        <f>'- 41 -'!I18</f>
        <v>36.422489968069598</v>
      </c>
      <c r="C18" s="70">
        <f>'- 42 -'!C18</f>
        <v>0.42863375550296889</v>
      </c>
      <c r="D18" s="70">
        <f>'- 42 -'!E18</f>
        <v>2.1946711435698361</v>
      </c>
      <c r="E18" s="70">
        <f>'- 42 -'!G18</f>
        <v>9.8221043486550284E-3</v>
      </c>
      <c r="F18" s="70">
        <f>'- 42 -'!I18</f>
        <v>56.643238921011687</v>
      </c>
      <c r="G18" s="70">
        <f>'- 43 -'!C18</f>
        <v>3.5411571644918824</v>
      </c>
      <c r="H18" s="70">
        <f>'- 43 -'!E18</f>
        <v>0.75998694300537217</v>
      </c>
      <c r="J18" s="131">
        <f t="shared" si="0"/>
        <v>100</v>
      </c>
      <c r="K18" s="495"/>
      <c r="L18" s="548"/>
      <c r="M18" s="510"/>
    </row>
    <row r="19" spans="1:13" ht="14.1" customHeight="1" x14ac:dyDescent="0.2">
      <c r="A19" s="284" t="s">
        <v>117</v>
      </c>
      <c r="B19" s="291">
        <f>'- 41 -'!I19</f>
        <v>66.549478149187323</v>
      </c>
      <c r="C19" s="291">
        <f>'- 42 -'!C19</f>
        <v>0</v>
      </c>
      <c r="D19" s="291">
        <f>'- 42 -'!E19</f>
        <v>31.243386110741888</v>
      </c>
      <c r="E19" s="291">
        <f>'- 42 -'!G19</f>
        <v>0.78910757776691176</v>
      </c>
      <c r="F19" s="291">
        <f>'- 42 -'!I19</f>
        <v>0</v>
      </c>
      <c r="G19" s="291">
        <f>'- 43 -'!C19</f>
        <v>3.4285157343009701E-2</v>
      </c>
      <c r="H19" s="291">
        <f>'- 43 -'!E19</f>
        <v>1.3837430049608641</v>
      </c>
      <c r="J19" s="131">
        <f t="shared" si="0"/>
        <v>100</v>
      </c>
      <c r="K19" s="495"/>
      <c r="L19" s="548">
        <f>SUM(L11:L17)</f>
        <v>100</v>
      </c>
      <c r="M19" s="510"/>
    </row>
    <row r="20" spans="1:13" ht="14.1" customHeight="1" x14ac:dyDescent="0.2">
      <c r="A20" s="19" t="s">
        <v>118</v>
      </c>
      <c r="B20" s="70">
        <f>'- 41 -'!I20</f>
        <v>69.269447276617484</v>
      </c>
      <c r="C20" s="70">
        <f>'- 42 -'!C20</f>
        <v>0</v>
      </c>
      <c r="D20" s="70">
        <f>'- 42 -'!E20</f>
        <v>29.745220703042474</v>
      </c>
      <c r="E20" s="70">
        <f>'- 42 -'!G20</f>
        <v>7.4545976114379159E-2</v>
      </c>
      <c r="F20" s="70">
        <f>'- 42 -'!I20</f>
        <v>0</v>
      </c>
      <c r="G20" s="70">
        <f>'- 43 -'!C20</f>
        <v>0.67850577888014729</v>
      </c>
      <c r="H20" s="70">
        <f>'- 43 -'!E20</f>
        <v>0.23228026534552199</v>
      </c>
      <c r="J20" s="131">
        <f t="shared" si="0"/>
        <v>100.00000000000001</v>
      </c>
      <c r="K20" s="495"/>
      <c r="L20" s="495"/>
      <c r="M20" s="510"/>
    </row>
    <row r="21" spans="1:13" ht="14.1" customHeight="1" x14ac:dyDescent="0.2">
      <c r="A21" s="284" t="s">
        <v>119</v>
      </c>
      <c r="B21" s="291">
        <f>'- 41 -'!I21</f>
        <v>57.169295888003901</v>
      </c>
      <c r="C21" s="291">
        <f>'- 42 -'!C21</f>
        <v>3.8847360364806502E-2</v>
      </c>
      <c r="D21" s="291">
        <f>'- 42 -'!E21</f>
        <v>41.506883913587664</v>
      </c>
      <c r="E21" s="291">
        <f>'- 42 -'!G21</f>
        <v>0.14381433253794706</v>
      </c>
      <c r="F21" s="291">
        <f>'- 42 -'!I21</f>
        <v>0</v>
      </c>
      <c r="G21" s="291">
        <f>'- 43 -'!C21</f>
        <v>0.47031385278701288</v>
      </c>
      <c r="H21" s="291">
        <f>'- 43 -'!E21</f>
        <v>0.67084465271866911</v>
      </c>
      <c r="J21" s="131">
        <f t="shared" si="0"/>
        <v>100</v>
      </c>
      <c r="K21" s="510"/>
      <c r="L21" s="510"/>
      <c r="M21" s="510"/>
    </row>
    <row r="22" spans="1:13" ht="14.1" customHeight="1" x14ac:dyDescent="0.2">
      <c r="A22" s="19" t="s">
        <v>120</v>
      </c>
      <c r="B22" s="70">
        <f>'- 41 -'!I22</f>
        <v>82.163595263287718</v>
      </c>
      <c r="C22" s="70">
        <f>'- 42 -'!C22</f>
        <v>5.725041411492203E-2</v>
      </c>
      <c r="D22" s="70">
        <f>'- 42 -'!E22</f>
        <v>16.653074348217949</v>
      </c>
      <c r="E22" s="70">
        <f>'- 42 -'!G22</f>
        <v>4.4731173438473396E-2</v>
      </c>
      <c r="F22" s="70">
        <f>'- 42 -'!I22</f>
        <v>0.13758914997834734</v>
      </c>
      <c r="G22" s="70">
        <f>'- 43 -'!C22</f>
        <v>5.487886323922686E-2</v>
      </c>
      <c r="H22" s="70">
        <f>'- 43 -'!E22</f>
        <v>0.8888807877233631</v>
      </c>
      <c r="J22" s="131">
        <f t="shared" si="0"/>
        <v>100</v>
      </c>
      <c r="K22" s="510"/>
      <c r="L22" s="510"/>
      <c r="M22" s="510"/>
    </row>
    <row r="23" spans="1:13" ht="14.1" customHeight="1" x14ac:dyDescent="0.2">
      <c r="A23" s="284" t="s">
        <v>121</v>
      </c>
      <c r="B23" s="291">
        <f>'- 41 -'!I23</f>
        <v>69.51680460826563</v>
      </c>
      <c r="C23" s="291">
        <f>'- 42 -'!C23</f>
        <v>0.84199421636527061</v>
      </c>
      <c r="D23" s="291">
        <f>'- 42 -'!E23</f>
        <v>21.432441130986252</v>
      </c>
      <c r="E23" s="291">
        <f>'- 42 -'!G23</f>
        <v>0.39577691968961043</v>
      </c>
      <c r="F23" s="291">
        <f>'- 42 -'!I23</f>
        <v>5.6707337672591427</v>
      </c>
      <c r="G23" s="291">
        <f>'- 43 -'!C23</f>
        <v>0.77083317842116761</v>
      </c>
      <c r="H23" s="291">
        <f>'- 43 -'!E23</f>
        <v>1.3714161790129271</v>
      </c>
      <c r="J23" s="131">
        <f t="shared" si="0"/>
        <v>99.999999999999986</v>
      </c>
      <c r="K23" s="510"/>
      <c r="L23" s="510"/>
      <c r="M23" s="510"/>
    </row>
    <row r="24" spans="1:13" ht="14.1" customHeight="1" x14ac:dyDescent="0.2">
      <c r="A24" s="19" t="s">
        <v>122</v>
      </c>
      <c r="B24" s="70">
        <f>'- 41 -'!I24</f>
        <v>57.117574797272965</v>
      </c>
      <c r="C24" s="70">
        <f>'- 42 -'!C24</f>
        <v>2.8384081706083669E-2</v>
      </c>
      <c r="D24" s="70">
        <f>'- 42 -'!E24</f>
        <v>40.116686959893713</v>
      </c>
      <c r="E24" s="70">
        <f>'- 42 -'!G24</f>
        <v>0.29219408534175062</v>
      </c>
      <c r="F24" s="70">
        <f>'- 42 -'!I24</f>
        <v>0.91830852578505995</v>
      </c>
      <c r="G24" s="70">
        <f>'- 43 -'!C24</f>
        <v>0.90108606679692727</v>
      </c>
      <c r="H24" s="70">
        <f>'- 43 -'!E24</f>
        <v>0.625765483203511</v>
      </c>
      <c r="J24" s="131">
        <f t="shared" si="0"/>
        <v>100.00000000000001</v>
      </c>
      <c r="K24" s="510"/>
      <c r="L24" s="510"/>
      <c r="M24" s="510"/>
    </row>
    <row r="25" spans="1:13" ht="14.1" customHeight="1" x14ac:dyDescent="0.2">
      <c r="A25" s="284" t="s">
        <v>123</v>
      </c>
      <c r="B25" s="291">
        <f>'- 41 -'!I25</f>
        <v>58.141768366225577</v>
      </c>
      <c r="C25" s="291">
        <f>'- 42 -'!C25</f>
        <v>0.11742582874666725</v>
      </c>
      <c r="D25" s="291">
        <f>'- 42 -'!E25</f>
        <v>37.969383180728322</v>
      </c>
      <c r="E25" s="291">
        <f>'- 42 -'!G25</f>
        <v>0.29610286434783256</v>
      </c>
      <c r="F25" s="291">
        <f>'- 42 -'!I25</f>
        <v>2.4476959430139087E-2</v>
      </c>
      <c r="G25" s="291">
        <f>'- 43 -'!C25</f>
        <v>3.2394312754105412</v>
      </c>
      <c r="H25" s="291">
        <f>'- 43 -'!E25</f>
        <v>0.21141152511091796</v>
      </c>
      <c r="J25" s="131">
        <f t="shared" si="0"/>
        <v>100</v>
      </c>
      <c r="K25" s="510"/>
      <c r="L25" s="510"/>
      <c r="M25" s="510"/>
    </row>
    <row r="26" spans="1:13" ht="14.1" customHeight="1" x14ac:dyDescent="0.2">
      <c r="A26" s="19" t="s">
        <v>124</v>
      </c>
      <c r="B26" s="70">
        <f>'- 41 -'!I26</f>
        <v>64.836279082999397</v>
      </c>
      <c r="C26" s="70">
        <f>'- 42 -'!C26</f>
        <v>1.1721431071799251E-2</v>
      </c>
      <c r="D26" s="70">
        <f>'- 42 -'!E26</f>
        <v>30.347126999117258</v>
      </c>
      <c r="E26" s="70">
        <f>'- 42 -'!G26</f>
        <v>1.1577762801976752</v>
      </c>
      <c r="F26" s="70">
        <f>'- 42 -'!I26</f>
        <v>1.807256596445495</v>
      </c>
      <c r="G26" s="70">
        <f>'- 43 -'!C26</f>
        <v>1.5679195070140868</v>
      </c>
      <c r="H26" s="70">
        <f>'- 43 -'!E26</f>
        <v>0.27192010315429266</v>
      </c>
      <c r="J26" s="131">
        <f t="shared" si="0"/>
        <v>100</v>
      </c>
      <c r="K26" s="510"/>
      <c r="L26" s="510"/>
      <c r="M26" s="510"/>
    </row>
    <row r="27" spans="1:13" ht="14.1" customHeight="1" x14ac:dyDescent="0.2">
      <c r="A27" s="284" t="s">
        <v>125</v>
      </c>
      <c r="B27" s="291">
        <f>'- 41 -'!I27</f>
        <v>79.906811848139142</v>
      </c>
      <c r="C27" s="291">
        <f>'- 42 -'!C27</f>
        <v>7.0757181800884902E-2</v>
      </c>
      <c r="D27" s="291">
        <f>'- 42 -'!E27</f>
        <v>17.733712091810368</v>
      </c>
      <c r="E27" s="291">
        <f>'- 42 -'!G27</f>
        <v>0.35972951227569883</v>
      </c>
      <c r="F27" s="291">
        <f>'- 42 -'!I27</f>
        <v>0.81716997547296633</v>
      </c>
      <c r="G27" s="291">
        <f>'- 43 -'!C27</f>
        <v>0.4022616542562108</v>
      </c>
      <c r="H27" s="291">
        <f>'- 43 -'!E27</f>
        <v>0.70955773624472718</v>
      </c>
      <c r="J27" s="131">
        <f t="shared" si="0"/>
        <v>100</v>
      </c>
      <c r="K27" s="510"/>
      <c r="L27" s="510"/>
      <c r="M27" s="510"/>
    </row>
    <row r="28" spans="1:13" ht="14.1" customHeight="1" x14ac:dyDescent="0.2">
      <c r="A28" s="19" t="s">
        <v>126</v>
      </c>
      <c r="B28" s="70">
        <f>'- 41 -'!I28</f>
        <v>47.294267345879895</v>
      </c>
      <c r="C28" s="70">
        <f>'- 42 -'!C28</f>
        <v>0</v>
      </c>
      <c r="D28" s="70">
        <f>'- 42 -'!E28</f>
        <v>26.958945592618221</v>
      </c>
      <c r="E28" s="70">
        <f>'- 42 -'!G28</f>
        <v>5.5015775321565916E-2</v>
      </c>
      <c r="F28" s="70">
        <f>'- 42 -'!I28</f>
        <v>25.437520917187189</v>
      </c>
      <c r="G28" s="70">
        <f>'- 43 -'!C28</f>
        <v>0.2336526004674154</v>
      </c>
      <c r="H28" s="70">
        <f>'- 43 -'!E28</f>
        <v>2.0597768525714287E-2</v>
      </c>
      <c r="J28" s="131">
        <f t="shared" si="0"/>
        <v>99.999999999999986</v>
      </c>
      <c r="K28" s="510"/>
      <c r="L28" s="510"/>
      <c r="M28" s="510"/>
    </row>
    <row r="29" spans="1:13" ht="14.1" customHeight="1" x14ac:dyDescent="0.2">
      <c r="A29" s="284" t="s">
        <v>127</v>
      </c>
      <c r="B29" s="291">
        <f>'- 41 -'!I29</f>
        <v>49.349955943232764</v>
      </c>
      <c r="C29" s="291">
        <f>'- 42 -'!C29</f>
        <v>0</v>
      </c>
      <c r="D29" s="291">
        <f>'- 42 -'!E29</f>
        <v>47.617211486907557</v>
      </c>
      <c r="E29" s="291">
        <f>'- 42 -'!G29</f>
        <v>0.34889668256982914</v>
      </c>
      <c r="F29" s="291">
        <f>'- 42 -'!I29</f>
        <v>3.9462675181034948E-3</v>
      </c>
      <c r="G29" s="291">
        <f>'- 43 -'!C29</f>
        <v>2.2343409591111008</v>
      </c>
      <c r="H29" s="291">
        <f>'- 43 -'!E29</f>
        <v>0.44564866066064995</v>
      </c>
      <c r="J29" s="131">
        <f t="shared" si="0"/>
        <v>100</v>
      </c>
      <c r="K29" s="510"/>
      <c r="L29" s="510"/>
      <c r="M29" s="510"/>
    </row>
    <row r="30" spans="1:13" ht="14.1" customHeight="1" x14ac:dyDescent="0.2">
      <c r="A30" s="19" t="s">
        <v>128</v>
      </c>
      <c r="B30" s="70">
        <f>'- 41 -'!I30</f>
        <v>59.013764884832511</v>
      </c>
      <c r="C30" s="70">
        <f>'- 42 -'!C30</f>
        <v>0</v>
      </c>
      <c r="D30" s="70">
        <f>'- 42 -'!E30</f>
        <v>40.578694037542888</v>
      </c>
      <c r="E30" s="70">
        <f>'- 42 -'!G30</f>
        <v>0.19250056430349369</v>
      </c>
      <c r="F30" s="70">
        <f>'- 42 -'!I30</f>
        <v>0</v>
      </c>
      <c r="G30" s="70">
        <f>'- 43 -'!C30</f>
        <v>0</v>
      </c>
      <c r="H30" s="70">
        <f>'- 43 -'!E30</f>
        <v>0.21504051332110344</v>
      </c>
      <c r="J30" s="131">
        <f t="shared" si="0"/>
        <v>100</v>
      </c>
      <c r="K30" s="510"/>
      <c r="L30" s="510"/>
      <c r="M30" s="510"/>
    </row>
    <row r="31" spans="1:13" ht="14.1" customHeight="1" x14ac:dyDescent="0.2">
      <c r="A31" s="284" t="s">
        <v>129</v>
      </c>
      <c r="B31" s="291">
        <f>'- 41 -'!I31</f>
        <v>57.677386930392814</v>
      </c>
      <c r="C31" s="291">
        <f>'- 42 -'!C31</f>
        <v>0</v>
      </c>
      <c r="D31" s="291">
        <f>'- 42 -'!E31</f>
        <v>35.965814898848386</v>
      </c>
      <c r="E31" s="291">
        <f>'- 42 -'!G31</f>
        <v>0.35171031984340956</v>
      </c>
      <c r="F31" s="291">
        <f>'- 42 -'!I31</f>
        <v>5.4545509859004104</v>
      </c>
      <c r="G31" s="291">
        <f>'- 43 -'!C31</f>
        <v>0.12801767909545533</v>
      </c>
      <c r="H31" s="291">
        <f>'- 43 -'!E31</f>
        <v>0.42251918591951554</v>
      </c>
      <c r="J31" s="131">
        <f t="shared" si="0"/>
        <v>99.999999999999986</v>
      </c>
      <c r="K31" s="510"/>
      <c r="L31" s="510"/>
      <c r="M31" s="510"/>
    </row>
    <row r="32" spans="1:13" ht="14.1" customHeight="1" x14ac:dyDescent="0.2">
      <c r="A32" s="19" t="s">
        <v>130</v>
      </c>
      <c r="B32" s="70">
        <f>'- 41 -'!I32</f>
        <v>55.192512514763749</v>
      </c>
      <c r="C32" s="70">
        <f>'- 42 -'!C32</f>
        <v>0</v>
      </c>
      <c r="D32" s="70">
        <f>'- 42 -'!E32</f>
        <v>44.161003307551908</v>
      </c>
      <c r="E32" s="70">
        <f>'- 42 -'!G32</f>
        <v>0.28271856298813225</v>
      </c>
      <c r="F32" s="70">
        <f>'- 42 -'!I32</f>
        <v>0</v>
      </c>
      <c r="G32" s="70">
        <f>'- 43 -'!C32</f>
        <v>1.7470475534537521E-2</v>
      </c>
      <c r="H32" s="70">
        <f>'- 43 -'!E32</f>
        <v>0.34629513916167121</v>
      </c>
      <c r="J32" s="131">
        <f t="shared" si="0"/>
        <v>100</v>
      </c>
      <c r="K32" s="510"/>
      <c r="L32" s="510"/>
      <c r="M32" s="510"/>
    </row>
    <row r="33" spans="1:13" ht="14.1" customHeight="1" x14ac:dyDescent="0.2">
      <c r="A33" s="284" t="s">
        <v>131</v>
      </c>
      <c r="B33" s="291">
        <f>'- 41 -'!I33</f>
        <v>59.519150176811827</v>
      </c>
      <c r="C33" s="291">
        <f>'- 42 -'!C33</f>
        <v>0.11938813374899773</v>
      </c>
      <c r="D33" s="291">
        <f>'- 42 -'!E33</f>
        <v>38.417376715657916</v>
      </c>
      <c r="E33" s="291">
        <f>'- 42 -'!G33</f>
        <v>0.15887434753507054</v>
      </c>
      <c r="F33" s="291">
        <f>'- 42 -'!I33</f>
        <v>0.81388763531730968</v>
      </c>
      <c r="G33" s="291">
        <f>'- 43 -'!C33</f>
        <v>0.5943621880016785</v>
      </c>
      <c r="H33" s="291">
        <f>'- 43 -'!E33</f>
        <v>0.37696080292719875</v>
      </c>
      <c r="J33" s="131">
        <f t="shared" si="0"/>
        <v>100.00000000000001</v>
      </c>
      <c r="K33" s="510"/>
      <c r="L33" s="510"/>
      <c r="M33" s="510"/>
    </row>
    <row r="34" spans="1:13" ht="14.1" customHeight="1" x14ac:dyDescent="0.2">
      <c r="A34" s="19" t="s">
        <v>132</v>
      </c>
      <c r="B34" s="70">
        <f>'- 41 -'!I34</f>
        <v>50.14953967110354</v>
      </c>
      <c r="C34" s="70">
        <f>'- 42 -'!C34</f>
        <v>6.6127675230203187E-2</v>
      </c>
      <c r="D34" s="70">
        <f>'- 42 -'!E34</f>
        <v>45.028489761368512</v>
      </c>
      <c r="E34" s="70">
        <f>'- 42 -'!G34</f>
        <v>3.9098766727380561</v>
      </c>
      <c r="F34" s="70">
        <f>'- 42 -'!I34</f>
        <v>0</v>
      </c>
      <c r="G34" s="70">
        <f>'- 43 -'!C34</f>
        <v>0.42803993200333068</v>
      </c>
      <c r="H34" s="70">
        <f>'- 43 -'!E34</f>
        <v>0.41792628755635847</v>
      </c>
      <c r="J34" s="131">
        <f t="shared" si="0"/>
        <v>99.999999999999986</v>
      </c>
      <c r="K34" s="510"/>
      <c r="L34" s="510"/>
      <c r="M34" s="510"/>
    </row>
    <row r="35" spans="1:13" ht="14.1" customHeight="1" x14ac:dyDescent="0.2">
      <c r="A35" s="284" t="s">
        <v>133</v>
      </c>
      <c r="B35" s="291">
        <f>'- 41 -'!I35</f>
        <v>64.436592443476641</v>
      </c>
      <c r="C35" s="291">
        <f>'- 42 -'!C35</f>
        <v>0.2668225861889249</v>
      </c>
      <c r="D35" s="291">
        <f>'- 42 -'!E35</f>
        <v>33.566255950749209</v>
      </c>
      <c r="E35" s="291">
        <f>'- 42 -'!G35</f>
        <v>0.36544038002013457</v>
      </c>
      <c r="F35" s="291">
        <f>'- 42 -'!I35</f>
        <v>9.9915769870592613E-2</v>
      </c>
      <c r="G35" s="291">
        <f>'- 43 -'!C35</f>
        <v>1.1172265537491852</v>
      </c>
      <c r="H35" s="291">
        <f>'- 43 -'!E35</f>
        <v>0.14774631594531773</v>
      </c>
      <c r="J35" s="131">
        <f t="shared" si="0"/>
        <v>100</v>
      </c>
      <c r="K35" s="510"/>
      <c r="L35" s="510"/>
      <c r="M35" s="510"/>
    </row>
    <row r="36" spans="1:13" ht="14.1" customHeight="1" x14ac:dyDescent="0.2">
      <c r="A36" s="19" t="s">
        <v>134</v>
      </c>
      <c r="B36" s="70">
        <f>'- 41 -'!I36</f>
        <v>55.164990494630636</v>
      </c>
      <c r="C36" s="70">
        <f>'- 42 -'!C36</f>
        <v>0.18661301594100957</v>
      </c>
      <c r="D36" s="70">
        <f>'- 42 -'!E36</f>
        <v>38.125209077544774</v>
      </c>
      <c r="E36" s="70">
        <f>'- 42 -'!G36</f>
        <v>0.26359313396839468</v>
      </c>
      <c r="F36" s="70">
        <f>'- 42 -'!I36</f>
        <v>5.0724876120742595</v>
      </c>
      <c r="G36" s="70">
        <f>'- 43 -'!C36</f>
        <v>0.28701021879681443</v>
      </c>
      <c r="H36" s="70">
        <f>'- 43 -'!E36</f>
        <v>0.90009644704410385</v>
      </c>
      <c r="J36" s="131">
        <f t="shared" si="0"/>
        <v>99.999999999999986</v>
      </c>
      <c r="K36" s="510"/>
      <c r="L36" s="510"/>
      <c r="M36" s="510"/>
    </row>
    <row r="37" spans="1:13" ht="14.1" customHeight="1" x14ac:dyDescent="0.2">
      <c r="A37" s="284" t="s">
        <v>135</v>
      </c>
      <c r="B37" s="291">
        <f>'- 41 -'!I37</f>
        <v>69.071012687493521</v>
      </c>
      <c r="C37" s="291">
        <f>'- 42 -'!C37</f>
        <v>3.7656838280765104E-2</v>
      </c>
      <c r="D37" s="291">
        <f>'- 42 -'!E37</f>
        <v>30.032272595481473</v>
      </c>
      <c r="E37" s="291">
        <f>'- 42 -'!G37</f>
        <v>0.55719421706962591</v>
      </c>
      <c r="F37" s="291">
        <f>'- 42 -'!I37</f>
        <v>3.8406893137809379E-2</v>
      </c>
      <c r="G37" s="291">
        <f>'- 43 -'!C37</f>
        <v>9.4466067416155888E-2</v>
      </c>
      <c r="H37" s="291">
        <f>'- 43 -'!E37</f>
        <v>0.16899070112064693</v>
      </c>
      <c r="J37" s="131">
        <f t="shared" si="0"/>
        <v>99.999999999999986</v>
      </c>
      <c r="K37" s="510"/>
      <c r="L37" s="510"/>
      <c r="M37" s="510"/>
    </row>
    <row r="38" spans="1:13" ht="14.1" customHeight="1" x14ac:dyDescent="0.2">
      <c r="A38" s="19" t="s">
        <v>136</v>
      </c>
      <c r="B38" s="70">
        <f>'- 41 -'!I38</f>
        <v>66.689825981694938</v>
      </c>
      <c r="C38" s="70">
        <f>'- 42 -'!C38</f>
        <v>0.77546420296777629</v>
      </c>
      <c r="D38" s="70">
        <f>'- 42 -'!E38</f>
        <v>29.717356578798913</v>
      </c>
      <c r="E38" s="70">
        <f>'- 42 -'!G38</f>
        <v>0.91591882156041859</v>
      </c>
      <c r="F38" s="70">
        <f>'- 42 -'!I38</f>
        <v>0.46390521398551826</v>
      </c>
      <c r="G38" s="70">
        <f>'- 43 -'!C38</f>
        <v>1.3564714839168375</v>
      </c>
      <c r="H38" s="70">
        <f>'- 43 -'!E38</f>
        <v>8.105771707559814E-2</v>
      </c>
      <c r="J38" s="131">
        <f t="shared" si="0"/>
        <v>100</v>
      </c>
      <c r="K38" s="510"/>
      <c r="L38" s="510"/>
      <c r="M38" s="510"/>
    </row>
    <row r="39" spans="1:13" ht="14.1" customHeight="1" x14ac:dyDescent="0.2">
      <c r="A39" s="284" t="s">
        <v>137</v>
      </c>
      <c r="B39" s="291">
        <f>'- 41 -'!I39</f>
        <v>51.695544871303625</v>
      </c>
      <c r="C39" s="291">
        <f>'- 42 -'!C39</f>
        <v>0</v>
      </c>
      <c r="D39" s="291">
        <f>'- 42 -'!E39</f>
        <v>47.550149848466006</v>
      </c>
      <c r="E39" s="291">
        <f>'- 42 -'!G39</f>
        <v>0.46914548991335076</v>
      </c>
      <c r="F39" s="291">
        <f>'- 42 -'!I39</f>
        <v>0</v>
      </c>
      <c r="G39" s="291">
        <f>'- 43 -'!C39</f>
        <v>0</v>
      </c>
      <c r="H39" s="291">
        <f>'- 43 -'!E39</f>
        <v>0.28515979031701544</v>
      </c>
      <c r="J39" s="131">
        <f t="shared" si="0"/>
        <v>99.999999999999986</v>
      </c>
      <c r="K39" s="510"/>
      <c r="L39" s="510"/>
      <c r="M39" s="510"/>
    </row>
    <row r="40" spans="1:13" ht="14.1" customHeight="1" x14ac:dyDescent="0.2">
      <c r="A40" s="19" t="s">
        <v>138</v>
      </c>
      <c r="B40" s="70">
        <f>'- 41 -'!I40</f>
        <v>52.901182956590851</v>
      </c>
      <c r="C40" s="70">
        <f>'- 42 -'!C40</f>
        <v>8.8481368406043703E-3</v>
      </c>
      <c r="D40" s="70">
        <f>'- 42 -'!E40</f>
        <v>43.738505820067672</v>
      </c>
      <c r="E40" s="70">
        <f>'- 42 -'!G40</f>
        <v>0.51409137545868522</v>
      </c>
      <c r="F40" s="70">
        <f>'- 42 -'!I40</f>
        <v>0.13210688772335</v>
      </c>
      <c r="G40" s="70">
        <f>'- 43 -'!C40</f>
        <v>1.9608750927991767</v>
      </c>
      <c r="H40" s="70">
        <f>'- 43 -'!E40</f>
        <v>0.74438973051966362</v>
      </c>
      <c r="J40" s="131">
        <f t="shared" si="0"/>
        <v>100</v>
      </c>
      <c r="K40" s="510"/>
      <c r="L40" s="510"/>
      <c r="M40" s="510"/>
    </row>
    <row r="41" spans="1:13" ht="14.1" customHeight="1" x14ac:dyDescent="0.2">
      <c r="A41" s="284" t="s">
        <v>139</v>
      </c>
      <c r="B41" s="291">
        <f>'- 41 -'!I41</f>
        <v>56.964116460707167</v>
      </c>
      <c r="C41" s="291">
        <f>'- 42 -'!C41</f>
        <v>7.6156505528851309E-2</v>
      </c>
      <c r="D41" s="291">
        <f>'- 42 -'!E41</f>
        <v>41.848592592966305</v>
      </c>
      <c r="E41" s="291">
        <f>'- 42 -'!G41</f>
        <v>0.20288319807762065</v>
      </c>
      <c r="F41" s="291">
        <f>'- 42 -'!I41</f>
        <v>0.64260640643250411</v>
      </c>
      <c r="G41" s="291">
        <f>'- 43 -'!C41</f>
        <v>0.12210593074184373</v>
      </c>
      <c r="H41" s="291">
        <f>'- 43 -'!E41</f>
        <v>0.14353890554570803</v>
      </c>
      <c r="J41" s="131">
        <f t="shared" si="0"/>
        <v>99.999999999999986</v>
      </c>
      <c r="K41" s="510"/>
      <c r="L41" s="510"/>
      <c r="M41" s="510"/>
    </row>
    <row r="42" spans="1:13" ht="14.1" customHeight="1" x14ac:dyDescent="0.2">
      <c r="A42" s="19" t="s">
        <v>140</v>
      </c>
      <c r="B42" s="70">
        <f>'- 41 -'!I42</f>
        <v>68.226498087484359</v>
      </c>
      <c r="C42" s="70">
        <f>'- 42 -'!C42</f>
        <v>0</v>
      </c>
      <c r="D42" s="70">
        <f>'- 42 -'!E42</f>
        <v>28.372079453878062</v>
      </c>
      <c r="E42" s="70">
        <f>'- 42 -'!G42</f>
        <v>0.11514375625837464</v>
      </c>
      <c r="F42" s="70">
        <f>'- 42 -'!I42</f>
        <v>1.3574714684734126</v>
      </c>
      <c r="G42" s="70">
        <f>'- 43 -'!C42</f>
        <v>1.3111052252302748</v>
      </c>
      <c r="H42" s="70">
        <f>'- 43 -'!E42</f>
        <v>0.61770200867552294</v>
      </c>
      <c r="J42" s="131">
        <f t="shared" si="0"/>
        <v>100</v>
      </c>
      <c r="K42" s="510"/>
      <c r="L42" s="510"/>
      <c r="M42" s="510"/>
    </row>
    <row r="43" spans="1:13" ht="14.1" customHeight="1" x14ac:dyDescent="0.2">
      <c r="A43" s="284" t="s">
        <v>141</v>
      </c>
      <c r="B43" s="291">
        <f>'- 41 -'!I43</f>
        <v>56.787335587298401</v>
      </c>
      <c r="C43" s="291">
        <f>'- 42 -'!C43</f>
        <v>2.4892459856191251E-3</v>
      </c>
      <c r="D43" s="291">
        <f>'- 42 -'!E43</f>
        <v>42.672635922083842</v>
      </c>
      <c r="E43" s="291">
        <f>'- 42 -'!G43</f>
        <v>0.27359934011032372</v>
      </c>
      <c r="F43" s="291">
        <f>'- 42 -'!I43</f>
        <v>0</v>
      </c>
      <c r="G43" s="291">
        <f>'- 43 -'!C43</f>
        <v>0.11427308247684766</v>
      </c>
      <c r="H43" s="291">
        <f>'- 43 -'!E43</f>
        <v>0.14966682204496567</v>
      </c>
      <c r="J43" s="131">
        <f t="shared" si="0"/>
        <v>99.999999999999986</v>
      </c>
      <c r="K43" s="510"/>
      <c r="L43" s="510"/>
      <c r="M43" s="510"/>
    </row>
    <row r="44" spans="1:13" ht="14.1" customHeight="1" x14ac:dyDescent="0.2">
      <c r="A44" s="19" t="s">
        <v>142</v>
      </c>
      <c r="B44" s="70">
        <f>'- 41 -'!I44</f>
        <v>76.15817052404249</v>
      </c>
      <c r="C44" s="70">
        <f>'- 42 -'!C44</f>
        <v>0.18682308701358519</v>
      </c>
      <c r="D44" s="70">
        <f>'- 42 -'!E44</f>
        <v>22.625936564053518</v>
      </c>
      <c r="E44" s="70">
        <f>'- 42 -'!G44</f>
        <v>0.43945116969419923</v>
      </c>
      <c r="F44" s="70">
        <f>'- 42 -'!I44</f>
        <v>0</v>
      </c>
      <c r="G44" s="70">
        <f>'- 43 -'!C44</f>
        <v>0.13935889361623932</v>
      </c>
      <c r="H44" s="70">
        <f>'- 43 -'!E44</f>
        <v>0.45025976157997172</v>
      </c>
      <c r="J44" s="131">
        <f t="shared" si="0"/>
        <v>99.999999999999986</v>
      </c>
      <c r="K44" s="510"/>
      <c r="L44" s="510"/>
      <c r="M44" s="510"/>
    </row>
    <row r="45" spans="1:13" ht="14.1" customHeight="1" x14ac:dyDescent="0.2">
      <c r="A45" s="284" t="s">
        <v>143</v>
      </c>
      <c r="B45" s="291">
        <f>'- 41 -'!I45</f>
        <v>64.152495119454812</v>
      </c>
      <c r="C45" s="291">
        <f>'- 42 -'!C45</f>
        <v>3.7336792102554167E-2</v>
      </c>
      <c r="D45" s="291">
        <f>'- 42 -'!E45</f>
        <v>33.933487516523684</v>
      </c>
      <c r="E45" s="291">
        <f>'- 42 -'!G45</f>
        <v>0.27606831802819265</v>
      </c>
      <c r="F45" s="291">
        <f>'- 42 -'!I45</f>
        <v>0</v>
      </c>
      <c r="G45" s="291">
        <f>'- 43 -'!C45</f>
        <v>1.341899559492457</v>
      </c>
      <c r="H45" s="291">
        <f>'- 43 -'!E45</f>
        <v>0.25871269439830841</v>
      </c>
      <c r="J45" s="131">
        <f t="shared" si="0"/>
        <v>100.00000000000001</v>
      </c>
      <c r="K45" s="510"/>
      <c r="L45" s="510"/>
      <c r="M45" s="510"/>
    </row>
    <row r="46" spans="1:13" ht="14.1" customHeight="1" x14ac:dyDescent="0.2">
      <c r="A46" s="19" t="s">
        <v>144</v>
      </c>
      <c r="B46" s="70">
        <f>'- 41 -'!I46</f>
        <v>60.284240995103289</v>
      </c>
      <c r="C46" s="70">
        <f>'- 42 -'!C46</f>
        <v>1.0455633908669795</v>
      </c>
      <c r="D46" s="70">
        <f>'- 42 -'!E46</f>
        <v>37.080627251160571</v>
      </c>
      <c r="E46" s="70">
        <f>'- 42 -'!G46</f>
        <v>0.63627130200762261</v>
      </c>
      <c r="F46" s="70">
        <f>'- 42 -'!I46</f>
        <v>0.50364619605839955</v>
      </c>
      <c r="G46" s="70">
        <f>'- 43 -'!C46</f>
        <v>0.26996043193924768</v>
      </c>
      <c r="H46" s="70">
        <f>'- 43 -'!E46</f>
        <v>0.17969043286388739</v>
      </c>
      <c r="J46" s="131">
        <f t="shared" si="0"/>
        <v>100.00000000000001</v>
      </c>
      <c r="K46" s="510"/>
      <c r="L46" s="510"/>
      <c r="M46" s="510"/>
    </row>
    <row r="47" spans="1:13" ht="5.0999999999999996" customHeight="1" x14ac:dyDescent="0.2">
      <c r="A47" s="21"/>
      <c r="B47"/>
      <c r="C47"/>
      <c r="D47"/>
      <c r="E47"/>
      <c r="F47"/>
      <c r="G47"/>
      <c r="H47"/>
      <c r="J47" s="131"/>
      <c r="K47" s="510"/>
      <c r="L47" s="510"/>
      <c r="M47" s="510"/>
    </row>
    <row r="48" spans="1:13" ht="14.1" customHeight="1" x14ac:dyDescent="0.2">
      <c r="A48" s="286" t="s">
        <v>145</v>
      </c>
      <c r="B48" s="294">
        <f>'- 41 -'!I48</f>
        <v>59.518606247289675</v>
      </c>
      <c r="C48" s="294">
        <f>'- 42 -'!C48</f>
        <v>0.30278736751868124</v>
      </c>
      <c r="D48" s="294">
        <f>'- 42 -'!E48</f>
        <v>34.058291446297986</v>
      </c>
      <c r="E48" s="294">
        <f>'- 42 -'!G48</f>
        <v>0.55729100456984693</v>
      </c>
      <c r="F48" s="294">
        <f>'- 42 -'!I48</f>
        <v>4.0634699217996211</v>
      </c>
      <c r="G48" s="294">
        <f>'- 43 -'!C48</f>
        <v>1.1254392709207628</v>
      </c>
      <c r="H48" s="294">
        <f>'- 43 -'!E48</f>
        <v>0.37411474160342761</v>
      </c>
      <c r="J48" s="131">
        <f>SUM(B48:H48)</f>
        <v>100</v>
      </c>
      <c r="K48" s="510"/>
      <c r="L48" s="510"/>
      <c r="M48" s="510"/>
    </row>
    <row r="49" spans="1:13" ht="5.0999999999999996" customHeight="1" x14ac:dyDescent="0.2">
      <c r="A49" s="21" t="s">
        <v>7</v>
      </c>
      <c r="B49"/>
      <c r="C49"/>
      <c r="D49"/>
      <c r="E49"/>
      <c r="F49"/>
      <c r="G49"/>
      <c r="H49"/>
      <c r="J49" s="131"/>
      <c r="K49" s="510"/>
      <c r="L49" s="510"/>
      <c r="M49" s="510"/>
    </row>
    <row r="50" spans="1:13" ht="14.1" customHeight="1" x14ac:dyDescent="0.2">
      <c r="A50" s="19" t="s">
        <v>146</v>
      </c>
      <c r="B50" s="70">
        <f>'- 41 -'!I50</f>
        <v>41.459633944893007</v>
      </c>
      <c r="C50" s="70">
        <f>'- 42 -'!C50</f>
        <v>0</v>
      </c>
      <c r="D50" s="70">
        <f>'- 42 -'!E50</f>
        <v>56.016770972937749</v>
      </c>
      <c r="E50" s="70">
        <f>'- 42 -'!G50</f>
        <v>0.92930611143152309</v>
      </c>
      <c r="F50" s="70">
        <f>'- 42 -'!I50</f>
        <v>0</v>
      </c>
      <c r="G50" s="70">
        <f>'- 43 -'!C50</f>
        <v>1.1217153675491454</v>
      </c>
      <c r="H50" s="70">
        <f>'- 43 -'!E50</f>
        <v>0.47257360318857788</v>
      </c>
      <c r="J50" s="131">
        <f>SUM(B50:H50)</f>
        <v>100.00000000000001</v>
      </c>
      <c r="K50" s="510"/>
      <c r="L50" s="510"/>
      <c r="M50" s="510"/>
    </row>
    <row r="51" spans="1:13" ht="14.1" customHeight="1" x14ac:dyDescent="0.2">
      <c r="A51" s="284" t="s">
        <v>607</v>
      </c>
      <c r="B51" s="291">
        <f>'- 41 -'!I51</f>
        <v>32.252126590656268</v>
      </c>
      <c r="C51" s="291">
        <f>'- 42 -'!C51</f>
        <v>8.3066231828044419</v>
      </c>
      <c r="D51" s="291">
        <f>'- 42 -'!E51</f>
        <v>0</v>
      </c>
      <c r="E51" s="291">
        <f>'- 42 -'!G51</f>
        <v>5.577153274731832</v>
      </c>
      <c r="F51" s="291">
        <f>'- 42 -'!I51</f>
        <v>0</v>
      </c>
      <c r="G51" s="291">
        <f>'- 43 -'!C51</f>
        <v>52.393647312618221</v>
      </c>
      <c r="H51" s="291">
        <f>'- 43 -'!E51</f>
        <v>1.4704496391892445</v>
      </c>
      <c r="J51" s="131"/>
      <c r="K51" s="510"/>
      <c r="L51" s="510"/>
      <c r="M51" s="510"/>
    </row>
    <row r="52" spans="1:13" ht="50.1" customHeight="1" x14ac:dyDescent="0.2">
      <c r="A52" s="23"/>
      <c r="B52" s="23"/>
      <c r="C52" s="23"/>
      <c r="D52" s="23"/>
      <c r="E52" s="23"/>
      <c r="F52" s="23"/>
      <c r="G52" s="23"/>
      <c r="H52" s="23"/>
    </row>
    <row r="53" spans="1:13" ht="15" customHeight="1" x14ac:dyDescent="0.2">
      <c r="A53" s="614" t="e">
        <f>"(1)  The portion shown here is comprised of operating support only. The total provincial contribution to K-12 public school education, which also
       includes teachers' retirement allowances, capital support and the education property tax credit, is "&amp;ROUND(#REF!*100,1)&amp;"% in "&amp;Data!B5&amp;". See page i for more
       information."</f>
        <v>#REF!</v>
      </c>
      <c r="B53" s="614"/>
      <c r="C53" s="614"/>
      <c r="D53" s="614"/>
      <c r="E53" s="614"/>
      <c r="F53" s="614"/>
      <c r="G53" s="614"/>
      <c r="H53" s="614"/>
    </row>
    <row r="54" spans="1:13" x14ac:dyDescent="0.2">
      <c r="A54" s="615"/>
      <c r="B54" s="615"/>
      <c r="C54" s="615"/>
      <c r="D54" s="615"/>
      <c r="E54" s="615"/>
      <c r="F54" s="615"/>
      <c r="G54" s="615"/>
      <c r="H54" s="615"/>
    </row>
    <row r="55" spans="1:13" x14ac:dyDescent="0.2">
      <c r="A55" s="615"/>
      <c r="B55" s="615"/>
      <c r="C55" s="615"/>
      <c r="D55" s="615"/>
      <c r="E55" s="615"/>
      <c r="F55" s="615"/>
      <c r="G55" s="615"/>
      <c r="H55" s="615"/>
    </row>
  </sheetData>
  <mergeCells count="5">
    <mergeCell ref="B7:D7"/>
    <mergeCell ref="F8:F9"/>
    <mergeCell ref="G7:G9"/>
    <mergeCell ref="E7:E9"/>
    <mergeCell ref="A53:H55"/>
  </mergeCells>
  <phoneticPr fontId="6" type="noConversion"/>
  <conditionalFormatting sqref="J11:J50">
    <cfRule type="cellIs" dxfId="0" priority="1" stopIfTrue="1" operator="equal">
      <formula>$J$1</formula>
    </cfRule>
  </conditionalFormatting>
  <pageMargins left="0.5" right="0.5" top="0.6" bottom="0.2" header="0.3" footer="0.5"/>
  <pageSetup scale="89" orientation="portrait" r:id="rId1"/>
  <headerFooter alignWithMargins="0">
    <oddHeader>&amp;C&amp;"Arial,Regular"&amp;11&amp;A</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I62"/>
  <sheetViews>
    <sheetView showGridLines="0" showZeros="0" workbookViewId="0"/>
  </sheetViews>
  <sheetFormatPr defaultColWidth="15.83203125" defaultRowHeight="12" x14ac:dyDescent="0.2"/>
  <cols>
    <col min="1" max="1" width="26.83203125" style="2" customWidth="1"/>
    <col min="2" max="2" width="15.5" style="2" customWidth="1"/>
    <col min="3" max="3" width="15.83203125" style="2"/>
    <col min="4" max="4" width="12.5" style="2" customWidth="1"/>
    <col min="5" max="5" width="13" style="2" customWidth="1"/>
    <col min="6" max="6" width="15.5" style="2" customWidth="1"/>
    <col min="7" max="7" width="14.83203125" style="2" customWidth="1"/>
    <col min="8" max="8" width="15" style="2" bestFit="1" customWidth="1"/>
    <col min="9" max="9" width="15.1640625" style="2" customWidth="1"/>
    <col min="10" max="16384" width="15.83203125" style="2"/>
  </cols>
  <sheetData>
    <row r="1" spans="1:9" ht="15.95" customHeight="1" x14ac:dyDescent="0.2">
      <c r="A1" s="213"/>
      <c r="B1" s="219" t="str">
        <f>"ANALYSIS OF OPERATING FUND REVENUE: "&amp;FALLYR&amp;"/"&amp;SPRINGYR&amp;" ACTUAL"</f>
        <v>ANALYSIS OF OPERATING FUND REVENUE: 2017/2018 ACTUAL</v>
      </c>
      <c r="C1" s="41"/>
      <c r="D1" s="41"/>
      <c r="E1" s="41"/>
      <c r="F1" s="41"/>
      <c r="G1" s="41"/>
      <c r="H1" s="215"/>
      <c r="I1" s="215" t="s">
        <v>6</v>
      </c>
    </row>
    <row r="2" spans="1:9" ht="15.95" customHeight="1" x14ac:dyDescent="0.2">
      <c r="A2" s="205"/>
    </row>
    <row r="3" spans="1:9" ht="15.95" customHeight="1" x14ac:dyDescent="0.2">
      <c r="A3" s="538"/>
      <c r="B3" s="716" t="s">
        <v>50</v>
      </c>
      <c r="C3" s="717"/>
      <c r="D3" s="717"/>
      <c r="E3" s="717"/>
      <c r="F3" s="717"/>
      <c r="G3" s="717"/>
      <c r="H3" s="717"/>
      <c r="I3" s="718"/>
    </row>
    <row r="4" spans="1:9" ht="8.1" customHeight="1" x14ac:dyDescent="0.2"/>
    <row r="5" spans="1:9" ht="15.95" customHeight="1" x14ac:dyDescent="0.2">
      <c r="B5" s="713" t="s">
        <v>39</v>
      </c>
      <c r="C5" s="714"/>
      <c r="D5" s="714"/>
      <c r="E5" s="714"/>
      <c r="F5" s="715"/>
    </row>
    <row r="6" spans="1:9" ht="15.95" customHeight="1" x14ac:dyDescent="0.2">
      <c r="B6" s="382"/>
      <c r="C6" s="382"/>
      <c r="D6" s="449"/>
      <c r="E6" s="383"/>
      <c r="F6" s="383"/>
      <c r="G6" s="382"/>
      <c r="H6" s="562"/>
      <c r="I6" s="721" t="s">
        <v>521</v>
      </c>
    </row>
    <row r="7" spans="1:9" ht="15.95" customHeight="1" x14ac:dyDescent="0.2">
      <c r="B7" s="709" t="s">
        <v>526</v>
      </c>
      <c r="C7" s="709" t="s">
        <v>525</v>
      </c>
      <c r="D7" s="709" t="s">
        <v>524</v>
      </c>
      <c r="E7" s="384"/>
      <c r="F7" s="384"/>
      <c r="G7" s="709" t="s">
        <v>522</v>
      </c>
      <c r="H7" s="719" t="s">
        <v>520</v>
      </c>
      <c r="I7" s="722"/>
    </row>
    <row r="8" spans="1:9" ht="15.95" customHeight="1" x14ac:dyDescent="0.2">
      <c r="A8" s="67"/>
      <c r="B8" s="710"/>
      <c r="C8" s="709"/>
      <c r="D8" s="710"/>
      <c r="E8" s="709" t="s">
        <v>523</v>
      </c>
      <c r="F8" s="384"/>
      <c r="G8" s="710"/>
      <c r="H8" s="719"/>
      <c r="I8" s="722"/>
    </row>
    <row r="9" spans="1:9" ht="15.95" customHeight="1" x14ac:dyDescent="0.2">
      <c r="A9" s="35" t="s">
        <v>42</v>
      </c>
      <c r="B9" s="711"/>
      <c r="C9" s="724"/>
      <c r="D9" s="711"/>
      <c r="E9" s="724"/>
      <c r="F9" s="385" t="s">
        <v>31</v>
      </c>
      <c r="G9" s="711"/>
      <c r="H9" s="720"/>
      <c r="I9" s="723"/>
    </row>
    <row r="10" spans="1:9" ht="5.0999999999999996" customHeight="1" x14ac:dyDescent="0.2">
      <c r="A10" s="6"/>
      <c r="B10" s="207"/>
      <c r="C10" s="207"/>
      <c r="D10" s="207"/>
      <c r="E10" s="207"/>
      <c r="F10" s="207"/>
      <c r="G10" s="207"/>
      <c r="H10" s="207"/>
    </row>
    <row r="11" spans="1:9" ht="14.1" customHeight="1" x14ac:dyDescent="0.2">
      <c r="A11" s="284" t="s">
        <v>110</v>
      </c>
      <c r="B11" s="285">
        <f>'- 61 -'!$F11</f>
        <v>10224280</v>
      </c>
      <c r="C11" s="417">
        <v>1727751</v>
      </c>
      <c r="D11" s="417">
        <v>460622</v>
      </c>
      <c r="E11" s="417">
        <v>513762</v>
      </c>
      <c r="F11" s="285">
        <f>SUM(B11:E11)</f>
        <v>12926415</v>
      </c>
      <c r="G11" s="417">
        <v>0</v>
      </c>
      <c r="H11" s="285">
        <f>SUM(F11:G11)</f>
        <v>12926415</v>
      </c>
      <c r="I11" s="291">
        <f>H11/'- 43 -'!$I11*100</f>
        <v>64.094994200843729</v>
      </c>
    </row>
    <row r="12" spans="1:9" ht="14.1" customHeight="1" x14ac:dyDescent="0.2">
      <c r="A12" s="19" t="s">
        <v>111</v>
      </c>
      <c r="B12" s="20">
        <f>'- 61 -'!$F12</f>
        <v>15094533</v>
      </c>
      <c r="C12" s="418">
        <v>2412582</v>
      </c>
      <c r="D12" s="418">
        <v>2689853</v>
      </c>
      <c r="E12" s="418">
        <v>1497910</v>
      </c>
      <c r="F12" s="20">
        <f t="shared" ref="F12:F46" si="0">SUM(B12:E12)</f>
        <v>21694878</v>
      </c>
      <c r="G12" s="418">
        <v>115147</v>
      </c>
      <c r="H12" s="20">
        <f t="shared" ref="H12:H46" si="1">SUM(F12:G12)</f>
        <v>21810025</v>
      </c>
      <c r="I12" s="70">
        <f>H12/'- 43 -'!$I12*100</f>
        <v>60.222180104481083</v>
      </c>
    </row>
    <row r="13" spans="1:9" ht="14.1" customHeight="1" x14ac:dyDescent="0.2">
      <c r="A13" s="284" t="s">
        <v>112</v>
      </c>
      <c r="B13" s="285">
        <f>'- 61 -'!$F13</f>
        <v>48975683</v>
      </c>
      <c r="C13" s="417">
        <v>7735747</v>
      </c>
      <c r="D13" s="417">
        <v>1648717</v>
      </c>
      <c r="E13" s="417">
        <v>2847586</v>
      </c>
      <c r="F13" s="285">
        <f t="shared" si="0"/>
        <v>61207733</v>
      </c>
      <c r="G13" s="417">
        <v>0</v>
      </c>
      <c r="H13" s="285">
        <f t="shared" si="1"/>
        <v>61207733</v>
      </c>
      <c r="I13" s="291">
        <f>H13/'- 43 -'!$I13*100</f>
        <v>60.041682104764817</v>
      </c>
    </row>
    <row r="14" spans="1:9" ht="14.1" customHeight="1" x14ac:dyDescent="0.2">
      <c r="A14" s="19" t="s">
        <v>359</v>
      </c>
      <c r="B14" s="20">
        <f>'- 61 -'!$F14</f>
        <v>35107258</v>
      </c>
      <c r="C14" s="418">
        <v>6552219</v>
      </c>
      <c r="D14" s="418">
        <v>1792248</v>
      </c>
      <c r="E14" s="418">
        <v>20252512</v>
      </c>
      <c r="F14" s="20">
        <f t="shared" si="0"/>
        <v>63704237</v>
      </c>
      <c r="G14" s="418">
        <v>693862</v>
      </c>
      <c r="H14" s="20">
        <f t="shared" si="1"/>
        <v>64398099</v>
      </c>
      <c r="I14" s="70">
        <f>H14/'- 43 -'!$I14*100</f>
        <v>70.629701016966109</v>
      </c>
    </row>
    <row r="15" spans="1:9" ht="14.1" customHeight="1" x14ac:dyDescent="0.2">
      <c r="A15" s="284" t="s">
        <v>113</v>
      </c>
      <c r="B15" s="285">
        <f>'- 61 -'!$F15</f>
        <v>8140661</v>
      </c>
      <c r="C15" s="417">
        <v>2780843</v>
      </c>
      <c r="D15" s="417">
        <v>1577130</v>
      </c>
      <c r="E15" s="417">
        <v>514689</v>
      </c>
      <c r="F15" s="285">
        <f t="shared" si="0"/>
        <v>13013323</v>
      </c>
      <c r="G15" s="417">
        <v>0</v>
      </c>
      <c r="H15" s="285">
        <f t="shared" si="1"/>
        <v>13013323</v>
      </c>
      <c r="I15" s="291">
        <f>H15/'- 43 -'!$I15*100</f>
        <v>60.668930502255222</v>
      </c>
    </row>
    <row r="16" spans="1:9" ht="14.1" customHeight="1" x14ac:dyDescent="0.2">
      <c r="A16" s="19" t="s">
        <v>114</v>
      </c>
      <c r="B16" s="20">
        <f>'- 61 -'!$F16</f>
        <v>8663181</v>
      </c>
      <c r="C16" s="418">
        <v>922105</v>
      </c>
      <c r="D16" s="418">
        <v>689987</v>
      </c>
      <c r="E16" s="418">
        <v>659296</v>
      </c>
      <c r="F16" s="20">
        <f t="shared" si="0"/>
        <v>10934569</v>
      </c>
      <c r="G16" s="418">
        <v>0</v>
      </c>
      <c r="H16" s="20">
        <f t="shared" si="1"/>
        <v>10934569</v>
      </c>
      <c r="I16" s="70">
        <f>H16/'- 43 -'!$I16*100</f>
        <v>73.123062304575342</v>
      </c>
    </row>
    <row r="17" spans="1:9" ht="14.1" customHeight="1" x14ac:dyDescent="0.2">
      <c r="A17" s="284" t="s">
        <v>115</v>
      </c>
      <c r="B17" s="285">
        <f>'- 61 -'!$F17</f>
        <v>7321598</v>
      </c>
      <c r="C17" s="417">
        <v>1449206</v>
      </c>
      <c r="D17" s="417">
        <v>482224</v>
      </c>
      <c r="E17" s="417">
        <v>650940</v>
      </c>
      <c r="F17" s="285">
        <f t="shared" si="0"/>
        <v>9903968</v>
      </c>
      <c r="G17" s="417">
        <v>187081</v>
      </c>
      <c r="H17" s="285">
        <f t="shared" si="1"/>
        <v>10091049</v>
      </c>
      <c r="I17" s="291">
        <f>H17/'- 43 -'!$I17*100</f>
        <v>53.686327067050556</v>
      </c>
    </row>
    <row r="18" spans="1:9" ht="14.1" customHeight="1" x14ac:dyDescent="0.2">
      <c r="A18" s="19" t="s">
        <v>116</v>
      </c>
      <c r="B18" s="20">
        <f>'- 61 -'!$F18</f>
        <v>37118628</v>
      </c>
      <c r="C18" s="418">
        <v>527321</v>
      </c>
      <c r="D18" s="418">
        <v>286627</v>
      </c>
      <c r="E18" s="418">
        <v>12076718</v>
      </c>
      <c r="F18" s="20">
        <f t="shared" si="0"/>
        <v>50009294</v>
      </c>
      <c r="G18" s="418">
        <v>607862</v>
      </c>
      <c r="H18" s="20">
        <f t="shared" si="1"/>
        <v>50617156</v>
      </c>
      <c r="I18" s="70">
        <f>H18/'- 43 -'!$I18*100</f>
        <v>36.422489968069598</v>
      </c>
    </row>
    <row r="19" spans="1:9" ht="14.1" customHeight="1" x14ac:dyDescent="0.2">
      <c r="A19" s="284" t="s">
        <v>117</v>
      </c>
      <c r="B19" s="285">
        <f>'- 61 -'!$F19</f>
        <v>28377499</v>
      </c>
      <c r="C19" s="417">
        <v>3375894</v>
      </c>
      <c r="D19" s="417">
        <v>592326</v>
      </c>
      <c r="E19" s="417">
        <v>1232533</v>
      </c>
      <c r="F19" s="285">
        <f t="shared" si="0"/>
        <v>33578252</v>
      </c>
      <c r="G19" s="417">
        <v>2051</v>
      </c>
      <c r="H19" s="285">
        <f t="shared" si="1"/>
        <v>33580303</v>
      </c>
      <c r="I19" s="291">
        <f>H19/'- 43 -'!$I19*100</f>
        <v>66.549478149187323</v>
      </c>
    </row>
    <row r="20" spans="1:9" ht="14.1" customHeight="1" x14ac:dyDescent="0.2">
      <c r="A20" s="19" t="s">
        <v>118</v>
      </c>
      <c r="B20" s="20">
        <f>'- 61 -'!$F20</f>
        <v>50653466</v>
      </c>
      <c r="C20" s="418">
        <v>6494777</v>
      </c>
      <c r="D20" s="418">
        <v>1344547</v>
      </c>
      <c r="E20" s="418">
        <v>2500308</v>
      </c>
      <c r="F20" s="20">
        <f t="shared" si="0"/>
        <v>60993098</v>
      </c>
      <c r="G20" s="418">
        <v>10050</v>
      </c>
      <c r="H20" s="20">
        <f t="shared" si="1"/>
        <v>61003148</v>
      </c>
      <c r="I20" s="70">
        <f>H20/'- 43 -'!$I20*100</f>
        <v>69.269447276617484</v>
      </c>
    </row>
    <row r="21" spans="1:9" ht="14.1" customHeight="1" x14ac:dyDescent="0.2">
      <c r="A21" s="284" t="s">
        <v>119</v>
      </c>
      <c r="B21" s="285">
        <f>'- 61 -'!$F21</f>
        <v>16931247</v>
      </c>
      <c r="C21" s="417">
        <v>2853283</v>
      </c>
      <c r="D21" s="417">
        <v>1181451</v>
      </c>
      <c r="E21" s="417">
        <v>912931</v>
      </c>
      <c r="F21" s="285">
        <f t="shared" si="0"/>
        <v>21878912</v>
      </c>
      <c r="G21" s="417">
        <v>20550</v>
      </c>
      <c r="H21" s="285">
        <f t="shared" si="1"/>
        <v>21899462</v>
      </c>
      <c r="I21" s="291">
        <f>H21/'- 43 -'!$I21*100</f>
        <v>57.169295888003901</v>
      </c>
    </row>
    <row r="22" spans="1:9" ht="14.1" customHeight="1" x14ac:dyDescent="0.2">
      <c r="A22" s="19" t="s">
        <v>120</v>
      </c>
      <c r="B22" s="20">
        <f>'- 61 -'!$F22</f>
        <v>13759962</v>
      </c>
      <c r="C22" s="418">
        <v>1158220</v>
      </c>
      <c r="D22" s="418">
        <v>283623</v>
      </c>
      <c r="E22" s="418">
        <v>1566623</v>
      </c>
      <c r="F22" s="20">
        <f t="shared" si="0"/>
        <v>16768428</v>
      </c>
      <c r="G22" s="418">
        <v>0</v>
      </c>
      <c r="H22" s="20">
        <f t="shared" si="1"/>
        <v>16768428</v>
      </c>
      <c r="I22" s="70">
        <f>H22/'- 43 -'!$I22*100</f>
        <v>82.163595263287718</v>
      </c>
    </row>
    <row r="23" spans="1:9" ht="14.1" customHeight="1" x14ac:dyDescent="0.2">
      <c r="A23" s="284" t="s">
        <v>121</v>
      </c>
      <c r="B23" s="285">
        <f>'- 61 -'!$F23</f>
        <v>9583456</v>
      </c>
      <c r="C23" s="417">
        <v>1108355</v>
      </c>
      <c r="D23" s="417">
        <v>434792</v>
      </c>
      <c r="E23" s="417">
        <v>746569</v>
      </c>
      <c r="F23" s="285">
        <f t="shared" si="0"/>
        <v>11873172</v>
      </c>
      <c r="G23" s="417">
        <v>0</v>
      </c>
      <c r="H23" s="285">
        <f t="shared" si="1"/>
        <v>11873172</v>
      </c>
      <c r="I23" s="291">
        <f>H23/'- 43 -'!$I23*100</f>
        <v>69.51680460826563</v>
      </c>
    </row>
    <row r="24" spans="1:9" ht="14.1" customHeight="1" x14ac:dyDescent="0.2">
      <c r="A24" s="19" t="s">
        <v>122</v>
      </c>
      <c r="B24" s="20">
        <f>'- 61 -'!$F24</f>
        <v>23703572</v>
      </c>
      <c r="C24" s="418">
        <v>5931127</v>
      </c>
      <c r="D24" s="418">
        <v>2660588</v>
      </c>
      <c r="E24" s="418">
        <v>1845660</v>
      </c>
      <c r="F24" s="20">
        <f t="shared" si="0"/>
        <v>34140947</v>
      </c>
      <c r="G24" s="418">
        <v>68325</v>
      </c>
      <c r="H24" s="20">
        <f t="shared" si="1"/>
        <v>34209272</v>
      </c>
      <c r="I24" s="70">
        <f>H24/'- 43 -'!$I24*100</f>
        <v>57.117574797272965</v>
      </c>
    </row>
    <row r="25" spans="1:9" ht="14.1" customHeight="1" x14ac:dyDescent="0.2">
      <c r="A25" s="284" t="s">
        <v>123</v>
      </c>
      <c r="B25" s="285">
        <f>'- 61 -'!$F25</f>
        <v>75817923</v>
      </c>
      <c r="C25" s="417">
        <v>22449813</v>
      </c>
      <c r="D25" s="417">
        <v>5232756</v>
      </c>
      <c r="E25" s="417">
        <v>6241476</v>
      </c>
      <c r="F25" s="285">
        <f t="shared" si="0"/>
        <v>109741968</v>
      </c>
      <c r="G25" s="417">
        <v>0</v>
      </c>
      <c r="H25" s="285">
        <f t="shared" si="1"/>
        <v>109741968</v>
      </c>
      <c r="I25" s="291">
        <f>H25/'- 43 -'!$I25*100</f>
        <v>58.141768366225577</v>
      </c>
    </row>
    <row r="26" spans="1:9" ht="14.1" customHeight="1" x14ac:dyDescent="0.2">
      <c r="A26" s="19" t="s">
        <v>124</v>
      </c>
      <c r="B26" s="20">
        <f>'- 61 -'!$F26</f>
        <v>22227994</v>
      </c>
      <c r="C26" s="418">
        <v>3577766</v>
      </c>
      <c r="D26" s="418">
        <v>621324</v>
      </c>
      <c r="E26" s="418">
        <v>876056</v>
      </c>
      <c r="F26" s="20">
        <f t="shared" si="0"/>
        <v>27303140</v>
      </c>
      <c r="G26" s="418">
        <v>0</v>
      </c>
      <c r="H26" s="20">
        <f t="shared" si="1"/>
        <v>27303140</v>
      </c>
      <c r="I26" s="70">
        <f>H26/'- 43 -'!$I26*100</f>
        <v>64.836279082999397</v>
      </c>
    </row>
    <row r="27" spans="1:9" ht="14.1" customHeight="1" x14ac:dyDescent="0.2">
      <c r="A27" s="284" t="s">
        <v>125</v>
      </c>
      <c r="B27" s="285">
        <f>'- 61 -'!$F27</f>
        <v>29999752</v>
      </c>
      <c r="C27" s="417">
        <v>1628101</v>
      </c>
      <c r="D27" s="417">
        <v>950796</v>
      </c>
      <c r="E27" s="417">
        <v>1244340</v>
      </c>
      <c r="F27" s="285">
        <f t="shared" si="0"/>
        <v>33822989</v>
      </c>
      <c r="G27" s="417">
        <v>56319</v>
      </c>
      <c r="H27" s="285">
        <f t="shared" si="1"/>
        <v>33879308</v>
      </c>
      <c r="I27" s="291">
        <f>H27/'- 43 -'!$I27*100</f>
        <v>79.906811848139142</v>
      </c>
    </row>
    <row r="28" spans="1:9" ht="14.1" customHeight="1" x14ac:dyDescent="0.2">
      <c r="A28" s="19" t="s">
        <v>126</v>
      </c>
      <c r="B28" s="20">
        <f>'- 61 -'!$F28</f>
        <v>10535279</v>
      </c>
      <c r="C28" s="418">
        <v>1710530</v>
      </c>
      <c r="D28" s="418">
        <v>782845</v>
      </c>
      <c r="E28" s="418">
        <v>704242</v>
      </c>
      <c r="F28" s="20">
        <f t="shared" si="0"/>
        <v>13732896</v>
      </c>
      <c r="G28" s="418">
        <v>0</v>
      </c>
      <c r="H28" s="20">
        <f t="shared" si="1"/>
        <v>13732896</v>
      </c>
      <c r="I28" s="70">
        <f>H28/'- 43 -'!$I28*100</f>
        <v>47.294267345879895</v>
      </c>
    </row>
    <row r="29" spans="1:9" ht="14.1" customHeight="1" x14ac:dyDescent="0.2">
      <c r="A29" s="284" t="s">
        <v>127</v>
      </c>
      <c r="B29" s="285">
        <f>'- 61 -'!$F29</f>
        <v>53839397</v>
      </c>
      <c r="C29" s="417">
        <v>21776778</v>
      </c>
      <c r="D29" s="417">
        <v>4321663</v>
      </c>
      <c r="E29" s="417">
        <v>3989399</v>
      </c>
      <c r="F29" s="285">
        <f t="shared" si="0"/>
        <v>83927237</v>
      </c>
      <c r="G29" s="417">
        <v>97060</v>
      </c>
      <c r="H29" s="285">
        <f t="shared" si="1"/>
        <v>84024297</v>
      </c>
      <c r="I29" s="291">
        <f>H29/'- 43 -'!$I29*100</f>
        <v>49.349955943232764</v>
      </c>
    </row>
    <row r="30" spans="1:9" ht="14.1" customHeight="1" x14ac:dyDescent="0.2">
      <c r="A30" s="19" t="s">
        <v>128</v>
      </c>
      <c r="B30" s="20">
        <f>'- 61 -'!$F30</f>
        <v>7423904</v>
      </c>
      <c r="C30" s="418">
        <v>1055810</v>
      </c>
      <c r="D30" s="418">
        <v>328265</v>
      </c>
      <c r="E30" s="418">
        <v>358288</v>
      </c>
      <c r="F30" s="20">
        <f t="shared" si="0"/>
        <v>9166267</v>
      </c>
      <c r="G30" s="418">
        <v>0</v>
      </c>
      <c r="H30" s="20">
        <f t="shared" si="1"/>
        <v>9166267</v>
      </c>
      <c r="I30" s="70">
        <f>H30/'- 43 -'!$I30*100</f>
        <v>59.013764884832511</v>
      </c>
    </row>
    <row r="31" spans="1:9" ht="14.1" customHeight="1" x14ac:dyDescent="0.2">
      <c r="A31" s="284" t="s">
        <v>129</v>
      </c>
      <c r="B31" s="285">
        <f>'- 61 -'!$F31</f>
        <v>18959832</v>
      </c>
      <c r="C31" s="417">
        <v>3322970</v>
      </c>
      <c r="D31" s="417">
        <v>475382</v>
      </c>
      <c r="E31" s="417">
        <v>922651</v>
      </c>
      <c r="F31" s="285">
        <f t="shared" si="0"/>
        <v>23680835</v>
      </c>
      <c r="G31" s="417">
        <v>17693</v>
      </c>
      <c r="H31" s="285">
        <f t="shared" si="1"/>
        <v>23698528</v>
      </c>
      <c r="I31" s="291">
        <f>H31/'- 43 -'!$I31*100</f>
        <v>57.677386930392814</v>
      </c>
    </row>
    <row r="32" spans="1:9" ht="14.1" customHeight="1" x14ac:dyDescent="0.2">
      <c r="A32" s="19" t="s">
        <v>130</v>
      </c>
      <c r="B32" s="20">
        <f>'- 61 -'!$F32</f>
        <v>12719585</v>
      </c>
      <c r="C32" s="418">
        <v>2486485</v>
      </c>
      <c r="D32" s="418">
        <v>1110857</v>
      </c>
      <c r="E32" s="418">
        <v>973917</v>
      </c>
      <c r="F32" s="20">
        <f t="shared" si="0"/>
        <v>17290844</v>
      </c>
      <c r="G32" s="418">
        <v>5709</v>
      </c>
      <c r="H32" s="20">
        <f t="shared" si="1"/>
        <v>17296553</v>
      </c>
      <c r="I32" s="70">
        <f>H32/'- 43 -'!$I32*100</f>
        <v>55.192512514763749</v>
      </c>
    </row>
    <row r="33" spans="1:9" ht="14.1" customHeight="1" x14ac:dyDescent="0.2">
      <c r="A33" s="284" t="s">
        <v>131</v>
      </c>
      <c r="B33" s="285">
        <f>'- 61 -'!$F33</f>
        <v>13870543</v>
      </c>
      <c r="C33" s="417">
        <v>1893562</v>
      </c>
      <c r="D33" s="417">
        <v>804599</v>
      </c>
      <c r="E33" s="417">
        <v>712229</v>
      </c>
      <c r="F33" s="285">
        <f t="shared" si="0"/>
        <v>17280933</v>
      </c>
      <c r="G33" s="417">
        <v>8257</v>
      </c>
      <c r="H33" s="285">
        <f t="shared" si="1"/>
        <v>17289190</v>
      </c>
      <c r="I33" s="291">
        <f>H33/'- 43 -'!$I33*100</f>
        <v>59.519150176811827</v>
      </c>
    </row>
    <row r="34" spans="1:9" ht="14.1" customHeight="1" x14ac:dyDescent="0.2">
      <c r="A34" s="19" t="s">
        <v>132</v>
      </c>
      <c r="B34" s="20">
        <f>'- 61 -'!$F34</f>
        <v>12378317</v>
      </c>
      <c r="C34" s="418">
        <v>2273584</v>
      </c>
      <c r="D34" s="418">
        <v>687234</v>
      </c>
      <c r="E34" s="418">
        <v>840784</v>
      </c>
      <c r="F34" s="20">
        <f t="shared" si="0"/>
        <v>16179919</v>
      </c>
      <c r="G34" s="418">
        <v>0</v>
      </c>
      <c r="H34" s="20">
        <f t="shared" si="1"/>
        <v>16179919</v>
      </c>
      <c r="I34" s="70">
        <f>H34/'- 43 -'!$I34*100</f>
        <v>50.14953967110354</v>
      </c>
    </row>
    <row r="35" spans="1:9" ht="14.1" customHeight="1" x14ac:dyDescent="0.2">
      <c r="A35" s="284" t="s">
        <v>133</v>
      </c>
      <c r="B35" s="285">
        <f>'- 61 -'!$F35</f>
        <v>91873115</v>
      </c>
      <c r="C35" s="417">
        <v>23720589</v>
      </c>
      <c r="D35" s="417">
        <v>1318383</v>
      </c>
      <c r="E35" s="417">
        <v>7616844</v>
      </c>
      <c r="F35" s="285">
        <f t="shared" si="0"/>
        <v>124528931</v>
      </c>
      <c r="G35" s="417">
        <v>325477</v>
      </c>
      <c r="H35" s="285">
        <f t="shared" si="1"/>
        <v>124854408</v>
      </c>
      <c r="I35" s="291">
        <f>H35/'- 43 -'!$I35*100</f>
        <v>64.436592443476641</v>
      </c>
    </row>
    <row r="36" spans="1:9" ht="14.1" customHeight="1" x14ac:dyDescent="0.2">
      <c r="A36" s="19" t="s">
        <v>134</v>
      </c>
      <c r="B36" s="20">
        <f>'- 61 -'!$F36</f>
        <v>9999511</v>
      </c>
      <c r="C36" s="418">
        <v>2234515</v>
      </c>
      <c r="D36" s="418">
        <v>753938</v>
      </c>
      <c r="E36" s="418">
        <v>672182</v>
      </c>
      <c r="F36" s="20">
        <f t="shared" si="0"/>
        <v>13660146</v>
      </c>
      <c r="G36" s="418">
        <v>137530</v>
      </c>
      <c r="H36" s="20">
        <f t="shared" si="1"/>
        <v>13797676</v>
      </c>
      <c r="I36" s="70">
        <f>H36/'- 43 -'!$I36*100</f>
        <v>55.164990494630636</v>
      </c>
    </row>
    <row r="37" spans="1:9" ht="14.1" customHeight="1" x14ac:dyDescent="0.2">
      <c r="A37" s="284" t="s">
        <v>135</v>
      </c>
      <c r="B37" s="285">
        <f>'- 61 -'!$F37</f>
        <v>28636514</v>
      </c>
      <c r="C37" s="417">
        <v>4998106</v>
      </c>
      <c r="D37" s="417">
        <v>1851693</v>
      </c>
      <c r="E37" s="417">
        <v>1695719</v>
      </c>
      <c r="F37" s="285">
        <f t="shared" si="0"/>
        <v>37182032</v>
      </c>
      <c r="G37" s="417">
        <v>21499</v>
      </c>
      <c r="H37" s="285">
        <f t="shared" si="1"/>
        <v>37203531</v>
      </c>
      <c r="I37" s="291">
        <f>H37/'- 43 -'!$I37*100</f>
        <v>69.071012687493521</v>
      </c>
    </row>
    <row r="38" spans="1:9" ht="14.1" customHeight="1" x14ac:dyDescent="0.2">
      <c r="A38" s="19" t="s">
        <v>136</v>
      </c>
      <c r="B38" s="20">
        <f>'- 61 -'!$F38</f>
        <v>74326355</v>
      </c>
      <c r="C38" s="418">
        <v>12740915</v>
      </c>
      <c r="D38" s="418">
        <v>4816991</v>
      </c>
      <c r="E38" s="418">
        <v>4125696</v>
      </c>
      <c r="F38" s="20">
        <f t="shared" si="0"/>
        <v>96009957</v>
      </c>
      <c r="G38" s="418">
        <v>1083818</v>
      </c>
      <c r="H38" s="20">
        <f t="shared" si="1"/>
        <v>97093775</v>
      </c>
      <c r="I38" s="70">
        <f>H38/'- 43 -'!$I38*100</f>
        <v>66.689825981694938</v>
      </c>
    </row>
    <row r="39" spans="1:9" ht="14.1" customHeight="1" x14ac:dyDescent="0.2">
      <c r="A39" s="284" t="s">
        <v>137</v>
      </c>
      <c r="B39" s="285">
        <f>'- 61 -'!$F39</f>
        <v>8992581</v>
      </c>
      <c r="C39" s="417">
        <v>1726349</v>
      </c>
      <c r="D39" s="417">
        <v>750265</v>
      </c>
      <c r="E39" s="417">
        <v>706895</v>
      </c>
      <c r="F39" s="285">
        <f t="shared" si="0"/>
        <v>12176090</v>
      </c>
      <c r="G39" s="417">
        <v>0</v>
      </c>
      <c r="H39" s="285">
        <f t="shared" si="1"/>
        <v>12176090</v>
      </c>
      <c r="I39" s="291">
        <f>H39/'- 43 -'!$I39*100</f>
        <v>51.695544871303625</v>
      </c>
    </row>
    <row r="40" spans="1:9" ht="14.1" customHeight="1" x14ac:dyDescent="0.2">
      <c r="A40" s="19" t="s">
        <v>138</v>
      </c>
      <c r="B40" s="20">
        <f>'- 61 -'!$F40</f>
        <v>38234098</v>
      </c>
      <c r="C40" s="418">
        <v>12965753</v>
      </c>
      <c r="D40" s="418">
        <v>3409843</v>
      </c>
      <c r="E40" s="418">
        <v>3256469</v>
      </c>
      <c r="F40" s="20">
        <f t="shared" si="0"/>
        <v>57866163</v>
      </c>
      <c r="G40" s="418">
        <v>8558</v>
      </c>
      <c r="H40" s="20">
        <f t="shared" si="1"/>
        <v>57874721</v>
      </c>
      <c r="I40" s="70">
        <f>H40/'- 43 -'!$I40*100</f>
        <v>52.901182956590851</v>
      </c>
    </row>
    <row r="41" spans="1:9" ht="14.1" customHeight="1" x14ac:dyDescent="0.2">
      <c r="A41" s="284" t="s">
        <v>139</v>
      </c>
      <c r="B41" s="285">
        <f>'- 61 -'!$F41</f>
        <v>25233173</v>
      </c>
      <c r="C41" s="417">
        <v>7221761</v>
      </c>
      <c r="D41" s="417">
        <v>2709191</v>
      </c>
      <c r="E41" s="417">
        <v>2968357</v>
      </c>
      <c r="F41" s="285">
        <f t="shared" si="0"/>
        <v>38132482</v>
      </c>
      <c r="G41" s="417">
        <v>256482</v>
      </c>
      <c r="H41" s="285">
        <f t="shared" si="1"/>
        <v>38388964</v>
      </c>
      <c r="I41" s="291">
        <f>H41/'- 43 -'!$I41*100</f>
        <v>56.964116460707167</v>
      </c>
    </row>
    <row r="42" spans="1:9" ht="14.1" customHeight="1" x14ac:dyDescent="0.2">
      <c r="A42" s="19" t="s">
        <v>140</v>
      </c>
      <c r="B42" s="20">
        <f>'- 61 -'!$F42</f>
        <v>11579910</v>
      </c>
      <c r="C42" s="418">
        <v>1620466</v>
      </c>
      <c r="D42" s="418">
        <v>1044875</v>
      </c>
      <c r="E42" s="418">
        <v>604816</v>
      </c>
      <c r="F42" s="20">
        <f t="shared" si="0"/>
        <v>14850067</v>
      </c>
      <c r="G42" s="418">
        <v>0</v>
      </c>
      <c r="H42" s="20">
        <f t="shared" si="1"/>
        <v>14850067</v>
      </c>
      <c r="I42" s="70">
        <f>H42/'- 43 -'!$I42*100</f>
        <v>68.226498087484359</v>
      </c>
    </row>
    <row r="43" spans="1:9" ht="14.1" customHeight="1" x14ac:dyDescent="0.2">
      <c r="A43" s="284" t="s">
        <v>141</v>
      </c>
      <c r="B43" s="285">
        <f>'- 61 -'!$F43</f>
        <v>5964460</v>
      </c>
      <c r="C43" s="417">
        <v>1301206</v>
      </c>
      <c r="D43" s="417">
        <v>0</v>
      </c>
      <c r="E43" s="417">
        <v>559216</v>
      </c>
      <c r="F43" s="285">
        <f t="shared" si="0"/>
        <v>7824882</v>
      </c>
      <c r="G43" s="417">
        <v>0</v>
      </c>
      <c r="H43" s="285">
        <f t="shared" si="1"/>
        <v>7824882</v>
      </c>
      <c r="I43" s="291">
        <f>H43/'- 43 -'!$I43*100</f>
        <v>56.787335587298401</v>
      </c>
    </row>
    <row r="44" spans="1:9" ht="14.1" customHeight="1" x14ac:dyDescent="0.2">
      <c r="A44" s="19" t="s">
        <v>142</v>
      </c>
      <c r="B44" s="20">
        <f>'- 61 -'!$F44</f>
        <v>7236260</v>
      </c>
      <c r="C44" s="418">
        <v>715965</v>
      </c>
      <c r="D44" s="418">
        <v>414644</v>
      </c>
      <c r="E44" s="418">
        <v>419589</v>
      </c>
      <c r="F44" s="20">
        <f t="shared" si="0"/>
        <v>8786458</v>
      </c>
      <c r="G44" s="418">
        <v>0</v>
      </c>
      <c r="H44" s="20">
        <f t="shared" si="1"/>
        <v>8786458</v>
      </c>
      <c r="I44" s="70">
        <f>H44/'- 43 -'!$I44*100</f>
        <v>76.15817052404249</v>
      </c>
    </row>
    <row r="45" spans="1:9" ht="14.1" customHeight="1" x14ac:dyDescent="0.2">
      <c r="A45" s="284" t="s">
        <v>143</v>
      </c>
      <c r="B45" s="285">
        <f>'- 61 -'!$F45</f>
        <v>10411612</v>
      </c>
      <c r="C45" s="417">
        <v>2054598</v>
      </c>
      <c r="D45" s="417">
        <v>0</v>
      </c>
      <c r="E45" s="417">
        <v>811338</v>
      </c>
      <c r="F45" s="285">
        <f t="shared" si="0"/>
        <v>13277548</v>
      </c>
      <c r="G45" s="417">
        <v>14534</v>
      </c>
      <c r="H45" s="285">
        <f t="shared" si="1"/>
        <v>13292082</v>
      </c>
      <c r="I45" s="291">
        <f>H45/'- 43 -'!$I45*100</f>
        <v>64.152495119454812</v>
      </c>
    </row>
    <row r="46" spans="1:9" ht="14.1" customHeight="1" x14ac:dyDescent="0.2">
      <c r="A46" s="19" t="s">
        <v>144</v>
      </c>
      <c r="B46" s="20">
        <f>'- 61 -'!$F46</f>
        <v>185908042</v>
      </c>
      <c r="C46" s="418">
        <v>30930809</v>
      </c>
      <c r="D46" s="418">
        <v>8529940</v>
      </c>
      <c r="E46" s="418">
        <v>19865260</v>
      </c>
      <c r="F46" s="20">
        <f t="shared" si="0"/>
        <v>245234051</v>
      </c>
      <c r="G46" s="418">
        <v>0</v>
      </c>
      <c r="H46" s="20">
        <f t="shared" si="1"/>
        <v>245234051</v>
      </c>
      <c r="I46" s="70">
        <f>H46/'- 43 -'!$I46*100</f>
        <v>60.284240995103289</v>
      </c>
    </row>
    <row r="47" spans="1:9" ht="5.0999999999999996" customHeight="1" x14ac:dyDescent="0.2">
      <c r="A47" s="21"/>
      <c r="B47" s="22"/>
      <c r="C47" s="22"/>
      <c r="D47" s="22"/>
      <c r="E47" s="22"/>
      <c r="F47" s="22"/>
      <c r="G47" s="22"/>
      <c r="H47" s="22"/>
      <c r="I47"/>
    </row>
    <row r="48" spans="1:9" ht="14.1" customHeight="1" x14ac:dyDescent="0.2">
      <c r="A48" s="286" t="s">
        <v>145</v>
      </c>
      <c r="B48" s="287">
        <f t="shared" ref="B48:H48" si="2">SUM(B11:B46)</f>
        <v>1069823181</v>
      </c>
      <c r="C48" s="421">
        <f>SUM(C11:C46)</f>
        <v>209435861</v>
      </c>
      <c r="D48" s="421">
        <f>SUM(D11:D46)</f>
        <v>57040219</v>
      </c>
      <c r="E48" s="421">
        <f>SUM(E11:E46)</f>
        <v>107983800</v>
      </c>
      <c r="F48" s="287">
        <f t="shared" si="2"/>
        <v>1444283061</v>
      </c>
      <c r="G48" s="421">
        <f>SUM(G11:G46)</f>
        <v>3737864</v>
      </c>
      <c r="H48" s="287">
        <f t="shared" si="2"/>
        <v>1448020925</v>
      </c>
      <c r="I48" s="294">
        <f>H48/'- 43 -'!$I48*100</f>
        <v>59.518606247289675</v>
      </c>
    </row>
    <row r="49" spans="1:9" ht="5.0999999999999996" customHeight="1" x14ac:dyDescent="0.2">
      <c r="A49" s="21" t="s">
        <v>7</v>
      </c>
      <c r="B49" s="22"/>
      <c r="C49" s="22"/>
      <c r="D49" s="22"/>
      <c r="E49" s="22"/>
      <c r="F49" s="22"/>
      <c r="G49" s="22"/>
      <c r="H49" s="22"/>
      <c r="I49"/>
    </row>
    <row r="50" spans="1:9" ht="14.1" customHeight="1" x14ac:dyDescent="0.2">
      <c r="A50" s="19" t="s">
        <v>146</v>
      </c>
      <c r="B50" s="20">
        <f>'- 61 -'!$F50</f>
        <v>930145</v>
      </c>
      <c r="C50" s="418">
        <v>390504</v>
      </c>
      <c r="D50" s="418">
        <v>23731</v>
      </c>
      <c r="E50" s="418">
        <v>105560</v>
      </c>
      <c r="F50" s="20">
        <f>SUM(B50:E50)</f>
        <v>1449940</v>
      </c>
      <c r="G50" s="418">
        <v>0</v>
      </c>
      <c r="H50" s="20">
        <f>SUM(F50:G50)</f>
        <v>1449940</v>
      </c>
      <c r="I50" s="70">
        <f>H50/'- 43 -'!$I50*100</f>
        <v>41.459633944893007</v>
      </c>
    </row>
    <row r="51" spans="1:9" ht="14.1" customHeight="1" x14ac:dyDescent="0.2">
      <c r="A51" s="284" t="s">
        <v>607</v>
      </c>
      <c r="B51" s="285">
        <f>'- 61 -'!$F51</f>
        <v>0</v>
      </c>
      <c r="C51" s="417">
        <v>0</v>
      </c>
      <c r="D51" s="417">
        <v>0</v>
      </c>
      <c r="E51" s="417">
        <v>9966803</v>
      </c>
      <c r="F51" s="285">
        <f>SUM(B51:E51)</f>
        <v>9966803</v>
      </c>
      <c r="G51" s="417">
        <v>340698</v>
      </c>
      <c r="H51" s="285">
        <f>SUM(F51:G51)</f>
        <v>10307501</v>
      </c>
      <c r="I51" s="291">
        <f>H51/'- 43 -'!$I51*100</f>
        <v>32.252126590656268</v>
      </c>
    </row>
    <row r="52" spans="1:9" ht="50.1" customHeight="1" x14ac:dyDescent="0.2">
      <c r="A52" s="23"/>
      <c r="B52" s="23"/>
      <c r="C52" s="23"/>
      <c r="D52" s="23"/>
      <c r="E52" s="23"/>
      <c r="F52" s="23"/>
      <c r="G52" s="23"/>
      <c r="H52" s="23"/>
      <c r="I52" s="23"/>
    </row>
    <row r="53" spans="1:9" ht="15" customHeight="1" x14ac:dyDescent="0.2">
      <c r="A53" s="38" t="s">
        <v>349</v>
      </c>
      <c r="C53" s="38"/>
      <c r="D53" s="38"/>
      <c r="E53" s="221"/>
      <c r="F53" s="221"/>
      <c r="G53" s="221"/>
      <c r="H53" s="221"/>
    </row>
    <row r="54" spans="1:9" ht="12" customHeight="1" x14ac:dyDescent="0.2">
      <c r="A54" s="615" t="s">
        <v>609</v>
      </c>
      <c r="B54" s="615"/>
      <c r="C54" s="615"/>
      <c r="D54" s="615"/>
      <c r="E54" s="615"/>
      <c r="F54" s="615"/>
      <c r="G54" s="615"/>
      <c r="H54" s="615"/>
      <c r="I54" s="615"/>
    </row>
    <row r="55" spans="1:9" ht="12" customHeight="1" x14ac:dyDescent="0.2">
      <c r="A55" s="615"/>
      <c r="B55" s="615"/>
      <c r="C55" s="615"/>
      <c r="D55" s="615"/>
      <c r="E55" s="615"/>
      <c r="F55" s="615"/>
      <c r="G55" s="615"/>
      <c r="H55" s="615"/>
      <c r="I55" s="615"/>
    </row>
    <row r="56" spans="1:9" ht="12" customHeight="1" x14ac:dyDescent="0.2">
      <c r="A56" s="615"/>
      <c r="B56" s="615"/>
      <c r="C56" s="615"/>
      <c r="D56" s="615"/>
      <c r="E56" s="615"/>
      <c r="F56" s="615"/>
      <c r="G56" s="615"/>
      <c r="H56" s="615"/>
      <c r="I56" s="615"/>
    </row>
    <row r="57" spans="1:9" ht="12" customHeight="1" x14ac:dyDescent="0.2">
      <c r="A57" s="615"/>
      <c r="B57" s="615"/>
      <c r="C57" s="615"/>
      <c r="D57" s="615"/>
      <c r="E57" s="615"/>
      <c r="F57" s="615"/>
      <c r="G57" s="615"/>
      <c r="H57" s="615"/>
      <c r="I57" s="615"/>
    </row>
    <row r="58" spans="1:9" ht="12" customHeight="1" x14ac:dyDescent="0.2">
      <c r="A58" s="712" t="s">
        <v>648</v>
      </c>
      <c r="B58" s="712"/>
      <c r="C58" s="712"/>
      <c r="D58" s="712"/>
      <c r="E58" s="712"/>
      <c r="F58" s="712"/>
      <c r="G58" s="712"/>
      <c r="H58" s="712"/>
      <c r="I58" s="712"/>
    </row>
    <row r="59" spans="1:9" ht="12" customHeight="1" x14ac:dyDescent="0.2">
      <c r="A59" s="712"/>
      <c r="B59" s="712"/>
      <c r="C59" s="712"/>
      <c r="D59" s="712"/>
      <c r="E59" s="712"/>
      <c r="F59" s="712"/>
      <c r="G59" s="712"/>
      <c r="H59" s="712"/>
      <c r="I59" s="712"/>
    </row>
    <row r="60" spans="1:9" ht="12" customHeight="1" x14ac:dyDescent="0.2">
      <c r="A60" s="133" t="s">
        <v>390</v>
      </c>
    </row>
    <row r="61" spans="1:9" x14ac:dyDescent="0.2">
      <c r="A61" s="2" t="s">
        <v>350</v>
      </c>
    </row>
    <row r="62" spans="1:9" x14ac:dyDescent="0.2">
      <c r="A62" s="2" t="e">
        <f>"(6) Total provincial contribution to public education is "&amp;ROUND(#REF!*100,1)&amp;"%. See page i for more details."</f>
        <v>#REF!</v>
      </c>
    </row>
  </sheetData>
  <mergeCells count="11">
    <mergeCell ref="B7:B9"/>
    <mergeCell ref="A58:I59"/>
    <mergeCell ref="A54:I57"/>
    <mergeCell ref="B5:F5"/>
    <mergeCell ref="B3:I3"/>
    <mergeCell ref="H7:H9"/>
    <mergeCell ref="I6:I9"/>
    <mergeCell ref="G7:G9"/>
    <mergeCell ref="E8:E9"/>
    <mergeCell ref="D7:D9"/>
    <mergeCell ref="C7:C9"/>
  </mergeCells>
  <phoneticPr fontId="6" type="noConversion"/>
  <pageMargins left="0.5" right="0.5" top="0.6" bottom="0.2" header="0.3" footer="0.5"/>
  <pageSetup scale="81" orientation="portrait" r:id="rId1"/>
  <headerFooter alignWithMargins="0">
    <oddHeader>&amp;C&amp;"Arial,Regular"&amp;12&amp;A</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I54"/>
  <sheetViews>
    <sheetView showGridLines="0" showZeros="0" workbookViewId="0"/>
  </sheetViews>
  <sheetFormatPr defaultColWidth="15.83203125" defaultRowHeight="12" x14ac:dyDescent="0.2"/>
  <cols>
    <col min="1" max="1" width="34.83203125" style="2" customWidth="1"/>
    <col min="2" max="2" width="15.83203125" style="2" customWidth="1"/>
    <col min="3" max="3" width="8.83203125" style="2" customWidth="1"/>
    <col min="4" max="4" width="15.83203125" style="2"/>
    <col min="5" max="5" width="8.83203125" style="2" customWidth="1"/>
    <col min="6" max="6" width="15.83203125" style="2"/>
    <col min="7" max="7" width="8.83203125" style="2" customWidth="1"/>
    <col min="8" max="8" width="14.83203125" style="2" customWidth="1"/>
    <col min="9" max="9" width="8.83203125" style="2" customWidth="1"/>
    <col min="10" max="16384" width="15.83203125" style="2"/>
  </cols>
  <sheetData>
    <row r="1" spans="1:9" ht="6.95" customHeight="1" x14ac:dyDescent="0.2">
      <c r="A1" s="7"/>
    </row>
    <row r="2" spans="1:9" ht="15.95" customHeight="1" x14ac:dyDescent="0.2">
      <c r="A2" s="213"/>
      <c r="B2" s="204" t="str">
        <f>REVYEAR</f>
        <v>ANALYSIS OF OPERATING FUND REVENUE: 2017/2018 ACTUAL</v>
      </c>
      <c r="C2" s="41"/>
      <c r="D2" s="41"/>
      <c r="E2" s="41"/>
      <c r="F2" s="41"/>
      <c r="G2" s="217"/>
      <c r="H2" s="218"/>
      <c r="I2" s="215" t="s">
        <v>8</v>
      </c>
    </row>
    <row r="3" spans="1:9" ht="15.95" customHeight="1" x14ac:dyDescent="0.2">
      <c r="A3" s="537"/>
    </row>
    <row r="4" spans="1:9" ht="15.95" customHeight="1" x14ac:dyDescent="0.2">
      <c r="B4" s="8"/>
      <c r="C4" s="8"/>
      <c r="D4" s="8"/>
      <c r="E4" s="8"/>
      <c r="F4" s="8"/>
      <c r="G4" s="8"/>
      <c r="H4" s="8"/>
      <c r="I4" s="43"/>
    </row>
    <row r="5" spans="1:9" ht="15.95" customHeight="1" x14ac:dyDescent="0.2">
      <c r="B5" s="8"/>
      <c r="C5" s="8"/>
      <c r="D5" s="8"/>
      <c r="E5" s="8"/>
      <c r="F5" s="8"/>
      <c r="G5" s="8"/>
      <c r="H5" s="8"/>
      <c r="I5" s="8"/>
    </row>
    <row r="6" spans="1:9" ht="15.95" customHeight="1" x14ac:dyDescent="0.2">
      <c r="B6" s="8"/>
      <c r="C6" s="8"/>
      <c r="D6" s="8"/>
      <c r="E6" s="8"/>
      <c r="F6" s="8"/>
      <c r="G6" s="8"/>
      <c r="H6" s="8"/>
      <c r="I6" s="8"/>
    </row>
    <row r="7" spans="1:9" ht="15.95" customHeight="1" x14ac:dyDescent="0.2">
      <c r="B7" s="665" t="s">
        <v>527</v>
      </c>
      <c r="C7" s="666"/>
      <c r="D7" s="685" t="s">
        <v>528</v>
      </c>
      <c r="E7" s="639"/>
      <c r="F7" s="642" t="s">
        <v>519</v>
      </c>
      <c r="G7" s="639"/>
      <c r="H7" s="311"/>
      <c r="I7" s="310"/>
    </row>
    <row r="8" spans="1:9" ht="15.95" customHeight="1" x14ac:dyDescent="0.2">
      <c r="A8" s="403"/>
      <c r="B8" s="667"/>
      <c r="C8" s="668"/>
      <c r="D8" s="672"/>
      <c r="E8" s="641"/>
      <c r="F8" s="640"/>
      <c r="G8" s="641"/>
      <c r="H8" s="643" t="s">
        <v>61</v>
      </c>
      <c r="I8" s="644"/>
    </row>
    <row r="9" spans="1:9" ht="15.95" customHeight="1" x14ac:dyDescent="0.2">
      <c r="A9" s="35" t="s">
        <v>42</v>
      </c>
      <c r="B9" s="563" t="s">
        <v>62</v>
      </c>
      <c r="C9" s="115" t="s">
        <v>44</v>
      </c>
      <c r="D9" s="206" t="s">
        <v>62</v>
      </c>
      <c r="E9" s="206" t="s">
        <v>44</v>
      </c>
      <c r="F9" s="206" t="s">
        <v>62</v>
      </c>
      <c r="G9" s="206" t="s">
        <v>44</v>
      </c>
      <c r="H9" s="216" t="s">
        <v>62</v>
      </c>
      <c r="I9" s="216" t="s">
        <v>44</v>
      </c>
    </row>
    <row r="10" spans="1:9" ht="5.0999999999999996" customHeight="1" x14ac:dyDescent="0.2">
      <c r="A10" s="6"/>
      <c r="B10" s="207"/>
      <c r="C10" s="207"/>
      <c r="D10" s="207"/>
      <c r="E10" s="207"/>
      <c r="F10" s="207"/>
      <c r="G10" s="207"/>
      <c r="H10" s="207"/>
      <c r="I10" s="207"/>
    </row>
    <row r="11" spans="1:9" ht="14.1" customHeight="1" x14ac:dyDescent="0.2">
      <c r="A11" s="284" t="s">
        <v>110</v>
      </c>
      <c r="B11" s="417">
        <v>0</v>
      </c>
      <c r="C11" s="291">
        <f>B11/'- 43 -'!$I11*100</f>
        <v>0</v>
      </c>
      <c r="D11" s="417">
        <v>7100396</v>
      </c>
      <c r="E11" s="291">
        <f>D11/'- 43 -'!$I11*100</f>
        <v>35.206964997154593</v>
      </c>
      <c r="F11" s="417">
        <v>33150</v>
      </c>
      <c r="G11" s="291">
        <f>F11/'- 43 -'!$I11*100</f>
        <v>0.16437264761791803</v>
      </c>
      <c r="H11" s="417">
        <v>0</v>
      </c>
      <c r="I11" s="291">
        <f>H11/'- 43 -'!$I11*100</f>
        <v>0</v>
      </c>
    </row>
    <row r="12" spans="1:9" ht="14.1" customHeight="1" x14ac:dyDescent="0.2">
      <c r="A12" s="19" t="s">
        <v>111</v>
      </c>
      <c r="B12" s="418">
        <v>6617</v>
      </c>
      <c r="C12" s="70">
        <f>B12/'- 43 -'!$I12*100</f>
        <v>1.8270963272685441E-2</v>
      </c>
      <c r="D12" s="418">
        <v>11789910</v>
      </c>
      <c r="E12" s="70">
        <f>D12/'- 43 -'!$I12*100</f>
        <v>32.554482786499442</v>
      </c>
      <c r="F12" s="418">
        <v>596393</v>
      </c>
      <c r="G12" s="70">
        <f>F12/'- 43 -'!$I12*100</f>
        <v>1.6467696235585143</v>
      </c>
      <c r="H12" s="418">
        <v>1237306</v>
      </c>
      <c r="I12" s="70">
        <f>H12/'- 43 -'!$I12*100</f>
        <v>3.4164685632572667</v>
      </c>
    </row>
    <row r="13" spans="1:9" ht="14.1" customHeight="1" x14ac:dyDescent="0.2">
      <c r="A13" s="284" t="s">
        <v>112</v>
      </c>
      <c r="B13" s="417">
        <v>22275</v>
      </c>
      <c r="C13" s="291">
        <f>B13/'- 43 -'!$I13*100</f>
        <v>2.1850645389588867E-2</v>
      </c>
      <c r="D13" s="417">
        <v>38954935</v>
      </c>
      <c r="E13" s="291">
        <f>D13/'- 43 -'!$I13*100</f>
        <v>38.212815751267513</v>
      </c>
      <c r="F13" s="417">
        <v>435204</v>
      </c>
      <c r="G13" s="291">
        <f>F13/'- 43 -'!$I13*100</f>
        <v>0.42691305392281181</v>
      </c>
      <c r="H13" s="417">
        <v>202299</v>
      </c>
      <c r="I13" s="291">
        <f>H13/'- 43 -'!$I13*100</f>
        <v>0.19844506000756174</v>
      </c>
    </row>
    <row r="14" spans="1:9" ht="14.1" customHeight="1" x14ac:dyDescent="0.2">
      <c r="A14" s="19" t="s">
        <v>359</v>
      </c>
      <c r="B14" s="418">
        <v>156278</v>
      </c>
      <c r="C14" s="70">
        <f>B14/'- 43 -'!$I14*100</f>
        <v>0.17140053180031647</v>
      </c>
      <c r="D14" s="418">
        <v>24307644</v>
      </c>
      <c r="E14" s="70">
        <f>D14/'- 43 -'!$I14*100</f>
        <v>26.659818454374719</v>
      </c>
      <c r="F14" s="418">
        <v>1963968</v>
      </c>
      <c r="G14" s="70">
        <f>F14/'- 43 -'!$I14*100</f>
        <v>2.1540150221963676</v>
      </c>
      <c r="H14" s="418">
        <v>0</v>
      </c>
      <c r="I14" s="70">
        <f>H14/'- 43 -'!$I14*100</f>
        <v>0</v>
      </c>
    </row>
    <row r="15" spans="1:9" ht="14.1" customHeight="1" x14ac:dyDescent="0.2">
      <c r="A15" s="284" t="s">
        <v>113</v>
      </c>
      <c r="B15" s="417">
        <v>0</v>
      </c>
      <c r="C15" s="291">
        <f>B15/'- 43 -'!$I15*100</f>
        <v>0</v>
      </c>
      <c r="D15" s="417">
        <v>8061895</v>
      </c>
      <c r="E15" s="291">
        <f>D15/'- 43 -'!$I15*100</f>
        <v>37.58506166883577</v>
      </c>
      <c r="F15" s="417">
        <v>57795</v>
      </c>
      <c r="G15" s="291">
        <f>F15/'- 43 -'!$I15*100</f>
        <v>0.26944392591944738</v>
      </c>
      <c r="H15" s="417">
        <v>152000</v>
      </c>
      <c r="I15" s="291">
        <f>H15/'- 43 -'!$I15*100</f>
        <v>0.70863356241467257</v>
      </c>
    </row>
    <row r="16" spans="1:9" ht="14.1" customHeight="1" x14ac:dyDescent="0.2">
      <c r="A16" s="19" t="s">
        <v>114</v>
      </c>
      <c r="B16" s="418">
        <v>28750</v>
      </c>
      <c r="C16" s="70">
        <f>B16/'- 43 -'!$I16*100</f>
        <v>0.19226071382022841</v>
      </c>
      <c r="D16" s="418">
        <v>3355060</v>
      </c>
      <c r="E16" s="70">
        <f>D16/'- 43 -'!$I16*100</f>
        <v>22.436390626424192</v>
      </c>
      <c r="F16" s="418">
        <v>302951</v>
      </c>
      <c r="G16" s="70">
        <f>F16/'- 43 -'!$I16*100</f>
        <v>2.0259330613061568</v>
      </c>
      <c r="H16" s="418">
        <v>19893</v>
      </c>
      <c r="I16" s="70">
        <f>H16/'- 43 -'!$I16*100</f>
        <v>0.13303103930524535</v>
      </c>
    </row>
    <row r="17" spans="1:9" ht="14.1" customHeight="1" x14ac:dyDescent="0.2">
      <c r="A17" s="284" t="s">
        <v>115</v>
      </c>
      <c r="B17" s="417">
        <v>0</v>
      </c>
      <c r="C17" s="291">
        <f>B17/'- 43 -'!$I17*100</f>
        <v>0</v>
      </c>
      <c r="D17" s="417">
        <v>7750603</v>
      </c>
      <c r="E17" s="291">
        <f>D17/'- 43 -'!$I17*100</f>
        <v>41.23470291590727</v>
      </c>
      <c r="F17" s="417">
        <v>28650</v>
      </c>
      <c r="G17" s="291">
        <f>F17/'- 43 -'!$I17*100</f>
        <v>0.15242352608445348</v>
      </c>
      <c r="H17" s="417">
        <v>878542</v>
      </c>
      <c r="I17" s="291">
        <f>H17/'- 43 -'!$I17*100</f>
        <v>4.6740128954027202</v>
      </c>
    </row>
    <row r="18" spans="1:9" ht="14.1" customHeight="1" x14ac:dyDescent="0.2">
      <c r="A18" s="19" t="s">
        <v>116</v>
      </c>
      <c r="B18" s="418">
        <v>595682</v>
      </c>
      <c r="C18" s="70">
        <f>B18/'- 43 -'!$I18*100</f>
        <v>0.42863375550296889</v>
      </c>
      <c r="D18" s="418">
        <v>3049984</v>
      </c>
      <c r="E18" s="70">
        <f>D18/'- 43 -'!$I18*100</f>
        <v>2.1946711435698361</v>
      </c>
      <c r="F18" s="418">
        <v>13650</v>
      </c>
      <c r="G18" s="70">
        <f>F18/'- 43 -'!$I18*100</f>
        <v>9.8221043486550284E-3</v>
      </c>
      <c r="H18" s="418">
        <v>78718387</v>
      </c>
      <c r="I18" s="70">
        <f>H18/'- 43 -'!$I18*100</f>
        <v>56.643238921011687</v>
      </c>
    </row>
    <row r="19" spans="1:9" ht="14.1" customHeight="1" x14ac:dyDescent="0.2">
      <c r="A19" s="284" t="s">
        <v>117</v>
      </c>
      <c r="B19" s="417">
        <v>0</v>
      </c>
      <c r="C19" s="291">
        <f>B19/'- 43 -'!$I19*100</f>
        <v>0</v>
      </c>
      <c r="D19" s="417">
        <v>15765148</v>
      </c>
      <c r="E19" s="291">
        <f>D19/'- 43 -'!$I19*100</f>
        <v>31.243386110741888</v>
      </c>
      <c r="F19" s="417">
        <v>398177</v>
      </c>
      <c r="G19" s="291">
        <f>F19/'- 43 -'!$I19*100</f>
        <v>0.78910757776691176</v>
      </c>
      <c r="H19" s="417">
        <v>0</v>
      </c>
      <c r="I19" s="291">
        <f>H19/'- 43 -'!$I19*100</f>
        <v>0</v>
      </c>
    </row>
    <row r="20" spans="1:9" ht="14.1" customHeight="1" x14ac:dyDescent="0.2">
      <c r="A20" s="19" t="s">
        <v>118</v>
      </c>
      <c r="B20" s="418">
        <v>0</v>
      </c>
      <c r="C20" s="70">
        <f>B20/'- 43 -'!$I20*100</f>
        <v>0</v>
      </c>
      <c r="D20" s="418">
        <v>26195562</v>
      </c>
      <c r="E20" s="70">
        <f>D20/'- 43 -'!$I20*100</f>
        <v>29.745220703042474</v>
      </c>
      <c r="F20" s="418">
        <v>65650</v>
      </c>
      <c r="G20" s="70">
        <f>F20/'- 43 -'!$I20*100</f>
        <v>7.4545976114379159E-2</v>
      </c>
      <c r="H20" s="418">
        <v>0</v>
      </c>
      <c r="I20" s="70">
        <f>H20/'- 43 -'!$I20*100</f>
        <v>0</v>
      </c>
    </row>
    <row r="21" spans="1:9" ht="14.1" customHeight="1" x14ac:dyDescent="0.2">
      <c r="A21" s="284" t="s">
        <v>119</v>
      </c>
      <c r="B21" s="417">
        <v>14881</v>
      </c>
      <c r="C21" s="291">
        <f>B21/'- 43 -'!$I21*100</f>
        <v>3.8847360364806502E-2</v>
      </c>
      <c r="D21" s="417">
        <v>15899766</v>
      </c>
      <c r="E21" s="291">
        <f>D21/'- 43 -'!$I21*100</f>
        <v>41.506883913587664</v>
      </c>
      <c r="F21" s="417">
        <v>55090</v>
      </c>
      <c r="G21" s="291">
        <f>F21/'- 43 -'!$I21*100</f>
        <v>0.14381433253794706</v>
      </c>
      <c r="H21" s="417">
        <v>0</v>
      </c>
      <c r="I21" s="291">
        <f>H21/'- 43 -'!$I21*100</f>
        <v>0</v>
      </c>
    </row>
    <row r="22" spans="1:9" ht="14.1" customHeight="1" x14ac:dyDescent="0.2">
      <c r="A22" s="19" t="s">
        <v>120</v>
      </c>
      <c r="B22" s="418">
        <v>11684</v>
      </c>
      <c r="C22" s="70">
        <f>B22/'- 43 -'!$I22*100</f>
        <v>5.725041411492203E-2</v>
      </c>
      <c r="D22" s="418">
        <v>3398657</v>
      </c>
      <c r="E22" s="70">
        <f>D22/'- 43 -'!$I22*100</f>
        <v>16.653074348217949</v>
      </c>
      <c r="F22" s="418">
        <v>9129</v>
      </c>
      <c r="G22" s="70">
        <f>F22/'- 43 -'!$I22*100</f>
        <v>4.4731173438473396E-2</v>
      </c>
      <c r="H22" s="418">
        <v>28080</v>
      </c>
      <c r="I22" s="70">
        <f>H22/'- 43 -'!$I22*100</f>
        <v>0.13758914997834734</v>
      </c>
    </row>
    <row r="23" spans="1:9" ht="14.1" customHeight="1" x14ac:dyDescent="0.2">
      <c r="A23" s="284" t="s">
        <v>121</v>
      </c>
      <c r="B23" s="417">
        <v>143809</v>
      </c>
      <c r="C23" s="291">
        <f>B23/'- 43 -'!$I23*100</f>
        <v>0.84199421636527061</v>
      </c>
      <c r="D23" s="417">
        <v>3660569</v>
      </c>
      <c r="E23" s="291">
        <f>D23/'- 43 -'!$I23*100</f>
        <v>21.432441130986252</v>
      </c>
      <c r="F23" s="417">
        <v>67597</v>
      </c>
      <c r="G23" s="291">
        <f>F23/'- 43 -'!$I23*100</f>
        <v>0.39577691968961043</v>
      </c>
      <c r="H23" s="417">
        <v>968537</v>
      </c>
      <c r="I23" s="291">
        <f>H23/'- 43 -'!$I23*100</f>
        <v>5.6707337672591427</v>
      </c>
    </row>
    <row r="24" spans="1:9" ht="14.1" customHeight="1" x14ac:dyDescent="0.2">
      <c r="A24" s="19" t="s">
        <v>122</v>
      </c>
      <c r="B24" s="418">
        <v>17000</v>
      </c>
      <c r="C24" s="70">
        <f>B24/'- 43 -'!$I24*100</f>
        <v>2.8384081706083669E-2</v>
      </c>
      <c r="D24" s="418">
        <v>24026977</v>
      </c>
      <c r="E24" s="70">
        <f>D24/'- 43 -'!$I24*100</f>
        <v>40.116686959893713</v>
      </c>
      <c r="F24" s="418">
        <v>175003</v>
      </c>
      <c r="G24" s="70">
        <f>F24/'- 43 -'!$I24*100</f>
        <v>0.29219408534175062</v>
      </c>
      <c r="H24" s="418">
        <v>550000</v>
      </c>
      <c r="I24" s="70">
        <f>H24/'- 43 -'!$I24*100</f>
        <v>0.91830852578505995</v>
      </c>
    </row>
    <row r="25" spans="1:9" ht="14.1" customHeight="1" x14ac:dyDescent="0.2">
      <c r="A25" s="284" t="s">
        <v>123</v>
      </c>
      <c r="B25" s="417">
        <v>221640</v>
      </c>
      <c r="C25" s="291">
        <f>B25/'- 43 -'!$I25*100</f>
        <v>0.11742582874666725</v>
      </c>
      <c r="D25" s="417">
        <v>71666806</v>
      </c>
      <c r="E25" s="291">
        <f>D25/'- 43 -'!$I25*100</f>
        <v>37.969383180728322</v>
      </c>
      <c r="F25" s="417">
        <v>558891</v>
      </c>
      <c r="G25" s="291">
        <f>F25/'- 43 -'!$I25*100</f>
        <v>0.29610286434783256</v>
      </c>
      <c r="H25" s="417">
        <v>46200</v>
      </c>
      <c r="I25" s="291">
        <f>H25/'- 43 -'!$I25*100</f>
        <v>2.4476959430139087E-2</v>
      </c>
    </row>
    <row r="26" spans="1:9" ht="14.1" customHeight="1" x14ac:dyDescent="0.2">
      <c r="A26" s="19" t="s">
        <v>124</v>
      </c>
      <c r="B26" s="418">
        <v>4936</v>
      </c>
      <c r="C26" s="70">
        <f>B26/'- 43 -'!$I26*100</f>
        <v>1.1721431071799251E-2</v>
      </c>
      <c r="D26" s="418">
        <v>12779448</v>
      </c>
      <c r="E26" s="70">
        <f>D26/'- 43 -'!$I26*100</f>
        <v>30.347126999117258</v>
      </c>
      <c r="F26" s="418">
        <v>487550</v>
      </c>
      <c r="G26" s="70">
        <f>F26/'- 43 -'!$I26*100</f>
        <v>1.1577762801976752</v>
      </c>
      <c r="H26" s="418">
        <v>761052</v>
      </c>
      <c r="I26" s="70">
        <f>H26/'- 43 -'!$I26*100</f>
        <v>1.807256596445495</v>
      </c>
    </row>
    <row r="27" spans="1:9" ht="14.1" customHeight="1" x14ac:dyDescent="0.2">
      <c r="A27" s="284" t="s">
        <v>125</v>
      </c>
      <c r="B27" s="417">
        <v>30000</v>
      </c>
      <c r="C27" s="291">
        <f>B27/'- 43 -'!$I27*100</f>
        <v>7.0757181800884902E-2</v>
      </c>
      <c r="D27" s="417">
        <v>7518832</v>
      </c>
      <c r="E27" s="291">
        <f>D27/'- 43 -'!$I27*100</f>
        <v>17.733712091810368</v>
      </c>
      <c r="F27" s="417">
        <v>152520</v>
      </c>
      <c r="G27" s="291">
        <f>F27/'- 43 -'!$I27*100</f>
        <v>0.35972951227569883</v>
      </c>
      <c r="H27" s="417">
        <v>346468</v>
      </c>
      <c r="I27" s="291">
        <f>H27/'- 43 -'!$I27*100</f>
        <v>0.81716997547296633</v>
      </c>
    </row>
    <row r="28" spans="1:9" ht="14.1" customHeight="1" x14ac:dyDescent="0.2">
      <c r="A28" s="19" t="s">
        <v>126</v>
      </c>
      <c r="B28" s="418">
        <v>0</v>
      </c>
      <c r="C28" s="70">
        <f>B28/'- 43 -'!$I28*100</f>
        <v>0</v>
      </c>
      <c r="D28" s="418">
        <v>7828103</v>
      </c>
      <c r="E28" s="70">
        <f>D28/'- 43 -'!$I28*100</f>
        <v>26.958945592618221</v>
      </c>
      <c r="F28" s="418">
        <v>15975</v>
      </c>
      <c r="G28" s="70">
        <f>F28/'- 43 -'!$I28*100</f>
        <v>5.5015775321565916E-2</v>
      </c>
      <c r="H28" s="418">
        <v>7386325</v>
      </c>
      <c r="I28" s="70">
        <f>H28/'- 43 -'!$I28*100</f>
        <v>25.437520917187189</v>
      </c>
    </row>
    <row r="29" spans="1:9" ht="14.1" customHeight="1" x14ac:dyDescent="0.2">
      <c r="A29" s="284" t="s">
        <v>127</v>
      </c>
      <c r="B29" s="417">
        <v>0</v>
      </c>
      <c r="C29" s="291">
        <f>B29/'- 43 -'!$I29*100</f>
        <v>0</v>
      </c>
      <c r="D29" s="417">
        <v>81074089</v>
      </c>
      <c r="E29" s="291">
        <f>D29/'- 43 -'!$I29*100</f>
        <v>47.617211486907557</v>
      </c>
      <c r="F29" s="417">
        <v>594039</v>
      </c>
      <c r="G29" s="291">
        <f>F29/'- 43 -'!$I29*100</f>
        <v>0.34889668256982914</v>
      </c>
      <c r="H29" s="417">
        <v>6719</v>
      </c>
      <c r="I29" s="291">
        <f>H29/'- 43 -'!$I29*100</f>
        <v>3.9462675181034948E-3</v>
      </c>
    </row>
    <row r="30" spans="1:9" ht="14.1" customHeight="1" x14ac:dyDescent="0.2">
      <c r="A30" s="19" t="s">
        <v>128</v>
      </c>
      <c r="B30" s="418">
        <v>0</v>
      </c>
      <c r="C30" s="70">
        <f>B30/'- 43 -'!$I30*100</f>
        <v>0</v>
      </c>
      <c r="D30" s="418">
        <v>6302854</v>
      </c>
      <c r="E30" s="70">
        <f>D30/'- 43 -'!$I30*100</f>
        <v>40.578694037542888</v>
      </c>
      <c r="F30" s="418">
        <v>29900</v>
      </c>
      <c r="G30" s="70">
        <f>F30/'- 43 -'!$I30*100</f>
        <v>0.19250056430349369</v>
      </c>
      <c r="H30" s="418">
        <v>0</v>
      </c>
      <c r="I30" s="70">
        <f>H30/'- 43 -'!$I30*100</f>
        <v>0</v>
      </c>
    </row>
    <row r="31" spans="1:9" ht="14.1" customHeight="1" x14ac:dyDescent="0.2">
      <c r="A31" s="284" t="s">
        <v>129</v>
      </c>
      <c r="B31" s="417">
        <v>0</v>
      </c>
      <c r="C31" s="291">
        <f>B31/'- 43 -'!$I31*100</f>
        <v>0</v>
      </c>
      <c r="D31" s="417">
        <v>14777661</v>
      </c>
      <c r="E31" s="291">
        <f>D31/'- 43 -'!$I31*100</f>
        <v>35.965814898848386</v>
      </c>
      <c r="F31" s="417">
        <v>144511</v>
      </c>
      <c r="G31" s="291">
        <f>F31/'- 43 -'!$I31*100</f>
        <v>0.35171031984340956</v>
      </c>
      <c r="H31" s="417">
        <v>2241170</v>
      </c>
      <c r="I31" s="291">
        <f>H31/'- 43 -'!$I31*100</f>
        <v>5.4545509859004104</v>
      </c>
    </row>
    <row r="32" spans="1:9" ht="14.1" customHeight="1" x14ac:dyDescent="0.2">
      <c r="A32" s="19" t="s">
        <v>130</v>
      </c>
      <c r="B32" s="418">
        <v>0</v>
      </c>
      <c r="C32" s="70">
        <f>B32/'- 43 -'!$I32*100</f>
        <v>0</v>
      </c>
      <c r="D32" s="418">
        <v>13839434</v>
      </c>
      <c r="E32" s="70">
        <f>D32/'- 43 -'!$I32*100</f>
        <v>44.161003307551908</v>
      </c>
      <c r="F32" s="418">
        <v>88600</v>
      </c>
      <c r="G32" s="70">
        <f>F32/'- 43 -'!$I32*100</f>
        <v>0.28271856298813225</v>
      </c>
      <c r="H32" s="418">
        <v>0</v>
      </c>
      <c r="I32" s="70">
        <f>H32/'- 43 -'!$I32*100</f>
        <v>0</v>
      </c>
    </row>
    <row r="33" spans="1:9" ht="14.1" customHeight="1" x14ac:dyDescent="0.2">
      <c r="A33" s="284" t="s">
        <v>131</v>
      </c>
      <c r="B33" s="417">
        <v>34680</v>
      </c>
      <c r="C33" s="291">
        <f>B33/'- 43 -'!$I33*100</f>
        <v>0.11938813374899773</v>
      </c>
      <c r="D33" s="417">
        <v>11159523</v>
      </c>
      <c r="E33" s="291">
        <f>D33/'- 43 -'!$I33*100</f>
        <v>38.417376715657916</v>
      </c>
      <c r="F33" s="417">
        <v>46150</v>
      </c>
      <c r="G33" s="291">
        <f>F33/'- 43 -'!$I33*100</f>
        <v>0.15887434753507054</v>
      </c>
      <c r="H33" s="417">
        <v>236419</v>
      </c>
      <c r="I33" s="291">
        <f>H33/'- 43 -'!$I33*100</f>
        <v>0.81388763531730968</v>
      </c>
    </row>
    <row r="34" spans="1:9" ht="14.1" customHeight="1" x14ac:dyDescent="0.2">
      <c r="A34" s="19" t="s">
        <v>132</v>
      </c>
      <c r="B34" s="418">
        <v>21335</v>
      </c>
      <c r="C34" s="70">
        <f>B34/'- 43 -'!$I34*100</f>
        <v>6.6127675230203187E-2</v>
      </c>
      <c r="D34" s="418">
        <v>14527697</v>
      </c>
      <c r="E34" s="70">
        <f>D34/'- 43 -'!$I34*100</f>
        <v>45.028489761368512</v>
      </c>
      <c r="F34" s="418">
        <v>1261457</v>
      </c>
      <c r="G34" s="70">
        <f>F34/'- 43 -'!$I34*100</f>
        <v>3.9098766727380561</v>
      </c>
      <c r="H34" s="418">
        <v>0</v>
      </c>
      <c r="I34" s="70">
        <f>H34/'- 43 -'!$I34*100</f>
        <v>0</v>
      </c>
    </row>
    <row r="35" spans="1:9" ht="14.1" customHeight="1" x14ac:dyDescent="0.2">
      <c r="A35" s="284" t="s">
        <v>133</v>
      </c>
      <c r="B35" s="417">
        <v>517004</v>
      </c>
      <c r="C35" s="291">
        <f>B35/'- 43 -'!$I35*100</f>
        <v>0.2668225861889249</v>
      </c>
      <c r="D35" s="417">
        <v>65039054</v>
      </c>
      <c r="E35" s="291">
        <f>D35/'- 43 -'!$I35*100</f>
        <v>33.566255950749209</v>
      </c>
      <c r="F35" s="417">
        <v>708089</v>
      </c>
      <c r="G35" s="291">
        <f>F35/'- 43 -'!$I35*100</f>
        <v>0.36544038002013457</v>
      </c>
      <c r="H35" s="417">
        <v>193600</v>
      </c>
      <c r="I35" s="291">
        <f>H35/'- 43 -'!$I35*100</f>
        <v>9.9915769870592613E-2</v>
      </c>
    </row>
    <row r="36" spans="1:9" ht="14.1" customHeight="1" x14ac:dyDescent="0.2">
      <c r="A36" s="19" t="s">
        <v>134</v>
      </c>
      <c r="B36" s="418">
        <v>46675</v>
      </c>
      <c r="C36" s="70">
        <f>B36/'- 43 -'!$I36*100</f>
        <v>0.18661301594100957</v>
      </c>
      <c r="D36" s="418">
        <v>9535745</v>
      </c>
      <c r="E36" s="70">
        <f>D36/'- 43 -'!$I36*100</f>
        <v>38.125209077544774</v>
      </c>
      <c r="F36" s="418">
        <v>65929</v>
      </c>
      <c r="G36" s="70">
        <f>F36/'- 43 -'!$I36*100</f>
        <v>0.26359313396839468</v>
      </c>
      <c r="H36" s="418">
        <v>1268713</v>
      </c>
      <c r="I36" s="70">
        <f>H36/'- 43 -'!$I36*100</f>
        <v>5.0724876120742595</v>
      </c>
    </row>
    <row r="37" spans="1:9" ht="14.1" customHeight="1" x14ac:dyDescent="0.2">
      <c r="A37" s="284" t="s">
        <v>135</v>
      </c>
      <c r="B37" s="417">
        <v>20283</v>
      </c>
      <c r="C37" s="291">
        <f>B37/'- 43 -'!$I37*100</f>
        <v>3.7656838280765104E-2</v>
      </c>
      <c r="D37" s="417">
        <v>16176201</v>
      </c>
      <c r="E37" s="291">
        <f>D37/'- 43 -'!$I37*100</f>
        <v>30.032272595481473</v>
      </c>
      <c r="F37" s="417">
        <v>300120</v>
      </c>
      <c r="G37" s="291">
        <f>F37/'- 43 -'!$I37*100</f>
        <v>0.55719421706962591</v>
      </c>
      <c r="H37" s="417">
        <v>20687</v>
      </c>
      <c r="I37" s="291">
        <f>H37/'- 43 -'!$I37*100</f>
        <v>3.8406893137809379E-2</v>
      </c>
    </row>
    <row r="38" spans="1:9" ht="14.1" customHeight="1" x14ac:dyDescent="0.2">
      <c r="A38" s="19" t="s">
        <v>136</v>
      </c>
      <c r="B38" s="418">
        <v>1128999</v>
      </c>
      <c r="C38" s="70">
        <f>B38/'- 43 -'!$I38*100</f>
        <v>0.77546420296777629</v>
      </c>
      <c r="D38" s="418">
        <v>43265525</v>
      </c>
      <c r="E38" s="70">
        <f>D38/'- 43 -'!$I38*100</f>
        <v>29.717356578798913</v>
      </c>
      <c r="F38" s="418">
        <v>1333487</v>
      </c>
      <c r="G38" s="70">
        <f>F38/'- 43 -'!$I38*100</f>
        <v>0.91591882156041859</v>
      </c>
      <c r="H38" s="418">
        <v>675400</v>
      </c>
      <c r="I38" s="70">
        <f>H38/'- 43 -'!$I38*100</f>
        <v>0.46390521398551826</v>
      </c>
    </row>
    <row r="39" spans="1:9" ht="14.1" customHeight="1" x14ac:dyDescent="0.2">
      <c r="A39" s="284" t="s">
        <v>137</v>
      </c>
      <c r="B39" s="417">
        <v>0</v>
      </c>
      <c r="C39" s="291">
        <f>B39/'- 43 -'!$I39*100</f>
        <v>0</v>
      </c>
      <c r="D39" s="417">
        <v>11199706</v>
      </c>
      <c r="E39" s="291">
        <f>D39/'- 43 -'!$I39*100</f>
        <v>47.550149848466006</v>
      </c>
      <c r="F39" s="417">
        <v>110500</v>
      </c>
      <c r="G39" s="291">
        <f>F39/'- 43 -'!$I39*100</f>
        <v>0.46914548991335076</v>
      </c>
      <c r="H39" s="417">
        <v>0</v>
      </c>
      <c r="I39" s="291">
        <f>H39/'- 43 -'!$I39*100</f>
        <v>0</v>
      </c>
    </row>
    <row r="40" spans="1:9" ht="14.1" customHeight="1" x14ac:dyDescent="0.2">
      <c r="A40" s="19" t="s">
        <v>138</v>
      </c>
      <c r="B40" s="418">
        <v>9680</v>
      </c>
      <c r="C40" s="70">
        <f>B40/'- 43 -'!$I40*100</f>
        <v>8.8481368406043703E-3</v>
      </c>
      <c r="D40" s="418">
        <v>47850609</v>
      </c>
      <c r="E40" s="70">
        <f>D40/'- 43 -'!$I40*100</f>
        <v>43.738505820067672</v>
      </c>
      <c r="F40" s="418">
        <v>562424</v>
      </c>
      <c r="G40" s="70">
        <f>F40/'- 43 -'!$I40*100</f>
        <v>0.51409137545868522</v>
      </c>
      <c r="H40" s="418">
        <v>144527</v>
      </c>
      <c r="I40" s="70">
        <f>H40/'- 43 -'!$I40*100</f>
        <v>0.13210688772335</v>
      </c>
    </row>
    <row r="41" spans="1:9" ht="14.1" customHeight="1" x14ac:dyDescent="0.2">
      <c r="A41" s="284" t="s">
        <v>139</v>
      </c>
      <c r="B41" s="417">
        <v>51323</v>
      </c>
      <c r="C41" s="291">
        <f>B41/'- 43 -'!$I41*100</f>
        <v>7.6156505528851309E-2</v>
      </c>
      <c r="D41" s="417">
        <v>28202388</v>
      </c>
      <c r="E41" s="291">
        <f>D41/'- 43 -'!$I41*100</f>
        <v>41.848592592966305</v>
      </c>
      <c r="F41" s="417">
        <v>136726</v>
      </c>
      <c r="G41" s="291">
        <f>F41/'- 43 -'!$I41*100</f>
        <v>0.20288319807762065</v>
      </c>
      <c r="H41" s="417">
        <v>433062</v>
      </c>
      <c r="I41" s="291">
        <f>H41/'- 43 -'!$I41*100</f>
        <v>0.64260640643250411</v>
      </c>
    </row>
    <row r="42" spans="1:9" ht="14.1" customHeight="1" x14ac:dyDescent="0.2">
      <c r="A42" s="19" t="s">
        <v>140</v>
      </c>
      <c r="B42" s="418">
        <v>0</v>
      </c>
      <c r="C42" s="70">
        <f>B42/'- 43 -'!$I42*100</f>
        <v>0</v>
      </c>
      <c r="D42" s="418">
        <v>6175420</v>
      </c>
      <c r="E42" s="70">
        <f>D42/'- 43 -'!$I42*100</f>
        <v>28.372079453878062</v>
      </c>
      <c r="F42" s="418">
        <v>25062</v>
      </c>
      <c r="G42" s="70">
        <f>F42/'- 43 -'!$I42*100</f>
        <v>0.11514375625837464</v>
      </c>
      <c r="H42" s="418">
        <v>295465</v>
      </c>
      <c r="I42" s="70">
        <f>H42/'- 43 -'!$I42*100</f>
        <v>1.3574714684734126</v>
      </c>
    </row>
    <row r="43" spans="1:9" ht="14.1" customHeight="1" x14ac:dyDescent="0.2">
      <c r="A43" s="284" t="s">
        <v>141</v>
      </c>
      <c r="B43" s="417">
        <v>343</v>
      </c>
      <c r="C43" s="291">
        <f>B43/'- 43 -'!$I43*100</f>
        <v>2.4892459856191251E-3</v>
      </c>
      <c r="D43" s="417">
        <v>5879979</v>
      </c>
      <c r="E43" s="291">
        <f>D43/'- 43 -'!$I43*100</f>
        <v>42.672635922083842</v>
      </c>
      <c r="F43" s="417">
        <v>37700</v>
      </c>
      <c r="G43" s="291">
        <f>F43/'- 43 -'!$I43*100</f>
        <v>0.27359934011032372</v>
      </c>
      <c r="H43" s="417">
        <v>0</v>
      </c>
      <c r="I43" s="291">
        <f>H43/'- 43 -'!$I43*100</f>
        <v>0</v>
      </c>
    </row>
    <row r="44" spans="1:9" ht="14.1" customHeight="1" x14ac:dyDescent="0.2">
      <c r="A44" s="19" t="s">
        <v>142</v>
      </c>
      <c r="B44" s="418">
        <v>21554</v>
      </c>
      <c r="C44" s="70">
        <f>B44/'- 43 -'!$I44*100</f>
        <v>0.18682308701358519</v>
      </c>
      <c r="D44" s="418">
        <v>2610381</v>
      </c>
      <c r="E44" s="70">
        <f>D44/'- 43 -'!$I44*100</f>
        <v>22.625936564053518</v>
      </c>
      <c r="F44" s="418">
        <v>50700</v>
      </c>
      <c r="G44" s="70">
        <f>F44/'- 43 -'!$I44*100</f>
        <v>0.43945116969419923</v>
      </c>
      <c r="H44" s="418">
        <v>0</v>
      </c>
      <c r="I44" s="70">
        <f>H44/'- 43 -'!$I44*100</f>
        <v>0</v>
      </c>
    </row>
    <row r="45" spans="1:9" ht="14.1" customHeight="1" x14ac:dyDescent="0.2">
      <c r="A45" s="284" t="s">
        <v>143</v>
      </c>
      <c r="B45" s="417">
        <v>7736</v>
      </c>
      <c r="C45" s="291">
        <f>B45/'- 43 -'!$I45*100</f>
        <v>3.7336792102554167E-2</v>
      </c>
      <c r="D45" s="417">
        <v>7030852</v>
      </c>
      <c r="E45" s="291">
        <f>D45/'- 43 -'!$I45*100</f>
        <v>33.933487516523684</v>
      </c>
      <c r="F45" s="417">
        <v>57200</v>
      </c>
      <c r="G45" s="291">
        <f>F45/'- 43 -'!$I45*100</f>
        <v>0.27606831802819265</v>
      </c>
      <c r="H45" s="417">
        <v>0</v>
      </c>
      <c r="I45" s="291">
        <f>H45/'- 43 -'!$I45*100</f>
        <v>0</v>
      </c>
    </row>
    <row r="46" spans="1:9" ht="14.1" customHeight="1" x14ac:dyDescent="0.2">
      <c r="A46" s="19" t="s">
        <v>144</v>
      </c>
      <c r="B46" s="418">
        <v>4253313</v>
      </c>
      <c r="C46" s="70">
        <f>B46/'- 43 -'!$I46*100</f>
        <v>1.0455633908669795</v>
      </c>
      <c r="D46" s="418">
        <v>150842613</v>
      </c>
      <c r="E46" s="70">
        <f>D46/'- 43 -'!$I46*100</f>
        <v>37.080627251160571</v>
      </c>
      <c r="F46" s="418">
        <v>2588328</v>
      </c>
      <c r="G46" s="70">
        <f>F46/'- 43 -'!$I46*100</f>
        <v>0.63627130200762261</v>
      </c>
      <c r="H46" s="418">
        <v>2048814</v>
      </c>
      <c r="I46" s="70">
        <f>H46/'- 43 -'!$I46*100</f>
        <v>0.50364619605839955</v>
      </c>
    </row>
    <row r="47" spans="1:9" ht="5.0999999999999996" customHeight="1" x14ac:dyDescent="0.2">
      <c r="A47" s="21"/>
      <c r="B47" s="22"/>
      <c r="C47"/>
      <c r="D47" s="22"/>
      <c r="E47"/>
      <c r="F47" s="22"/>
      <c r="G47"/>
      <c r="H47" s="22"/>
      <c r="I47"/>
    </row>
    <row r="48" spans="1:9" ht="14.1" customHeight="1" x14ac:dyDescent="0.2">
      <c r="A48" s="286" t="s">
        <v>145</v>
      </c>
      <c r="B48" s="421">
        <f>SUM(B11:B46)</f>
        <v>7366477</v>
      </c>
      <c r="C48" s="294">
        <f>B48/'- 43 -'!$I48*100</f>
        <v>0.30278736751868124</v>
      </c>
      <c r="D48" s="421">
        <f>SUM(D11:D46)</f>
        <v>828600026</v>
      </c>
      <c r="E48" s="294">
        <f>D48/'- 43 -'!$I48*100</f>
        <v>34.058291446297986</v>
      </c>
      <c r="F48" s="421">
        <f>SUM(F11:F46)</f>
        <v>13558265</v>
      </c>
      <c r="G48" s="294">
        <f>F48/'- 43 -'!$I48*100</f>
        <v>0.55729100456984693</v>
      </c>
      <c r="H48" s="421">
        <f>SUM(H11:H46)</f>
        <v>98859665</v>
      </c>
      <c r="I48" s="294">
        <f>H48/'- 43 -'!$I48*100</f>
        <v>4.0634699217996211</v>
      </c>
    </row>
    <row r="49" spans="1:9" ht="5.0999999999999996" customHeight="1" x14ac:dyDescent="0.2">
      <c r="A49" s="21" t="s">
        <v>7</v>
      </c>
      <c r="B49" s="22"/>
      <c r="C49"/>
      <c r="D49" s="22"/>
      <c r="E49"/>
      <c r="F49" s="22"/>
      <c r="G49"/>
      <c r="H49" s="22"/>
      <c r="I49"/>
    </row>
    <row r="50" spans="1:9" ht="14.1" customHeight="1" x14ac:dyDescent="0.2">
      <c r="A50" s="19" t="s">
        <v>146</v>
      </c>
      <c r="B50" s="418">
        <v>0</v>
      </c>
      <c r="C50" s="70">
        <f>B50/'- 43 -'!$I50*100</f>
        <v>0</v>
      </c>
      <c r="D50" s="418">
        <v>1959037</v>
      </c>
      <c r="E50" s="70">
        <f>D50/'- 43 -'!$I50*100</f>
        <v>56.016770972937749</v>
      </c>
      <c r="F50" s="418">
        <v>32500</v>
      </c>
      <c r="G50" s="70">
        <f>F50/'- 43 -'!$I50*100</f>
        <v>0.92930611143152309</v>
      </c>
      <c r="H50" s="418">
        <v>0</v>
      </c>
      <c r="I50" s="70">
        <f>H50/'- 43 -'!$I50*100</f>
        <v>0</v>
      </c>
    </row>
    <row r="51" spans="1:9" ht="14.1" customHeight="1" x14ac:dyDescent="0.2">
      <c r="A51" s="284" t="s">
        <v>607</v>
      </c>
      <c r="B51" s="417">
        <v>2654725</v>
      </c>
      <c r="C51" s="291">
        <f>B51/'- 43 -'!$I51*100</f>
        <v>8.3066231828044419</v>
      </c>
      <c r="D51" s="417">
        <v>0</v>
      </c>
      <c r="E51" s="291">
        <f>D51/'- 43 -'!$I51*100</f>
        <v>0</v>
      </c>
      <c r="F51" s="417">
        <v>1782410</v>
      </c>
      <c r="G51" s="291">
        <f>F51/'- 43 -'!$I51*100</f>
        <v>5.577153274731832</v>
      </c>
      <c r="H51" s="417">
        <v>0</v>
      </c>
      <c r="I51" s="291">
        <f>H51/'- 43 -'!$I51*100</f>
        <v>0</v>
      </c>
    </row>
    <row r="52" spans="1:9" ht="50.1" customHeight="1" x14ac:dyDescent="0.2">
      <c r="A52" s="23"/>
      <c r="B52" s="23"/>
      <c r="C52" s="23"/>
      <c r="D52" s="23"/>
      <c r="E52" s="23"/>
      <c r="F52" s="23"/>
      <c r="G52" s="23"/>
      <c r="H52" s="23"/>
      <c r="I52" s="23"/>
    </row>
    <row r="53" spans="1:9" ht="15" customHeight="1" x14ac:dyDescent="0.2">
      <c r="A53" s="725" t="str">
        <f>"(1)  Municipal Government revenue is net of  "&amp;TEXT('- 41 -'!C48,"$0,000,000")&amp; " in Education Property Tax Credit (EPTC) revenue paid directly to school divisions. See
       page 41 for EPTC revenue."</f>
        <v>(1)  Municipal Government revenue is net of  $209,435,861 in Education Property Tax Credit (EPTC) revenue paid directly to school divisions. See
       page 41 for EPTC revenue.</v>
      </c>
      <c r="B53" s="725"/>
      <c r="C53" s="725"/>
      <c r="D53" s="725"/>
      <c r="E53" s="725"/>
      <c r="F53" s="725"/>
      <c r="G53" s="725"/>
      <c r="H53" s="725"/>
      <c r="I53" s="725"/>
    </row>
    <row r="54" spans="1:9" x14ac:dyDescent="0.2">
      <c r="A54" s="726"/>
      <c r="B54" s="726"/>
      <c r="C54" s="726"/>
      <c r="D54" s="726"/>
      <c r="E54" s="726"/>
      <c r="F54" s="726"/>
      <c r="G54" s="726"/>
      <c r="H54" s="726"/>
      <c r="I54" s="726"/>
    </row>
  </sheetData>
  <mergeCells count="5">
    <mergeCell ref="A53:I54"/>
    <mergeCell ref="B7:C8"/>
    <mergeCell ref="D7:E8"/>
    <mergeCell ref="F7:G8"/>
    <mergeCell ref="H8:I8"/>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I52"/>
  <sheetViews>
    <sheetView showGridLines="0" showZeros="0" workbookViewId="0"/>
  </sheetViews>
  <sheetFormatPr defaultColWidth="15.83203125" defaultRowHeight="12" x14ac:dyDescent="0.2"/>
  <cols>
    <col min="1" max="1" width="35.83203125" style="2" customWidth="1"/>
    <col min="2" max="2" width="15.83203125" style="2"/>
    <col min="3" max="3" width="8.83203125" style="2" customWidth="1"/>
    <col min="4" max="4" width="13.83203125" style="2" customWidth="1"/>
    <col min="5" max="5" width="8.83203125" style="2" customWidth="1"/>
    <col min="6" max="6" width="15.83203125" style="2"/>
    <col min="7" max="7" width="8.83203125" style="2" customWidth="1"/>
    <col min="8" max="8" width="4.83203125" style="2" customWidth="1"/>
    <col min="9" max="9" width="19.83203125" style="2" customWidth="1"/>
    <col min="10" max="16384" width="15.83203125" style="2"/>
  </cols>
  <sheetData>
    <row r="1" spans="1:9" ht="6.95" customHeight="1" x14ac:dyDescent="0.2">
      <c r="A1" s="7"/>
    </row>
    <row r="2" spans="1:9" ht="15.95" customHeight="1" x14ac:dyDescent="0.2">
      <c r="A2" s="213"/>
      <c r="B2" s="204" t="str">
        <f>REVYEAR</f>
        <v>ANALYSIS OF OPERATING FUND REVENUE: 2017/2018 ACTUAL</v>
      </c>
      <c r="C2" s="41"/>
      <c r="D2" s="41"/>
      <c r="E2" s="41"/>
      <c r="F2" s="41"/>
      <c r="G2" s="214"/>
      <c r="H2" s="42"/>
      <c r="I2" s="215" t="s">
        <v>9</v>
      </c>
    </row>
    <row r="3" spans="1:9" ht="15.95" customHeight="1" x14ac:dyDescent="0.2">
      <c r="A3" s="537"/>
    </row>
    <row r="4" spans="1:9" ht="15.95" customHeight="1" x14ac:dyDescent="0.2">
      <c r="B4" s="43"/>
      <c r="C4" s="8"/>
      <c r="D4" s="8"/>
      <c r="E4" s="8"/>
      <c r="F4" s="8"/>
      <c r="G4" s="8"/>
      <c r="H4" s="8"/>
      <c r="I4" s="8"/>
    </row>
    <row r="5" spans="1:9" ht="15.95" customHeight="1" x14ac:dyDescent="0.2">
      <c r="B5" s="8"/>
      <c r="C5" s="8"/>
      <c r="D5" s="8"/>
      <c r="E5" s="8"/>
      <c r="F5" s="8"/>
      <c r="G5" s="8"/>
      <c r="H5" s="8"/>
      <c r="I5" s="8"/>
    </row>
    <row r="6" spans="1:9" ht="15.95" customHeight="1" x14ac:dyDescent="0.2">
      <c r="B6" s="665" t="s">
        <v>529</v>
      </c>
      <c r="C6" s="666"/>
      <c r="D6" s="311"/>
      <c r="E6" s="311"/>
      <c r="F6" s="638" t="s">
        <v>530</v>
      </c>
      <c r="G6" s="639"/>
      <c r="H6" s="8"/>
      <c r="I6" s="629" t="s">
        <v>531</v>
      </c>
    </row>
    <row r="7" spans="1:9" ht="15.95" customHeight="1" x14ac:dyDescent="0.2">
      <c r="B7" s="679"/>
      <c r="C7" s="680"/>
      <c r="D7" s="373"/>
      <c r="E7" s="373"/>
      <c r="F7" s="683"/>
      <c r="G7" s="682"/>
      <c r="H7" s="8"/>
      <c r="I7" s="727"/>
    </row>
    <row r="8" spans="1:9" ht="15.95" customHeight="1" x14ac:dyDescent="0.2">
      <c r="A8" s="403"/>
      <c r="B8" s="667"/>
      <c r="C8" s="668"/>
      <c r="D8" s="684" t="s">
        <v>24</v>
      </c>
      <c r="E8" s="644"/>
      <c r="F8" s="640"/>
      <c r="G8" s="641"/>
      <c r="H8" s="8"/>
      <c r="I8" s="728"/>
    </row>
    <row r="9" spans="1:9" ht="15.95" customHeight="1" x14ac:dyDescent="0.2">
      <c r="A9" s="35" t="s">
        <v>42</v>
      </c>
      <c r="B9" s="563" t="s">
        <v>62</v>
      </c>
      <c r="C9" s="115" t="s">
        <v>44</v>
      </c>
      <c r="D9" s="216" t="s">
        <v>62</v>
      </c>
      <c r="E9" s="216" t="s">
        <v>44</v>
      </c>
      <c r="F9" s="206" t="s">
        <v>62</v>
      </c>
      <c r="G9" s="216" t="s">
        <v>44</v>
      </c>
      <c r="H9" s="8"/>
      <c r="I9" s="216" t="s">
        <v>62</v>
      </c>
    </row>
    <row r="10" spans="1:9" ht="5.0999999999999996" customHeight="1" x14ac:dyDescent="0.2">
      <c r="A10" s="6"/>
      <c r="B10" s="207"/>
      <c r="C10" s="207"/>
      <c r="D10" s="207"/>
      <c r="E10" s="207"/>
      <c r="F10" s="207"/>
      <c r="G10" s="7"/>
      <c r="H10" s="7"/>
      <c r="I10" s="207"/>
    </row>
    <row r="11" spans="1:9" ht="14.1" customHeight="1" x14ac:dyDescent="0.2">
      <c r="A11" s="284" t="s">
        <v>110</v>
      </c>
      <c r="B11" s="417">
        <v>14358</v>
      </c>
      <c r="C11" s="291">
        <f>B11/I11*100</f>
        <v>7.119343814473808E-2</v>
      </c>
      <c r="D11" s="417">
        <v>93270</v>
      </c>
      <c r="E11" s="291">
        <f>D11/I11*100</f>
        <v>0.46247471623901104</v>
      </c>
      <c r="F11" s="285">
        <f>SUM('- 42 -'!$B11,'- 42 -'!$D11,'- 42 -'!$F11,'- 42 -'!$H11,B11,D11)</f>
        <v>7241174</v>
      </c>
      <c r="G11" s="291">
        <f>F11/I11*100</f>
        <v>35.905005799156257</v>
      </c>
      <c r="I11" s="285">
        <f>SUM('- 41 -'!$H11,F11)</f>
        <v>20167589</v>
      </c>
    </row>
    <row r="12" spans="1:9" ht="14.1" customHeight="1" x14ac:dyDescent="0.2">
      <c r="A12" s="19" t="s">
        <v>111</v>
      </c>
      <c r="B12" s="418">
        <v>151337</v>
      </c>
      <c r="C12" s="70">
        <f t="shared" ref="C12:C46" si="0">B12/I12*100</f>
        <v>0.41787407719486119</v>
      </c>
      <c r="D12" s="418">
        <v>624346</v>
      </c>
      <c r="E12" s="70">
        <f t="shared" ref="E12:E46" si="1">D12/I12*100</f>
        <v>1.7239538817361442</v>
      </c>
      <c r="F12" s="20">
        <f>SUM('- 42 -'!$B12,'- 42 -'!$D12,'- 42 -'!$F12,'- 42 -'!$H12,B12,D12)</f>
        <v>14405909</v>
      </c>
      <c r="G12" s="70">
        <f t="shared" ref="G12:G46" si="2">F12/I12*100</f>
        <v>39.777819895518917</v>
      </c>
      <c r="I12" s="20">
        <f>SUM('- 41 -'!$H12,F12)</f>
        <v>36215934</v>
      </c>
    </row>
    <row r="13" spans="1:9" ht="14.1" customHeight="1" x14ac:dyDescent="0.2">
      <c r="A13" s="284" t="s">
        <v>112</v>
      </c>
      <c r="B13" s="417">
        <v>932137</v>
      </c>
      <c r="C13" s="291">
        <f t="shared" si="0"/>
        <v>0.91437912644288188</v>
      </c>
      <c r="D13" s="417">
        <v>187486</v>
      </c>
      <c r="E13" s="291">
        <f t="shared" si="1"/>
        <v>0.18391425820482415</v>
      </c>
      <c r="F13" s="285">
        <f>SUM('- 42 -'!$B13,'- 42 -'!$D13,'- 42 -'!$F13,'- 42 -'!$H13,B13,D13)</f>
        <v>40734336</v>
      </c>
      <c r="G13" s="291">
        <f t="shared" si="2"/>
        <v>39.958317895235183</v>
      </c>
      <c r="I13" s="285">
        <f>SUM('- 41 -'!$H13,F13)</f>
        <v>101942069</v>
      </c>
    </row>
    <row r="14" spans="1:9" ht="14.1" customHeight="1" x14ac:dyDescent="0.2">
      <c r="A14" s="19" t="s">
        <v>359</v>
      </c>
      <c r="B14" s="418">
        <v>155979</v>
      </c>
      <c r="C14" s="70">
        <f t="shared" si="0"/>
        <v>0.17107259850830933</v>
      </c>
      <c r="D14" s="418">
        <v>195112</v>
      </c>
      <c r="E14" s="70">
        <f t="shared" si="1"/>
        <v>0.2139923761541826</v>
      </c>
      <c r="F14" s="20">
        <f>SUM('- 42 -'!$B14,'- 42 -'!$D14,'- 42 -'!$F14,'- 42 -'!$H14,B14,D14)</f>
        <v>26778981</v>
      </c>
      <c r="G14" s="70">
        <f t="shared" si="2"/>
        <v>29.370298983033894</v>
      </c>
      <c r="I14" s="20">
        <f>SUM('- 41 -'!$H14,F14)</f>
        <v>91177080</v>
      </c>
    </row>
    <row r="15" spans="1:9" ht="14.1" customHeight="1" x14ac:dyDescent="0.2">
      <c r="A15" s="284" t="s">
        <v>113</v>
      </c>
      <c r="B15" s="417">
        <v>113735</v>
      </c>
      <c r="C15" s="291">
        <f t="shared" si="0"/>
        <v>0.53023972513968942</v>
      </c>
      <c r="D15" s="417">
        <v>50984</v>
      </c>
      <c r="E15" s="291">
        <f t="shared" si="1"/>
        <v>0.23769061543519515</v>
      </c>
      <c r="F15" s="285">
        <f>SUM('- 42 -'!$B15,'- 42 -'!$D15,'- 42 -'!$F15,'- 42 -'!$H15,B15,D15)</f>
        <v>8436409</v>
      </c>
      <c r="G15" s="291">
        <f t="shared" si="2"/>
        <v>39.331069497744778</v>
      </c>
      <c r="I15" s="285">
        <f>SUM('- 41 -'!$H15,F15)</f>
        <v>21449732</v>
      </c>
    </row>
    <row r="16" spans="1:9" ht="14.1" customHeight="1" x14ac:dyDescent="0.2">
      <c r="A16" s="19" t="s">
        <v>114</v>
      </c>
      <c r="B16" s="418">
        <v>244980</v>
      </c>
      <c r="C16" s="70">
        <f t="shared" si="0"/>
        <v>1.6382619016236368</v>
      </c>
      <c r="D16" s="418">
        <v>67450</v>
      </c>
      <c r="E16" s="70">
        <f t="shared" si="1"/>
        <v>0.45106035294519675</v>
      </c>
      <c r="F16" s="20">
        <f>SUM('- 42 -'!$B16,'- 42 -'!$D16,'- 42 -'!$F16,'- 42 -'!$H16,B16,D16)</f>
        <v>4019084</v>
      </c>
      <c r="G16" s="70">
        <f t="shared" si="2"/>
        <v>26.876937695424658</v>
      </c>
      <c r="I16" s="20">
        <f>SUM('- 41 -'!$H16,F16)</f>
        <v>14953653</v>
      </c>
    </row>
    <row r="17" spans="1:9" ht="14.1" customHeight="1" x14ac:dyDescent="0.2">
      <c r="A17" s="284" t="s">
        <v>115</v>
      </c>
      <c r="B17" s="417">
        <v>0</v>
      </c>
      <c r="C17" s="291">
        <f t="shared" si="0"/>
        <v>0</v>
      </c>
      <c r="D17" s="417">
        <v>47467</v>
      </c>
      <c r="E17" s="291">
        <f t="shared" si="1"/>
        <v>0.2525335955550001</v>
      </c>
      <c r="F17" s="285">
        <f>SUM('- 42 -'!$B17,'- 42 -'!$D17,'- 42 -'!$F17,'- 42 -'!$H17,B17,D17)</f>
        <v>8705262</v>
      </c>
      <c r="G17" s="291">
        <f t="shared" si="2"/>
        <v>46.313672932949451</v>
      </c>
      <c r="I17" s="285">
        <f>SUM('- 41 -'!$H17,F17)</f>
        <v>18796311</v>
      </c>
    </row>
    <row r="18" spans="1:9" ht="14.1" customHeight="1" x14ac:dyDescent="0.2">
      <c r="A18" s="19" t="s">
        <v>116</v>
      </c>
      <c r="B18" s="418">
        <v>4921226</v>
      </c>
      <c r="C18" s="70">
        <f t="shared" si="0"/>
        <v>3.5411571644918824</v>
      </c>
      <c r="D18" s="418">
        <v>1056171</v>
      </c>
      <c r="E18" s="70">
        <f t="shared" si="1"/>
        <v>0.75998694300537217</v>
      </c>
      <c r="F18" s="20">
        <f>SUM('- 42 -'!$B18,'- 42 -'!$D18,'- 42 -'!$F18,'- 42 -'!$H18,B18,D18)</f>
        <v>88355100</v>
      </c>
      <c r="G18" s="70">
        <f t="shared" si="2"/>
        <v>63.577510031930409</v>
      </c>
      <c r="I18" s="20">
        <f>SUM('- 41 -'!$H18,F18)</f>
        <v>138972256</v>
      </c>
    </row>
    <row r="19" spans="1:9" ht="14.1" customHeight="1" x14ac:dyDescent="0.2">
      <c r="A19" s="284" t="s">
        <v>117</v>
      </c>
      <c r="B19" s="417">
        <v>17300</v>
      </c>
      <c r="C19" s="291">
        <f t="shared" si="0"/>
        <v>3.4285157343009701E-2</v>
      </c>
      <c r="D19" s="417">
        <v>698225</v>
      </c>
      <c r="E19" s="291">
        <f t="shared" si="1"/>
        <v>1.3837430049608641</v>
      </c>
      <c r="F19" s="285">
        <f>SUM('- 42 -'!$B19,'- 42 -'!$D19,'- 42 -'!$F19,'- 42 -'!$H19,B19,D19)</f>
        <v>16878850</v>
      </c>
      <c r="G19" s="291">
        <f t="shared" si="2"/>
        <v>33.450521850812677</v>
      </c>
      <c r="I19" s="285">
        <f>SUM('- 41 -'!$H19,F19)</f>
        <v>50459153</v>
      </c>
    </row>
    <row r="20" spans="1:9" ht="14.1" customHeight="1" x14ac:dyDescent="0.2">
      <c r="A20" s="19" t="s">
        <v>118</v>
      </c>
      <c r="B20" s="418">
        <v>597536</v>
      </c>
      <c r="C20" s="70">
        <f t="shared" si="0"/>
        <v>0.67850577888014729</v>
      </c>
      <c r="D20" s="418">
        <v>204561</v>
      </c>
      <c r="E20" s="70">
        <f t="shared" si="1"/>
        <v>0.23228026534552199</v>
      </c>
      <c r="F20" s="20">
        <f>SUM('- 42 -'!$B20,'- 42 -'!$D20,'- 42 -'!$F20,'- 42 -'!$H20,B20,D20)</f>
        <v>27063309</v>
      </c>
      <c r="G20" s="70">
        <f t="shared" si="2"/>
        <v>30.730552723382527</v>
      </c>
      <c r="I20" s="20">
        <f>SUM('- 41 -'!$H20,F20)</f>
        <v>88066457</v>
      </c>
    </row>
    <row r="21" spans="1:9" ht="14.1" customHeight="1" x14ac:dyDescent="0.2">
      <c r="A21" s="284" t="s">
        <v>119</v>
      </c>
      <c r="B21" s="417">
        <v>180160</v>
      </c>
      <c r="C21" s="291">
        <f t="shared" si="0"/>
        <v>0.47031385278701288</v>
      </c>
      <c r="D21" s="417">
        <v>256976</v>
      </c>
      <c r="E21" s="291">
        <f t="shared" si="1"/>
        <v>0.67084465271866911</v>
      </c>
      <c r="F21" s="285">
        <f>SUM('- 42 -'!$B21,'- 42 -'!$D21,'- 42 -'!$F21,'- 42 -'!$H21,B21,D21)</f>
        <v>16406873</v>
      </c>
      <c r="G21" s="291">
        <f t="shared" si="2"/>
        <v>42.830704111996099</v>
      </c>
      <c r="I21" s="285">
        <f>SUM('- 41 -'!$H21,F21)</f>
        <v>38306335</v>
      </c>
    </row>
    <row r="22" spans="1:9" ht="14.1" customHeight="1" x14ac:dyDescent="0.2">
      <c r="A22" s="19" t="s">
        <v>120</v>
      </c>
      <c r="B22" s="418">
        <v>11200</v>
      </c>
      <c r="C22" s="70">
        <f t="shared" si="0"/>
        <v>5.487886323922686E-2</v>
      </c>
      <c r="D22" s="418">
        <v>181408</v>
      </c>
      <c r="E22" s="70">
        <f t="shared" si="1"/>
        <v>0.8888807877233631</v>
      </c>
      <c r="F22" s="20">
        <f>SUM('- 42 -'!$B22,'- 42 -'!$D22,'- 42 -'!$F22,'- 42 -'!$H22,B22,D22)</f>
        <v>3640158</v>
      </c>
      <c r="G22" s="70">
        <f t="shared" si="2"/>
        <v>17.836404736712282</v>
      </c>
      <c r="I22" s="20">
        <f>SUM('- 41 -'!$H22,F22)</f>
        <v>20408586</v>
      </c>
    </row>
    <row r="23" spans="1:9" ht="14.1" customHeight="1" x14ac:dyDescent="0.2">
      <c r="A23" s="284" t="s">
        <v>121</v>
      </c>
      <c r="B23" s="417">
        <v>131655</v>
      </c>
      <c r="C23" s="291">
        <f t="shared" si="0"/>
        <v>0.77083317842116761</v>
      </c>
      <c r="D23" s="417">
        <v>234232</v>
      </c>
      <c r="E23" s="291">
        <f t="shared" si="1"/>
        <v>1.3714161790129271</v>
      </c>
      <c r="F23" s="285">
        <f>SUM('- 42 -'!$B23,'- 42 -'!$D23,'- 42 -'!$F23,'- 42 -'!$H23,B23,D23)</f>
        <v>5206399</v>
      </c>
      <c r="G23" s="291">
        <f t="shared" si="2"/>
        <v>30.48319539173437</v>
      </c>
      <c r="I23" s="285">
        <f>SUM('- 41 -'!$H23,F23)</f>
        <v>17079571</v>
      </c>
    </row>
    <row r="24" spans="1:9" ht="14.1" customHeight="1" x14ac:dyDescent="0.2">
      <c r="A24" s="19" t="s">
        <v>122</v>
      </c>
      <c r="B24" s="418">
        <v>539685</v>
      </c>
      <c r="C24" s="70">
        <f t="shared" si="0"/>
        <v>0.90108606679692727</v>
      </c>
      <c r="D24" s="418">
        <v>374788</v>
      </c>
      <c r="E24" s="70">
        <f t="shared" si="1"/>
        <v>0.625765483203511</v>
      </c>
      <c r="F24" s="20">
        <f>SUM('- 42 -'!$B24,'- 42 -'!$D24,'- 42 -'!$F24,'- 42 -'!$H24,B24,D24)</f>
        <v>25683453</v>
      </c>
      <c r="G24" s="70">
        <f t="shared" si="2"/>
        <v>42.882425202727042</v>
      </c>
      <c r="I24" s="20">
        <f>SUM('- 41 -'!$H24,F24)</f>
        <v>59892725</v>
      </c>
    </row>
    <row r="25" spans="1:9" ht="14.1" customHeight="1" x14ac:dyDescent="0.2">
      <c r="A25" s="284" t="s">
        <v>123</v>
      </c>
      <c r="B25" s="417">
        <v>6114392</v>
      </c>
      <c r="C25" s="291">
        <f t="shared" si="0"/>
        <v>3.2394312754105412</v>
      </c>
      <c r="D25" s="417">
        <v>399037</v>
      </c>
      <c r="E25" s="291">
        <f t="shared" si="1"/>
        <v>0.21141152511091796</v>
      </c>
      <c r="F25" s="285">
        <f>SUM('- 42 -'!$B25,'- 42 -'!$D25,'- 42 -'!$F25,'- 42 -'!$H25,B25,D25)</f>
        <v>79006966</v>
      </c>
      <c r="G25" s="291">
        <f t="shared" si="2"/>
        <v>41.858231633774416</v>
      </c>
      <c r="I25" s="285">
        <f>SUM('- 41 -'!$H25,F25)</f>
        <v>188748934</v>
      </c>
    </row>
    <row r="26" spans="1:9" ht="14.1" customHeight="1" x14ac:dyDescent="0.2">
      <c r="A26" s="19" t="s">
        <v>124</v>
      </c>
      <c r="B26" s="418">
        <v>660265</v>
      </c>
      <c r="C26" s="70">
        <f t="shared" si="0"/>
        <v>1.5679195070140868</v>
      </c>
      <c r="D26" s="418">
        <v>114508</v>
      </c>
      <c r="E26" s="70">
        <f t="shared" si="1"/>
        <v>0.27192010315429266</v>
      </c>
      <c r="F26" s="20">
        <f>SUM('- 42 -'!$B26,'- 42 -'!$D26,'- 42 -'!$F26,'- 42 -'!$H26,B26,D26)</f>
        <v>14807759</v>
      </c>
      <c r="G26" s="70">
        <f t="shared" si="2"/>
        <v>35.16372091700061</v>
      </c>
      <c r="I26" s="20">
        <f>SUM('- 41 -'!$H26,F26)</f>
        <v>42110899</v>
      </c>
    </row>
    <row r="27" spans="1:9" ht="14.1" customHeight="1" x14ac:dyDescent="0.2">
      <c r="A27" s="284" t="s">
        <v>125</v>
      </c>
      <c r="B27" s="417">
        <v>170553</v>
      </c>
      <c r="C27" s="291">
        <f t="shared" si="0"/>
        <v>0.4022616542562108</v>
      </c>
      <c r="D27" s="417">
        <v>300842</v>
      </c>
      <c r="E27" s="291">
        <f t="shared" si="1"/>
        <v>0.70955773624472718</v>
      </c>
      <c r="F27" s="285">
        <f>SUM('- 42 -'!$B27,'- 42 -'!$D27,'- 42 -'!$F27,'- 42 -'!$H27,B27,D27)</f>
        <v>8519215</v>
      </c>
      <c r="G27" s="291">
        <f t="shared" si="2"/>
        <v>20.093188151860854</v>
      </c>
      <c r="I27" s="285">
        <f>SUM('- 41 -'!$H27,F27)</f>
        <v>42398523</v>
      </c>
    </row>
    <row r="28" spans="1:9" ht="14.1" customHeight="1" x14ac:dyDescent="0.2">
      <c r="A28" s="19" t="s">
        <v>126</v>
      </c>
      <c r="B28" s="418">
        <v>67846</v>
      </c>
      <c r="C28" s="70">
        <f t="shared" si="0"/>
        <v>0.2336526004674154</v>
      </c>
      <c r="D28" s="418">
        <v>5981</v>
      </c>
      <c r="E28" s="70">
        <f t="shared" si="1"/>
        <v>2.0597768525714287E-2</v>
      </c>
      <c r="F28" s="20">
        <f>SUM('- 42 -'!$B28,'- 42 -'!$D28,'- 42 -'!$F28,'- 42 -'!$H28,B28,D28)</f>
        <v>15304230</v>
      </c>
      <c r="G28" s="70">
        <f t="shared" si="2"/>
        <v>52.705732654120105</v>
      </c>
      <c r="I28" s="20">
        <f>SUM('- 41 -'!$H28,F28)</f>
        <v>29037126</v>
      </c>
    </row>
    <row r="29" spans="1:9" ht="14.1" customHeight="1" x14ac:dyDescent="0.2">
      <c r="A29" s="284" t="s">
        <v>127</v>
      </c>
      <c r="B29" s="417">
        <v>3804237</v>
      </c>
      <c r="C29" s="291">
        <f t="shared" si="0"/>
        <v>2.2343409591111008</v>
      </c>
      <c r="D29" s="417">
        <v>758771</v>
      </c>
      <c r="E29" s="291">
        <f t="shared" si="1"/>
        <v>0.44564866066064995</v>
      </c>
      <c r="F29" s="285">
        <f>SUM('- 42 -'!$B29,'- 42 -'!$D29,'- 42 -'!$F29,'- 42 -'!$H29,B29,D29)</f>
        <v>86237855</v>
      </c>
      <c r="G29" s="291">
        <f t="shared" si="2"/>
        <v>50.650044056767243</v>
      </c>
      <c r="I29" s="285">
        <f>SUM('- 41 -'!$H29,F29)</f>
        <v>170262152</v>
      </c>
    </row>
    <row r="30" spans="1:9" ht="14.1" customHeight="1" x14ac:dyDescent="0.2">
      <c r="A30" s="19" t="s">
        <v>128</v>
      </c>
      <c r="B30" s="418">
        <v>0</v>
      </c>
      <c r="C30" s="70">
        <f t="shared" si="0"/>
        <v>0</v>
      </c>
      <c r="D30" s="418">
        <v>33401</v>
      </c>
      <c r="E30" s="70">
        <f t="shared" si="1"/>
        <v>0.21504051332110344</v>
      </c>
      <c r="F30" s="20">
        <f>SUM('- 42 -'!$B30,'- 42 -'!$D30,'- 42 -'!$F30,'- 42 -'!$H30,B30,D30)</f>
        <v>6366155</v>
      </c>
      <c r="G30" s="70">
        <f t="shared" si="2"/>
        <v>40.986235115167489</v>
      </c>
      <c r="I30" s="20">
        <f>SUM('- 41 -'!$H30,F30)</f>
        <v>15532422</v>
      </c>
    </row>
    <row r="31" spans="1:9" ht="14.1" customHeight="1" x14ac:dyDescent="0.2">
      <c r="A31" s="284" t="s">
        <v>129</v>
      </c>
      <c r="B31" s="417">
        <v>52600</v>
      </c>
      <c r="C31" s="291">
        <f t="shared" si="0"/>
        <v>0.12801767909545533</v>
      </c>
      <c r="D31" s="417">
        <v>173605</v>
      </c>
      <c r="E31" s="291">
        <f t="shared" si="1"/>
        <v>0.42251918591951554</v>
      </c>
      <c r="F31" s="285">
        <f>SUM('- 42 -'!$B31,'- 42 -'!$D31,'- 42 -'!$F31,'- 42 -'!$H31,B31,D31)</f>
        <v>17389547</v>
      </c>
      <c r="G31" s="291">
        <f t="shared" si="2"/>
        <v>42.322613069607179</v>
      </c>
      <c r="I31" s="285">
        <f>SUM('- 41 -'!$H31,F31)</f>
        <v>41088075</v>
      </c>
    </row>
    <row r="32" spans="1:9" ht="14.1" customHeight="1" x14ac:dyDescent="0.2">
      <c r="A32" s="19" t="s">
        <v>130</v>
      </c>
      <c r="B32" s="418">
        <v>5475</v>
      </c>
      <c r="C32" s="70">
        <f t="shared" si="0"/>
        <v>1.7470475534537521E-2</v>
      </c>
      <c r="D32" s="418">
        <v>108524</v>
      </c>
      <c r="E32" s="70">
        <f t="shared" si="1"/>
        <v>0.34629513916167121</v>
      </c>
      <c r="F32" s="20">
        <f>SUM('- 42 -'!$B32,'- 42 -'!$D32,'- 42 -'!$F32,'- 42 -'!$H32,B32,D32)</f>
        <v>14042033</v>
      </c>
      <c r="G32" s="70">
        <f t="shared" si="2"/>
        <v>44.807487485236251</v>
      </c>
      <c r="I32" s="20">
        <f>SUM('- 41 -'!$H32,F32)</f>
        <v>31338586</v>
      </c>
    </row>
    <row r="33" spans="1:9" ht="14.1" customHeight="1" x14ac:dyDescent="0.2">
      <c r="A33" s="284" t="s">
        <v>131</v>
      </c>
      <c r="B33" s="417">
        <v>172651</v>
      </c>
      <c r="C33" s="291">
        <f t="shared" si="0"/>
        <v>0.5943621880016785</v>
      </c>
      <c r="D33" s="417">
        <v>109500</v>
      </c>
      <c r="E33" s="291">
        <f t="shared" si="1"/>
        <v>0.37696080292719875</v>
      </c>
      <c r="F33" s="285">
        <f>SUM('- 42 -'!$B33,'- 42 -'!$D33,'- 42 -'!$F33,'- 42 -'!$H33,B33,D33)</f>
        <v>11758923</v>
      </c>
      <c r="G33" s="291">
        <f t="shared" si="2"/>
        <v>40.480849823188173</v>
      </c>
      <c r="I33" s="285">
        <f>SUM('- 41 -'!$H33,F33)</f>
        <v>29048113</v>
      </c>
    </row>
    <row r="34" spans="1:9" ht="14.1" customHeight="1" x14ac:dyDescent="0.2">
      <c r="A34" s="19" t="s">
        <v>132</v>
      </c>
      <c r="B34" s="418">
        <v>138100</v>
      </c>
      <c r="C34" s="70">
        <f t="shared" si="0"/>
        <v>0.42803993200333068</v>
      </c>
      <c r="D34" s="418">
        <v>134837</v>
      </c>
      <c r="E34" s="70">
        <f t="shared" si="1"/>
        <v>0.41792628755635847</v>
      </c>
      <c r="F34" s="20">
        <f>SUM('- 42 -'!$B34,'- 42 -'!$D34,'- 42 -'!$F34,'- 42 -'!$H34,B34,D34)</f>
        <v>16083426</v>
      </c>
      <c r="G34" s="70">
        <f t="shared" si="2"/>
        <v>49.85046032889646</v>
      </c>
      <c r="I34" s="20">
        <f>SUM('- 41 -'!$H34,F34)</f>
        <v>32263345</v>
      </c>
    </row>
    <row r="35" spans="1:9" ht="14.1" customHeight="1" x14ac:dyDescent="0.2">
      <c r="A35" s="284" t="s">
        <v>133</v>
      </c>
      <c r="B35" s="417">
        <v>2164774</v>
      </c>
      <c r="C35" s="291">
        <f t="shared" si="0"/>
        <v>1.1172265537491852</v>
      </c>
      <c r="D35" s="417">
        <v>286278</v>
      </c>
      <c r="E35" s="291">
        <f t="shared" si="1"/>
        <v>0.14774631594531773</v>
      </c>
      <c r="F35" s="285">
        <f>SUM('- 42 -'!$B35,'- 42 -'!$D35,'- 42 -'!$F35,'- 42 -'!$H35,B35,D35)</f>
        <v>68908799</v>
      </c>
      <c r="G35" s="291">
        <f t="shared" si="2"/>
        <v>35.563407556523359</v>
      </c>
      <c r="I35" s="285">
        <f>SUM('- 41 -'!$H35,F35)</f>
        <v>193763207</v>
      </c>
    </row>
    <row r="36" spans="1:9" ht="14.1" customHeight="1" x14ac:dyDescent="0.2">
      <c r="A36" s="19" t="s">
        <v>134</v>
      </c>
      <c r="B36" s="418">
        <v>71786</v>
      </c>
      <c r="C36" s="70">
        <f t="shared" si="0"/>
        <v>0.28701021879681443</v>
      </c>
      <c r="D36" s="418">
        <v>225129</v>
      </c>
      <c r="E36" s="70">
        <f t="shared" si="1"/>
        <v>0.90009644704410385</v>
      </c>
      <c r="F36" s="20">
        <f>SUM('- 42 -'!$B36,'- 42 -'!$D36,'- 42 -'!$F36,'- 42 -'!$H36,B36,D36)</f>
        <v>11213977</v>
      </c>
      <c r="G36" s="70">
        <f t="shared" si="2"/>
        <v>44.835009505369356</v>
      </c>
      <c r="I36" s="20">
        <f>SUM('- 41 -'!$H36,F36)</f>
        <v>25011653</v>
      </c>
    </row>
    <row r="37" spans="1:9" ht="14.1" customHeight="1" x14ac:dyDescent="0.2">
      <c r="A37" s="284" t="s">
        <v>135</v>
      </c>
      <c r="B37" s="417">
        <v>50882</v>
      </c>
      <c r="C37" s="291">
        <f t="shared" si="0"/>
        <v>9.4466067416155888E-2</v>
      </c>
      <c r="D37" s="417">
        <v>91023</v>
      </c>
      <c r="E37" s="291">
        <f t="shared" si="1"/>
        <v>0.16899070112064693</v>
      </c>
      <c r="F37" s="285">
        <f>SUM('- 42 -'!$B37,'- 42 -'!$D37,'- 42 -'!$F37,'- 42 -'!$H37,B37,D37)</f>
        <v>16659196</v>
      </c>
      <c r="G37" s="291">
        <f t="shared" si="2"/>
        <v>30.928987312506479</v>
      </c>
      <c r="I37" s="285">
        <f>SUM('- 41 -'!$H37,F37)</f>
        <v>53862727</v>
      </c>
    </row>
    <row r="38" spans="1:9" ht="14.1" customHeight="1" x14ac:dyDescent="0.2">
      <c r="A38" s="19" t="s">
        <v>136</v>
      </c>
      <c r="B38" s="418">
        <v>1974888</v>
      </c>
      <c r="C38" s="70">
        <f t="shared" si="0"/>
        <v>1.3564714839168375</v>
      </c>
      <c r="D38" s="418">
        <v>118012</v>
      </c>
      <c r="E38" s="70">
        <f t="shared" si="1"/>
        <v>8.105771707559814E-2</v>
      </c>
      <c r="F38" s="20">
        <f>SUM('- 42 -'!$B38,'- 42 -'!$D38,'- 42 -'!$F38,'- 42 -'!$H38,B38,D38)</f>
        <v>48496311</v>
      </c>
      <c r="G38" s="70">
        <f t="shared" si="2"/>
        <v>33.310174018305069</v>
      </c>
      <c r="I38" s="20">
        <f>SUM('- 41 -'!$H38,F38)</f>
        <v>145590086</v>
      </c>
    </row>
    <row r="39" spans="1:9" ht="14.1" customHeight="1" x14ac:dyDescent="0.2">
      <c r="A39" s="284" t="s">
        <v>137</v>
      </c>
      <c r="B39" s="417">
        <v>0</v>
      </c>
      <c r="C39" s="291">
        <f t="shared" si="0"/>
        <v>0</v>
      </c>
      <c r="D39" s="417">
        <v>67165</v>
      </c>
      <c r="E39" s="291">
        <f t="shared" si="1"/>
        <v>0.28515979031701544</v>
      </c>
      <c r="F39" s="285">
        <f>SUM('- 42 -'!$B39,'- 42 -'!$D39,'- 42 -'!$F39,'- 42 -'!$H39,B39,D39)</f>
        <v>11377371</v>
      </c>
      <c r="G39" s="291">
        <f t="shared" si="2"/>
        <v>48.304455128696375</v>
      </c>
      <c r="I39" s="285">
        <f>SUM('- 41 -'!$H39,F39)</f>
        <v>23553461</v>
      </c>
    </row>
    <row r="40" spans="1:9" ht="14.1" customHeight="1" x14ac:dyDescent="0.2">
      <c r="A40" s="19" t="s">
        <v>138</v>
      </c>
      <c r="B40" s="418">
        <v>2145228</v>
      </c>
      <c r="C40" s="70">
        <f t="shared" si="0"/>
        <v>1.9608750927991767</v>
      </c>
      <c r="D40" s="418">
        <v>814374</v>
      </c>
      <c r="E40" s="70">
        <f t="shared" si="1"/>
        <v>0.74438973051966362</v>
      </c>
      <c r="F40" s="20">
        <f>SUM('- 42 -'!$B40,'- 42 -'!$D40,'- 42 -'!$F40,'- 42 -'!$H40,B40,D40)</f>
        <v>51526842</v>
      </c>
      <c r="G40" s="70">
        <f t="shared" si="2"/>
        <v>47.098817043409156</v>
      </c>
      <c r="I40" s="20">
        <f>SUM('- 41 -'!$H40,F40)</f>
        <v>109401563</v>
      </c>
    </row>
    <row r="41" spans="1:9" ht="14.1" customHeight="1" x14ac:dyDescent="0.2">
      <c r="A41" s="284" t="s">
        <v>139</v>
      </c>
      <c r="B41" s="417">
        <v>82289</v>
      </c>
      <c r="C41" s="291">
        <f t="shared" si="0"/>
        <v>0.12210593074184373</v>
      </c>
      <c r="D41" s="417">
        <v>96733</v>
      </c>
      <c r="E41" s="291">
        <f t="shared" si="1"/>
        <v>0.14353890554570803</v>
      </c>
      <c r="F41" s="285">
        <f>SUM('- 42 -'!$B41,'- 42 -'!$D41,'- 42 -'!$F41,'- 42 -'!$H41,B41,D41)</f>
        <v>29002521</v>
      </c>
      <c r="G41" s="291">
        <f t="shared" si="2"/>
        <v>43.035883539292833</v>
      </c>
      <c r="I41" s="285">
        <f>SUM('- 41 -'!$H41,F41)</f>
        <v>67391485</v>
      </c>
    </row>
    <row r="42" spans="1:9" ht="14.1" customHeight="1" x14ac:dyDescent="0.2">
      <c r="A42" s="19" t="s">
        <v>140</v>
      </c>
      <c r="B42" s="418">
        <v>285373</v>
      </c>
      <c r="C42" s="70">
        <f t="shared" si="0"/>
        <v>1.3111052252302748</v>
      </c>
      <c r="D42" s="418">
        <v>134448</v>
      </c>
      <c r="E42" s="70">
        <f t="shared" si="1"/>
        <v>0.61770200867552294</v>
      </c>
      <c r="F42" s="20">
        <f>SUM('- 42 -'!$B42,'- 42 -'!$D42,'- 42 -'!$F42,'- 42 -'!$H42,B42,D42)</f>
        <v>6915768</v>
      </c>
      <c r="G42" s="70">
        <f t="shared" si="2"/>
        <v>31.773501912515645</v>
      </c>
      <c r="I42" s="20">
        <f>SUM('- 41 -'!$H42,F42)</f>
        <v>21765835</v>
      </c>
    </row>
    <row r="43" spans="1:9" ht="14.1" customHeight="1" x14ac:dyDescent="0.2">
      <c r="A43" s="284" t="s">
        <v>141</v>
      </c>
      <c r="B43" s="417">
        <v>15746</v>
      </c>
      <c r="C43" s="291">
        <f t="shared" si="0"/>
        <v>0.11427308247684766</v>
      </c>
      <c r="D43" s="417">
        <v>20623</v>
      </c>
      <c r="E43" s="291">
        <f t="shared" si="1"/>
        <v>0.14966682204496567</v>
      </c>
      <c r="F43" s="285">
        <f>SUM('- 42 -'!$B43,'- 42 -'!$D43,'- 42 -'!$F43,'- 42 -'!$H43,B43,D43)</f>
        <v>5954391</v>
      </c>
      <c r="G43" s="291">
        <f t="shared" si="2"/>
        <v>43.212664412701599</v>
      </c>
      <c r="I43" s="285">
        <f>SUM('- 41 -'!$H43,F43)</f>
        <v>13779273</v>
      </c>
    </row>
    <row r="44" spans="1:9" ht="14.1" customHeight="1" x14ac:dyDescent="0.2">
      <c r="A44" s="19" t="s">
        <v>142</v>
      </c>
      <c r="B44" s="418">
        <v>16078</v>
      </c>
      <c r="C44" s="70">
        <f t="shared" si="0"/>
        <v>0.13935889361623932</v>
      </c>
      <c r="D44" s="418">
        <v>51947</v>
      </c>
      <c r="E44" s="70">
        <f t="shared" si="1"/>
        <v>0.45025976157997172</v>
      </c>
      <c r="F44" s="20">
        <f>SUM('- 42 -'!$B44,'- 42 -'!$D44,'- 42 -'!$F44,'- 42 -'!$H44,B44,D44)</f>
        <v>2750660</v>
      </c>
      <c r="G44" s="70">
        <f t="shared" si="2"/>
        <v>23.841829475957514</v>
      </c>
      <c r="I44" s="20">
        <f>SUM('- 41 -'!$H44,F44)</f>
        <v>11537118</v>
      </c>
    </row>
    <row r="45" spans="1:9" ht="14.1" customHeight="1" x14ac:dyDescent="0.2">
      <c r="A45" s="284" t="s">
        <v>143</v>
      </c>
      <c r="B45" s="417">
        <v>278035</v>
      </c>
      <c r="C45" s="291">
        <f t="shared" si="0"/>
        <v>1.341899559492457</v>
      </c>
      <c r="D45" s="417">
        <v>53604</v>
      </c>
      <c r="E45" s="291">
        <f t="shared" si="1"/>
        <v>0.25871269439830841</v>
      </c>
      <c r="F45" s="285">
        <f>SUM('- 42 -'!$B45,'- 42 -'!$D45,'- 42 -'!$F45,'- 42 -'!$H45,B45,D45)</f>
        <v>7427427</v>
      </c>
      <c r="G45" s="291">
        <f t="shared" si="2"/>
        <v>35.847504880545188</v>
      </c>
      <c r="I45" s="285">
        <f>SUM('- 41 -'!$H45,F45)</f>
        <v>20719509</v>
      </c>
    </row>
    <row r="46" spans="1:9" ht="14.1" customHeight="1" x14ac:dyDescent="0.2">
      <c r="A46" s="19" t="s">
        <v>144</v>
      </c>
      <c r="B46" s="418">
        <v>1098189</v>
      </c>
      <c r="C46" s="70">
        <f t="shared" si="0"/>
        <v>0.26996043193924768</v>
      </c>
      <c r="D46" s="418">
        <v>730974</v>
      </c>
      <c r="E46" s="70">
        <f t="shared" si="1"/>
        <v>0.17969043286388739</v>
      </c>
      <c r="F46" s="20">
        <f>SUM('- 42 -'!$B46,'- 42 -'!$D46,'- 42 -'!$F46,'- 42 -'!$H46,B46,D46)</f>
        <v>161562231</v>
      </c>
      <c r="G46" s="70">
        <f t="shared" si="2"/>
        <v>39.715759004896704</v>
      </c>
      <c r="I46" s="20">
        <f>SUM('- 41 -'!$H46,F46)</f>
        <v>406796282</v>
      </c>
    </row>
    <row r="47" spans="1:9" ht="5.0999999999999996" customHeight="1" x14ac:dyDescent="0.2">
      <c r="A47" s="21"/>
      <c r="B47" s="22"/>
      <c r="C47"/>
      <c r="D47" s="22"/>
      <c r="E47"/>
      <c r="F47" s="22"/>
      <c r="G47"/>
      <c r="I47" s="22"/>
    </row>
    <row r="48" spans="1:9" ht="14.1" customHeight="1" x14ac:dyDescent="0.2">
      <c r="A48" s="286" t="s">
        <v>145</v>
      </c>
      <c r="B48" s="421">
        <f>SUM(B11:B46)</f>
        <v>27380675</v>
      </c>
      <c r="C48" s="294">
        <f>B48/I48*100</f>
        <v>1.1254392709207628</v>
      </c>
      <c r="D48" s="421">
        <f>SUM(D11:D46)</f>
        <v>9101792</v>
      </c>
      <c r="E48" s="294">
        <f>D48/I48*100</f>
        <v>0.37411474160342761</v>
      </c>
      <c r="F48" s="287">
        <f>SUM(F11:F46)</f>
        <v>984866900</v>
      </c>
      <c r="G48" s="294">
        <f>F48/I48*100</f>
        <v>40.481393752710318</v>
      </c>
      <c r="I48" s="287">
        <f>SUM(I11:I46)</f>
        <v>2432887825</v>
      </c>
    </row>
    <row r="49" spans="1:9" ht="5.0999999999999996" customHeight="1" x14ac:dyDescent="0.2">
      <c r="A49" s="21" t="s">
        <v>7</v>
      </c>
      <c r="B49" s="22"/>
      <c r="C49"/>
      <c r="D49" s="22"/>
      <c r="E49"/>
      <c r="F49" s="22"/>
      <c r="G49"/>
      <c r="I49" s="22"/>
    </row>
    <row r="50" spans="1:9" ht="14.1" customHeight="1" x14ac:dyDescent="0.2">
      <c r="A50" s="19" t="s">
        <v>146</v>
      </c>
      <c r="B50" s="418">
        <v>39229</v>
      </c>
      <c r="C50" s="70">
        <f>B50/I50*100</f>
        <v>1.1217153675491454</v>
      </c>
      <c r="D50" s="418">
        <v>16527</v>
      </c>
      <c r="E50" s="70">
        <f>D50/I50*100</f>
        <v>0.47257360318857788</v>
      </c>
      <c r="F50" s="20">
        <f>SUM('- 42 -'!$B50,'- 42 -'!$D50,'- 42 -'!$F50,'- 42 -'!$H50,B50,D50)</f>
        <v>2047293</v>
      </c>
      <c r="G50" s="70">
        <f>F50/I50*100</f>
        <v>58.540366055106993</v>
      </c>
      <c r="I50" s="20">
        <f>SUM('- 41 -'!$H50,F50)</f>
        <v>3497233</v>
      </c>
    </row>
    <row r="51" spans="1:9" ht="14.1" customHeight="1" x14ac:dyDescent="0.2">
      <c r="A51" s="284" t="s">
        <v>607</v>
      </c>
      <c r="B51" s="417">
        <v>16744557</v>
      </c>
      <c r="C51" s="291">
        <f>B51/I51*100</f>
        <v>52.393647312618221</v>
      </c>
      <c r="D51" s="417">
        <v>469943</v>
      </c>
      <c r="E51" s="291">
        <f>D51/I51*100</f>
        <v>1.4704496391892445</v>
      </c>
      <c r="F51" s="285">
        <f>SUM('- 42 -'!$B51,'- 42 -'!$D51,'- 42 -'!$F51,'- 42 -'!$H51,B51,D51)</f>
        <v>21651635</v>
      </c>
      <c r="G51" s="291">
        <f>F51/I51*100</f>
        <v>67.747873409343725</v>
      </c>
      <c r="I51" s="285">
        <f>SUM('- 41 -'!$H51,F51)</f>
        <v>31959136</v>
      </c>
    </row>
    <row r="52" spans="1:9" ht="50.1" customHeight="1" x14ac:dyDescent="0.2"/>
  </sheetData>
  <mergeCells count="4">
    <mergeCell ref="B6:C8"/>
    <mergeCell ref="D8:E8"/>
    <mergeCell ref="F6:G8"/>
    <mergeCell ref="I6:I8"/>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E58"/>
  <sheetViews>
    <sheetView showGridLines="0" showZeros="0" workbookViewId="0"/>
  </sheetViews>
  <sheetFormatPr defaultColWidth="15.83203125" defaultRowHeight="12" x14ac:dyDescent="0.2"/>
  <cols>
    <col min="1" max="1" width="37.33203125" style="2" customWidth="1"/>
    <col min="2" max="2" width="23.6640625" style="2" customWidth="1"/>
    <col min="3" max="3" width="25.1640625" style="2" customWidth="1"/>
    <col min="4" max="4" width="22.6640625" style="2" customWidth="1"/>
    <col min="5" max="5" width="17.1640625" style="2" customWidth="1"/>
    <col min="6" max="16384" width="15.83203125" style="2"/>
  </cols>
  <sheetData>
    <row r="1" spans="1:5" ht="6.95" customHeight="1" x14ac:dyDescent="0.2">
      <c r="A1" s="7"/>
    </row>
    <row r="2" spans="1:5" ht="14.1" customHeight="1" x14ac:dyDescent="0.2">
      <c r="A2" s="63"/>
      <c r="B2" s="447" t="s">
        <v>223</v>
      </c>
      <c r="C2" s="208"/>
      <c r="D2" s="208"/>
      <c r="E2" s="209"/>
    </row>
    <row r="3" spans="1:5" ht="14.1" customHeight="1" x14ac:dyDescent="0.2">
      <c r="A3" s="542"/>
      <c r="B3" s="23"/>
      <c r="C3" s="448" t="str">
        <f>"FOR THE YEAR ENDED JUNE 30, "&amp;SPRINGYR</f>
        <v>FOR THE YEAR ENDED JUNE 30, 2018</v>
      </c>
      <c r="D3" s="211"/>
      <c r="E3" s="212"/>
    </row>
    <row r="7" spans="1:5" ht="13.5" x14ac:dyDescent="0.2">
      <c r="B7" s="686" t="s">
        <v>384</v>
      </c>
      <c r="C7" s="687"/>
      <c r="D7" s="729"/>
      <c r="E7" s="634" t="str">
        <f>"% OF "&amp;FALLYR&amp;"/"&amp;SPRINGYR&amp;" OPERATING"</f>
        <v>% OF 2017/2018 OPERATING</v>
      </c>
    </row>
    <row r="8" spans="1:5" x14ac:dyDescent="0.2">
      <c r="A8" s="67"/>
      <c r="B8" s="338"/>
      <c r="C8" s="375"/>
      <c r="D8" s="375"/>
      <c r="E8" s="730"/>
    </row>
    <row r="9" spans="1:5" ht="14.25" x14ac:dyDescent="0.2">
      <c r="A9" s="35" t="s">
        <v>42</v>
      </c>
      <c r="B9" s="445" t="s">
        <v>380</v>
      </c>
      <c r="C9" s="445" t="s">
        <v>276</v>
      </c>
      <c r="D9" s="505" t="s">
        <v>31</v>
      </c>
      <c r="E9" s="425" t="s">
        <v>381</v>
      </c>
    </row>
    <row r="10" spans="1:5" ht="5.0999999999999996" customHeight="1" x14ac:dyDescent="0.2">
      <c r="A10" s="6"/>
      <c r="B10" s="7"/>
      <c r="C10" s="7"/>
      <c r="D10" s="7"/>
      <c r="E10" s="7"/>
    </row>
    <row r="11" spans="1:5" ht="14.1" customHeight="1" x14ac:dyDescent="0.2">
      <c r="A11" s="284" t="s">
        <v>110</v>
      </c>
      <c r="B11" s="417">
        <v>12364</v>
      </c>
      <c r="C11" s="417">
        <v>788713</v>
      </c>
      <c r="D11" s="285">
        <f>+B11+C11</f>
        <v>801077</v>
      </c>
      <c r="E11" s="291">
        <f>D11/'- 3 -'!$B11*100</f>
        <v>4.0310005979497614</v>
      </c>
    </row>
    <row r="12" spans="1:5" ht="14.1" customHeight="1" x14ac:dyDescent="0.2">
      <c r="A12" s="19" t="s">
        <v>111</v>
      </c>
      <c r="B12" s="418">
        <v>467401</v>
      </c>
      <c r="C12" s="418">
        <v>875949</v>
      </c>
      <c r="D12" s="20">
        <f t="shared" ref="D12:D46" si="0">+B12+C12</f>
        <v>1343350</v>
      </c>
      <c r="E12" s="70">
        <f>D12/'- 3 -'!$B12*100</f>
        <v>3.8890832923899006</v>
      </c>
    </row>
    <row r="13" spans="1:5" ht="14.1" customHeight="1" x14ac:dyDescent="0.2">
      <c r="A13" s="284" t="s">
        <v>112</v>
      </c>
      <c r="B13" s="417">
        <v>537450</v>
      </c>
      <c r="C13" s="417">
        <v>3312115</v>
      </c>
      <c r="D13" s="285">
        <f t="shared" si="0"/>
        <v>3849565</v>
      </c>
      <c r="E13" s="291">
        <f>D13/'- 3 -'!$B13*100</f>
        <v>3.8858104409009657</v>
      </c>
    </row>
    <row r="14" spans="1:5" ht="14.1" customHeight="1" x14ac:dyDescent="0.2">
      <c r="A14" s="19" t="s">
        <v>359</v>
      </c>
      <c r="B14" s="418">
        <v>965249</v>
      </c>
      <c r="C14" s="418">
        <v>2550669</v>
      </c>
      <c r="D14" s="20">
        <f t="shared" si="0"/>
        <v>3515918</v>
      </c>
      <c r="E14" s="70">
        <f>D14/'- 3 -'!$B14*100</f>
        <v>3.95147400329695</v>
      </c>
    </row>
    <row r="15" spans="1:5" ht="14.1" customHeight="1" x14ac:dyDescent="0.2">
      <c r="A15" s="284" t="s">
        <v>113</v>
      </c>
      <c r="B15" s="417">
        <v>222753</v>
      </c>
      <c r="C15" s="417">
        <v>713148</v>
      </c>
      <c r="D15" s="285">
        <f t="shared" si="0"/>
        <v>935901</v>
      </c>
      <c r="E15" s="291">
        <f>D15/'- 3 -'!$B15*100</f>
        <v>4.6657545547516914</v>
      </c>
    </row>
    <row r="16" spans="1:5" ht="14.1" customHeight="1" x14ac:dyDescent="0.2">
      <c r="A16" s="19" t="s">
        <v>114</v>
      </c>
      <c r="B16" s="418">
        <v>79597</v>
      </c>
      <c r="C16" s="418">
        <v>436969</v>
      </c>
      <c r="D16" s="20">
        <f t="shared" si="0"/>
        <v>516566</v>
      </c>
      <c r="E16" s="70">
        <f>D16/'- 3 -'!$B16*100</f>
        <v>3.5709357850119221</v>
      </c>
    </row>
    <row r="17" spans="1:5" ht="14.1" customHeight="1" x14ac:dyDescent="0.2">
      <c r="A17" s="284" t="s">
        <v>115</v>
      </c>
      <c r="B17" s="417">
        <v>20577</v>
      </c>
      <c r="C17" s="417">
        <v>723483</v>
      </c>
      <c r="D17" s="285">
        <f t="shared" si="0"/>
        <v>744060</v>
      </c>
      <c r="E17" s="291">
        <f>D17/'- 3 -'!$B17*100</f>
        <v>4.041489277337873</v>
      </c>
    </row>
    <row r="18" spans="1:5" ht="14.1" customHeight="1" x14ac:dyDescent="0.2">
      <c r="A18" s="19" t="s">
        <v>116</v>
      </c>
      <c r="B18" s="418">
        <v>0</v>
      </c>
      <c r="C18" s="418">
        <v>5318957</v>
      </c>
      <c r="D18" s="20">
        <f t="shared" si="0"/>
        <v>5318957</v>
      </c>
      <c r="E18" s="70">
        <f>D18/'- 3 -'!$B18*100</f>
        <v>3.8569871551354993</v>
      </c>
    </row>
    <row r="19" spans="1:5" ht="14.1" customHeight="1" x14ac:dyDescent="0.2">
      <c r="A19" s="284" t="s">
        <v>117</v>
      </c>
      <c r="B19" s="417">
        <v>264601</v>
      </c>
      <c r="C19" s="417">
        <v>1497079.4900000021</v>
      </c>
      <c r="D19" s="285">
        <f t="shared" si="0"/>
        <v>1761680.4900000021</v>
      </c>
      <c r="E19" s="291">
        <f>D19/'- 3 -'!$B19*100</f>
        <v>3.544746007292479</v>
      </c>
    </row>
    <row r="20" spans="1:5" ht="14.1" customHeight="1" x14ac:dyDescent="0.2">
      <c r="A20" s="19" t="s">
        <v>118</v>
      </c>
      <c r="B20" s="418">
        <v>0</v>
      </c>
      <c r="C20" s="418">
        <v>3412887</v>
      </c>
      <c r="D20" s="20">
        <f t="shared" si="0"/>
        <v>3412887</v>
      </c>
      <c r="E20" s="70">
        <f>D20/'- 3 -'!$B20*100</f>
        <v>3.9389169967114439</v>
      </c>
    </row>
    <row r="21" spans="1:5" ht="14.1" customHeight="1" x14ac:dyDescent="0.2">
      <c r="A21" s="284" t="s">
        <v>119</v>
      </c>
      <c r="B21" s="417">
        <v>0</v>
      </c>
      <c r="C21" s="417">
        <v>1467028</v>
      </c>
      <c r="D21" s="285">
        <f t="shared" si="0"/>
        <v>1467028</v>
      </c>
      <c r="E21" s="291">
        <f>D21/'- 3 -'!$B21*100</f>
        <v>3.9444995044598614</v>
      </c>
    </row>
    <row r="22" spans="1:5" ht="14.1" customHeight="1" x14ac:dyDescent="0.2">
      <c r="A22" s="19" t="s">
        <v>120</v>
      </c>
      <c r="B22" s="418">
        <v>552400</v>
      </c>
      <c r="C22" s="418">
        <v>912002</v>
      </c>
      <c r="D22" s="20">
        <f t="shared" si="0"/>
        <v>1464402</v>
      </c>
      <c r="E22" s="70">
        <f>D22/'- 3 -'!$B22*100</f>
        <v>7.0923583720589738</v>
      </c>
    </row>
    <row r="23" spans="1:5" ht="14.1" customHeight="1" x14ac:dyDescent="0.2">
      <c r="A23" s="284" t="s">
        <v>121</v>
      </c>
      <c r="B23" s="417">
        <v>67000</v>
      </c>
      <c r="C23" s="417">
        <v>599389</v>
      </c>
      <c r="D23" s="285">
        <f t="shared" si="0"/>
        <v>666389</v>
      </c>
      <c r="E23" s="291">
        <f>D23/'- 3 -'!$B23*100</f>
        <v>3.997468068467009</v>
      </c>
    </row>
    <row r="24" spans="1:5" ht="14.1" customHeight="1" x14ac:dyDescent="0.2">
      <c r="A24" s="19" t="s">
        <v>122</v>
      </c>
      <c r="B24" s="418">
        <v>0</v>
      </c>
      <c r="C24" s="418">
        <v>2353264</v>
      </c>
      <c r="D24" s="20">
        <f t="shared" si="0"/>
        <v>2353264</v>
      </c>
      <c r="E24" s="70">
        <f>D24/'- 3 -'!$B24*100</f>
        <v>4.0506481807538304</v>
      </c>
    </row>
    <row r="25" spans="1:5" ht="14.1" customHeight="1" x14ac:dyDescent="0.2">
      <c r="A25" s="284" t="s">
        <v>123</v>
      </c>
      <c r="B25" s="417">
        <v>610603</v>
      </c>
      <c r="C25" s="417">
        <v>5011331</v>
      </c>
      <c r="D25" s="285">
        <f t="shared" si="0"/>
        <v>5621934</v>
      </c>
      <c r="E25" s="291">
        <f>D25/'- 3 -'!$B25*100</f>
        <v>2.987173049486997</v>
      </c>
    </row>
    <row r="26" spans="1:5" ht="14.1" customHeight="1" x14ac:dyDescent="0.2">
      <c r="A26" s="19" t="s">
        <v>124</v>
      </c>
      <c r="B26" s="418">
        <v>0</v>
      </c>
      <c r="C26" s="418">
        <v>1387213</v>
      </c>
      <c r="D26" s="20">
        <f t="shared" si="0"/>
        <v>1387213</v>
      </c>
      <c r="E26" s="70">
        <f>D26/'- 3 -'!$B26*100</f>
        <v>3.4009901417320925</v>
      </c>
    </row>
    <row r="27" spans="1:5" ht="14.1" customHeight="1" x14ac:dyDescent="0.2">
      <c r="A27" s="284" t="s">
        <v>125</v>
      </c>
      <c r="B27" s="417">
        <v>1605758</v>
      </c>
      <c r="C27" s="417">
        <v>2778234</v>
      </c>
      <c r="D27" s="285">
        <f t="shared" si="0"/>
        <v>4383992</v>
      </c>
      <c r="E27" s="291">
        <f>D27/'- 3 -'!$B27*100</f>
        <v>10.70512993008883</v>
      </c>
    </row>
    <row r="28" spans="1:5" ht="14.1" customHeight="1" x14ac:dyDescent="0.2">
      <c r="A28" s="19" t="s">
        <v>126</v>
      </c>
      <c r="B28" s="418">
        <v>66711</v>
      </c>
      <c r="C28" s="418">
        <v>297558</v>
      </c>
      <c r="D28" s="20">
        <f t="shared" si="0"/>
        <v>364269</v>
      </c>
      <c r="E28" s="70">
        <f>D28/'- 3 -'!$B28*100</f>
        <v>1.2548764089580653</v>
      </c>
    </row>
    <row r="29" spans="1:5" ht="14.1" customHeight="1" x14ac:dyDescent="0.2">
      <c r="A29" s="284" t="s">
        <v>127</v>
      </c>
      <c r="B29" s="417">
        <v>1128433</v>
      </c>
      <c r="C29" s="417">
        <v>5514684</v>
      </c>
      <c r="D29" s="285">
        <f t="shared" si="0"/>
        <v>6643117</v>
      </c>
      <c r="E29" s="291">
        <f>D29/'- 3 -'!$B29*100</f>
        <v>4.0321958154702306</v>
      </c>
    </row>
    <row r="30" spans="1:5" ht="14.1" customHeight="1" x14ac:dyDescent="0.2">
      <c r="A30" s="19" t="s">
        <v>128</v>
      </c>
      <c r="B30" s="418">
        <v>47062</v>
      </c>
      <c r="C30" s="418">
        <v>526250</v>
      </c>
      <c r="D30" s="20">
        <f t="shared" si="0"/>
        <v>573312</v>
      </c>
      <c r="E30" s="70">
        <f>D30/'- 3 -'!$B30*100</f>
        <v>3.8917810197067437</v>
      </c>
    </row>
    <row r="31" spans="1:5" ht="14.1" customHeight="1" x14ac:dyDescent="0.2">
      <c r="A31" s="284" t="s">
        <v>129</v>
      </c>
      <c r="B31" s="417">
        <v>0</v>
      </c>
      <c r="C31" s="417">
        <v>1530634</v>
      </c>
      <c r="D31" s="285">
        <f t="shared" si="0"/>
        <v>1530634</v>
      </c>
      <c r="E31" s="291">
        <f>D31/'- 3 -'!$B31*100</f>
        <v>4.0204280276498228</v>
      </c>
    </row>
    <row r="32" spans="1:5" ht="14.1" customHeight="1" x14ac:dyDescent="0.2">
      <c r="A32" s="19" t="s">
        <v>130</v>
      </c>
      <c r="B32" s="418">
        <v>0</v>
      </c>
      <c r="C32" s="418">
        <v>2291627</v>
      </c>
      <c r="D32" s="20">
        <f t="shared" si="0"/>
        <v>2291627</v>
      </c>
      <c r="E32" s="70">
        <f>D32/'- 3 -'!$B32*100</f>
        <v>7.2362414591268802</v>
      </c>
    </row>
    <row r="33" spans="1:5" ht="14.1" customHeight="1" x14ac:dyDescent="0.2">
      <c r="A33" s="284" t="s">
        <v>131</v>
      </c>
      <c r="B33" s="417">
        <v>0</v>
      </c>
      <c r="C33" s="417">
        <v>1140605</v>
      </c>
      <c r="D33" s="285">
        <f t="shared" si="0"/>
        <v>1140605</v>
      </c>
      <c r="E33" s="291">
        <f>D33/'- 3 -'!$B33*100</f>
        <v>4.0123706833125965</v>
      </c>
    </row>
    <row r="34" spans="1:5" ht="14.1" customHeight="1" x14ac:dyDescent="0.2">
      <c r="A34" s="19" t="s">
        <v>132</v>
      </c>
      <c r="B34" s="418">
        <v>687620</v>
      </c>
      <c r="C34" s="418">
        <v>145854</v>
      </c>
      <c r="D34" s="20">
        <f t="shared" si="0"/>
        <v>833474</v>
      </c>
      <c r="E34" s="70">
        <f>D34/'- 3 -'!$B34*100</f>
        <v>2.6728946145313985</v>
      </c>
    </row>
    <row r="35" spans="1:5" ht="14.1" customHeight="1" x14ac:dyDescent="0.2">
      <c r="A35" s="284" t="s">
        <v>133</v>
      </c>
      <c r="B35" s="417">
        <v>1281379</v>
      </c>
      <c r="C35" s="417">
        <v>5753723</v>
      </c>
      <c r="D35" s="285">
        <f t="shared" si="0"/>
        <v>7035102</v>
      </c>
      <c r="E35" s="291">
        <f>D35/'- 3 -'!$B35*100</f>
        <v>3.7226273386253594</v>
      </c>
    </row>
    <row r="36" spans="1:5" ht="14.1" customHeight="1" x14ac:dyDescent="0.2">
      <c r="A36" s="19" t="s">
        <v>134</v>
      </c>
      <c r="B36" s="418">
        <v>0</v>
      </c>
      <c r="C36" s="418">
        <v>904569</v>
      </c>
      <c r="D36" s="20">
        <f t="shared" si="0"/>
        <v>904569</v>
      </c>
      <c r="E36" s="70">
        <f>D36/'- 3 -'!$B36*100</f>
        <v>3.7731552701181226</v>
      </c>
    </row>
    <row r="37" spans="1:5" ht="14.1" customHeight="1" x14ac:dyDescent="0.2">
      <c r="A37" s="284" t="s">
        <v>135</v>
      </c>
      <c r="B37" s="417">
        <v>374671</v>
      </c>
      <c r="C37" s="417">
        <v>1589883</v>
      </c>
      <c r="D37" s="285">
        <f t="shared" si="0"/>
        <v>1964554</v>
      </c>
      <c r="E37" s="291">
        <f>D37/'- 3 -'!$B37*100</f>
        <v>3.7103361893354516</v>
      </c>
    </row>
    <row r="38" spans="1:5" ht="14.1" customHeight="1" x14ac:dyDescent="0.2">
      <c r="A38" s="19" t="s">
        <v>136</v>
      </c>
      <c r="B38" s="418">
        <v>4582260</v>
      </c>
      <c r="C38" s="418">
        <v>646648</v>
      </c>
      <c r="D38" s="20">
        <f t="shared" si="0"/>
        <v>5228908</v>
      </c>
      <c r="E38" s="70">
        <f>D38/'- 3 -'!$B38*100</f>
        <v>3.6782138375010258</v>
      </c>
    </row>
    <row r="39" spans="1:5" ht="14.1" customHeight="1" x14ac:dyDescent="0.2">
      <c r="A39" s="284" t="s">
        <v>137</v>
      </c>
      <c r="B39" s="417">
        <v>0</v>
      </c>
      <c r="C39" s="417">
        <v>900573</v>
      </c>
      <c r="D39" s="285">
        <f t="shared" si="0"/>
        <v>900573</v>
      </c>
      <c r="E39" s="291">
        <f>D39/'- 3 -'!$B39*100</f>
        <v>3.9942964030650647</v>
      </c>
    </row>
    <row r="40" spans="1:5" ht="14.1" customHeight="1" x14ac:dyDescent="0.2">
      <c r="A40" s="19" t="s">
        <v>138</v>
      </c>
      <c r="B40" s="418">
        <v>2232164</v>
      </c>
      <c r="C40" s="418">
        <v>2939641</v>
      </c>
      <c r="D40" s="20">
        <f t="shared" si="0"/>
        <v>5171805</v>
      </c>
      <c r="E40" s="70">
        <f>D40/'- 3 -'!$B40*100</f>
        <v>4.8614964588697758</v>
      </c>
    </row>
    <row r="41" spans="1:5" ht="14.1" customHeight="1" x14ac:dyDescent="0.2">
      <c r="A41" s="284" t="s">
        <v>139</v>
      </c>
      <c r="B41" s="417">
        <v>0</v>
      </c>
      <c r="C41" s="417">
        <v>2841234</v>
      </c>
      <c r="D41" s="285">
        <f t="shared" si="0"/>
        <v>2841234</v>
      </c>
      <c r="E41" s="291">
        <f>D41/'- 3 -'!$B41*100</f>
        <v>4.3220019653221451</v>
      </c>
    </row>
    <row r="42" spans="1:5" ht="14.1" customHeight="1" x14ac:dyDescent="0.2">
      <c r="A42" s="19" t="s">
        <v>140</v>
      </c>
      <c r="B42" s="418">
        <v>0</v>
      </c>
      <c r="C42" s="418">
        <v>641031</v>
      </c>
      <c r="D42" s="20">
        <f t="shared" si="0"/>
        <v>641031</v>
      </c>
      <c r="E42" s="70">
        <f>D42/'- 3 -'!$B42*100</f>
        <v>3.0628394014994766</v>
      </c>
    </row>
    <row r="43" spans="1:5" ht="14.1" customHeight="1" x14ac:dyDescent="0.2">
      <c r="A43" s="284" t="s">
        <v>141</v>
      </c>
      <c r="B43" s="417">
        <v>111623</v>
      </c>
      <c r="C43" s="417">
        <v>861347</v>
      </c>
      <c r="D43" s="285">
        <f t="shared" si="0"/>
        <v>972970</v>
      </c>
      <c r="E43" s="291">
        <f>D43/'- 3 -'!$B43*100</f>
        <v>7.2191807898873153</v>
      </c>
    </row>
    <row r="44" spans="1:5" ht="14.1" customHeight="1" x14ac:dyDescent="0.2">
      <c r="A44" s="19" t="s">
        <v>142</v>
      </c>
      <c r="B44" s="418">
        <v>0</v>
      </c>
      <c r="C44" s="418">
        <v>429164</v>
      </c>
      <c r="D44" s="20">
        <f t="shared" si="0"/>
        <v>429164</v>
      </c>
      <c r="E44" s="70">
        <f>D44/'- 3 -'!$B44*100</f>
        <v>3.8505263919111345</v>
      </c>
    </row>
    <row r="45" spans="1:5" ht="14.1" customHeight="1" x14ac:dyDescent="0.2">
      <c r="A45" s="284" t="s">
        <v>143</v>
      </c>
      <c r="B45" s="417">
        <v>0</v>
      </c>
      <c r="C45" s="417">
        <v>760567</v>
      </c>
      <c r="D45" s="285">
        <f t="shared" si="0"/>
        <v>760567</v>
      </c>
      <c r="E45" s="291">
        <f>D45/'- 3 -'!$B45*100</f>
        <v>3.7899297208111795</v>
      </c>
    </row>
    <row r="46" spans="1:5" ht="14.1" customHeight="1" x14ac:dyDescent="0.2">
      <c r="A46" s="19" t="s">
        <v>144</v>
      </c>
      <c r="B46" s="418">
        <v>1344690</v>
      </c>
      <c r="C46" s="418">
        <v>9703841</v>
      </c>
      <c r="D46" s="20">
        <f t="shared" si="0"/>
        <v>11048531</v>
      </c>
      <c r="E46" s="70">
        <f>D46/'- 3 -'!$B46*100</f>
        <v>2.7671261328740009</v>
      </c>
    </row>
    <row r="47" spans="1:5" ht="5.0999999999999996" customHeight="1" x14ac:dyDescent="0.2">
      <c r="A47" s="21"/>
      <c r="B47" s="22"/>
      <c r="C47" s="22"/>
      <c r="D47" s="22"/>
      <c r="E47"/>
    </row>
    <row r="48" spans="1:5" ht="14.1" customHeight="1" x14ac:dyDescent="0.2">
      <c r="A48" s="286" t="s">
        <v>145</v>
      </c>
      <c r="B48" s="421">
        <f>SUM(B11:B46)</f>
        <v>17262366</v>
      </c>
      <c r="C48" s="421">
        <f>SUM(C11:C46)</f>
        <v>73557863.49000001</v>
      </c>
      <c r="D48" s="287">
        <f>SUM(D11:D46)</f>
        <v>90820229.49000001</v>
      </c>
      <c r="E48" s="294">
        <f>D48/'- 3 -'!$B48*100</f>
        <v>3.8196950253006512</v>
      </c>
    </row>
    <row r="49" spans="1:5" ht="5.0999999999999996" customHeight="1" x14ac:dyDescent="0.2">
      <c r="A49" s="21" t="s">
        <v>7</v>
      </c>
      <c r="B49" s="22"/>
      <c r="C49" s="22"/>
      <c r="D49" s="22"/>
      <c r="E49"/>
    </row>
    <row r="50" spans="1:5" ht="14.1" customHeight="1" x14ac:dyDescent="0.2">
      <c r="A50" s="19" t="s">
        <v>146</v>
      </c>
      <c r="B50" s="418">
        <v>0</v>
      </c>
      <c r="C50" s="418">
        <v>385680</v>
      </c>
      <c r="D50" s="20">
        <f t="shared" ref="D50:D51" si="1">+B50+C50</f>
        <v>385680</v>
      </c>
      <c r="E50" s="70">
        <f>D50/'- 3 -'!$B50*100</f>
        <v>11.899917032573894</v>
      </c>
    </row>
    <row r="51" spans="1:5" ht="14.1" customHeight="1" x14ac:dyDescent="0.2">
      <c r="A51" s="284" t="s">
        <v>607</v>
      </c>
      <c r="B51" s="417">
        <v>3334543</v>
      </c>
      <c r="C51" s="417">
        <v>0</v>
      </c>
      <c r="D51" s="285">
        <f t="shared" si="1"/>
        <v>3334543</v>
      </c>
      <c r="E51" s="291">
        <f>D51/'- 3 -'!$B51*100</f>
        <v>10.893854292322528</v>
      </c>
    </row>
    <row r="52" spans="1:5" ht="50.1" customHeight="1" x14ac:dyDescent="0.2">
      <c r="A52" s="23"/>
      <c r="B52" s="23"/>
      <c r="C52" s="23"/>
      <c r="D52" s="23"/>
      <c r="E52" s="23"/>
    </row>
    <row r="53" spans="1:5" x14ac:dyDescent="0.2">
      <c r="A53" s="38" t="s">
        <v>382</v>
      </c>
      <c r="B53" s="184"/>
      <c r="C53" s="184"/>
      <c r="D53" s="184"/>
      <c r="E53" s="184"/>
    </row>
    <row r="54" spans="1:5" x14ac:dyDescent="0.2">
      <c r="A54" s="615" t="s">
        <v>533</v>
      </c>
      <c r="B54" s="615"/>
      <c r="C54" s="615"/>
      <c r="D54" s="615"/>
      <c r="E54" s="615"/>
    </row>
    <row r="55" spans="1:5" ht="12" customHeight="1" x14ac:dyDescent="0.2">
      <c r="A55" s="615"/>
      <c r="B55" s="615"/>
      <c r="C55" s="615"/>
      <c r="D55" s="615"/>
      <c r="E55" s="615"/>
    </row>
    <row r="56" spans="1:5" ht="12" customHeight="1" x14ac:dyDescent="0.2">
      <c r="A56" s="615" t="s">
        <v>532</v>
      </c>
      <c r="B56" s="615"/>
      <c r="C56" s="615"/>
      <c r="D56" s="615"/>
      <c r="E56" s="615"/>
    </row>
    <row r="57" spans="1:5" ht="12" customHeight="1" x14ac:dyDescent="0.2">
      <c r="A57" s="615"/>
      <c r="B57" s="615"/>
      <c r="C57" s="615"/>
      <c r="D57" s="615"/>
      <c r="E57" s="615"/>
    </row>
    <row r="58" spans="1:5" ht="15" x14ac:dyDescent="0.25">
      <c r="A58" s="525"/>
    </row>
  </sheetData>
  <mergeCells count="4">
    <mergeCell ref="B7:D7"/>
    <mergeCell ref="E7:E8"/>
    <mergeCell ref="A56:E57"/>
    <mergeCell ref="A54:E55"/>
  </mergeCells>
  <phoneticPr fontId="6" type="noConversion"/>
  <pageMargins left="0.51181102362204722" right="0.51181102362204722" top="0.59055118110236227" bottom="0.19685039370078741" header="0.31496062992125984" footer="0.51181102362204722"/>
  <pageSetup scale="90" orientation="portrait" r:id="rId1"/>
  <headerFooter alignWithMargins="0">
    <oddHeader>&amp;C&amp;"Arial,Regular"&amp;11&amp;A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54"/>
  <sheetViews>
    <sheetView showGridLines="0" showZeros="0" workbookViewId="0"/>
  </sheetViews>
  <sheetFormatPr defaultColWidth="12.83203125" defaultRowHeight="12" x14ac:dyDescent="0.2"/>
  <cols>
    <col min="1" max="1" width="29.83203125" style="2" customWidth="1"/>
    <col min="2" max="8" width="14.83203125" style="2" customWidth="1"/>
    <col min="9" max="16384" width="12.83203125" style="2"/>
  </cols>
  <sheetData>
    <row r="1" spans="1:8" ht="6.95" customHeight="1" x14ac:dyDescent="0.2">
      <c r="A1" s="7"/>
      <c r="B1" s="89"/>
      <c r="C1" s="89"/>
      <c r="D1" s="89"/>
      <c r="E1" s="89"/>
      <c r="F1" s="89"/>
      <c r="G1" s="89"/>
      <c r="H1" s="89"/>
    </row>
    <row r="2" spans="1:8" ht="15.95" customHeight="1" x14ac:dyDescent="0.2">
      <c r="A2" s="63"/>
      <c r="B2" s="90" t="s">
        <v>81</v>
      </c>
      <c r="C2" s="91"/>
      <c r="D2" s="91"/>
      <c r="E2" s="91"/>
      <c r="F2" s="91"/>
      <c r="G2" s="91"/>
      <c r="H2" s="92" t="s">
        <v>82</v>
      </c>
    </row>
    <row r="3" spans="1:8" ht="15.95" customHeight="1" x14ac:dyDescent="0.2">
      <c r="A3" s="542"/>
      <c r="B3" s="93" t="str">
        <f>"ACTUAL SEPTEMBER 30, "&amp;FALLYR</f>
        <v>ACTUAL SEPTEMBER 30, 2017</v>
      </c>
      <c r="C3" s="94"/>
      <c r="D3" s="95"/>
      <c r="E3" s="94"/>
      <c r="F3" s="95"/>
      <c r="G3" s="94"/>
      <c r="H3" s="96"/>
    </row>
    <row r="4" spans="1:8" ht="15.95" customHeight="1" x14ac:dyDescent="0.2">
      <c r="B4" s="89"/>
      <c r="C4" s="89"/>
      <c r="D4" s="89"/>
      <c r="E4" s="89"/>
      <c r="F4" s="89"/>
      <c r="G4" s="97"/>
      <c r="H4" s="89"/>
    </row>
    <row r="5" spans="1:8" ht="15.95" customHeight="1" x14ac:dyDescent="0.2">
      <c r="B5" s="89"/>
      <c r="C5" s="89"/>
      <c r="D5" s="89"/>
      <c r="E5" s="89"/>
      <c r="F5" s="89"/>
      <c r="G5" s="89"/>
      <c r="H5" s="89"/>
    </row>
    <row r="6" spans="1:8" ht="15.95" customHeight="1" x14ac:dyDescent="0.2">
      <c r="B6" s="288" t="s">
        <v>26</v>
      </c>
      <c r="C6" s="289"/>
      <c r="D6" s="289"/>
      <c r="E6" s="289"/>
      <c r="F6" s="289"/>
      <c r="G6" s="289"/>
      <c r="H6" s="290"/>
    </row>
    <row r="7" spans="1:8" ht="15.95" customHeight="1" x14ac:dyDescent="0.2">
      <c r="B7" s="98" t="s">
        <v>236</v>
      </c>
      <c r="C7" s="99"/>
      <c r="D7" s="99"/>
      <c r="E7" s="100" t="s">
        <v>237</v>
      </c>
      <c r="F7" s="99"/>
      <c r="G7" s="99"/>
      <c r="H7" s="101"/>
    </row>
    <row r="8" spans="1:8" ht="15.95" customHeight="1" x14ac:dyDescent="0.2">
      <c r="A8" s="102"/>
      <c r="B8" s="604" t="s">
        <v>20</v>
      </c>
      <c r="C8" s="103" t="s">
        <v>7</v>
      </c>
      <c r="D8" s="606" t="s">
        <v>22</v>
      </c>
      <c r="E8" s="608" t="s">
        <v>20</v>
      </c>
      <c r="F8" s="103" t="s">
        <v>7</v>
      </c>
      <c r="G8" s="610" t="s">
        <v>22</v>
      </c>
      <c r="H8" s="610" t="s">
        <v>452</v>
      </c>
    </row>
    <row r="9" spans="1:8" ht="15.95" customHeight="1" x14ac:dyDescent="0.2">
      <c r="A9" s="104" t="s">
        <v>42</v>
      </c>
      <c r="B9" s="605"/>
      <c r="C9" s="105" t="s">
        <v>21</v>
      </c>
      <c r="D9" s="607"/>
      <c r="E9" s="609"/>
      <c r="F9" s="105" t="s">
        <v>21</v>
      </c>
      <c r="G9" s="611"/>
      <c r="H9" s="611"/>
    </row>
    <row r="10" spans="1:8" ht="5.0999999999999996" customHeight="1" x14ac:dyDescent="0.2">
      <c r="A10" s="6"/>
      <c r="B10" s="85"/>
      <c r="C10" s="85"/>
      <c r="D10" s="85"/>
      <c r="E10" s="85"/>
      <c r="F10" s="85"/>
      <c r="G10" s="85"/>
      <c r="H10" s="85"/>
    </row>
    <row r="11" spans="1:8" ht="14.1" customHeight="1" x14ac:dyDescent="0.2">
      <c r="A11" s="284" t="s">
        <v>110</v>
      </c>
      <c r="B11" s="291">
        <v>1798.2</v>
      </c>
      <c r="C11" s="291">
        <v>0</v>
      </c>
      <c r="D11" s="292">
        <v>0</v>
      </c>
      <c r="E11" s="293">
        <v>0</v>
      </c>
      <c r="F11" s="291">
        <v>0</v>
      </c>
      <c r="G11" s="291">
        <v>0</v>
      </c>
      <c r="H11" s="291">
        <v>0</v>
      </c>
    </row>
    <row r="12" spans="1:8" ht="14.1" customHeight="1" x14ac:dyDescent="0.2">
      <c r="A12" s="19" t="s">
        <v>111</v>
      </c>
      <c r="B12" s="70">
        <v>1888.66</v>
      </c>
      <c r="C12" s="70">
        <v>0</v>
      </c>
      <c r="D12" s="106">
        <v>0</v>
      </c>
      <c r="E12" s="107">
        <v>0</v>
      </c>
      <c r="F12" s="70">
        <v>0</v>
      </c>
      <c r="G12" s="70">
        <v>0</v>
      </c>
      <c r="H12" s="70">
        <v>0</v>
      </c>
    </row>
    <row r="13" spans="1:8" ht="14.1" customHeight="1" x14ac:dyDescent="0.2">
      <c r="A13" s="284" t="s">
        <v>112</v>
      </c>
      <c r="B13" s="291">
        <v>6265.6</v>
      </c>
      <c r="C13" s="291">
        <v>0</v>
      </c>
      <c r="D13" s="292">
        <v>339</v>
      </c>
      <c r="E13" s="293">
        <v>943.5</v>
      </c>
      <c r="F13" s="291">
        <v>0</v>
      </c>
      <c r="G13" s="291">
        <v>440</v>
      </c>
      <c r="H13" s="291">
        <v>0</v>
      </c>
    </row>
    <row r="14" spans="1:8" ht="14.1" customHeight="1" x14ac:dyDescent="0.2">
      <c r="A14" s="19" t="s">
        <v>359</v>
      </c>
      <c r="B14" s="70">
        <v>0</v>
      </c>
      <c r="C14" s="70">
        <v>5590</v>
      </c>
      <c r="D14" s="106">
        <v>0</v>
      </c>
      <c r="E14" s="107">
        <v>0</v>
      </c>
      <c r="F14" s="70">
        <v>0</v>
      </c>
      <c r="G14" s="70">
        <v>0</v>
      </c>
      <c r="H14" s="70">
        <v>0</v>
      </c>
    </row>
    <row r="15" spans="1:8" ht="14.1" customHeight="1" x14ac:dyDescent="0.2">
      <c r="A15" s="284" t="s">
        <v>113</v>
      </c>
      <c r="B15" s="291">
        <v>1359.8</v>
      </c>
      <c r="C15" s="291">
        <v>0</v>
      </c>
      <c r="D15" s="292">
        <v>0</v>
      </c>
      <c r="E15" s="293">
        <v>0</v>
      </c>
      <c r="F15" s="291">
        <v>0</v>
      </c>
      <c r="G15" s="291">
        <v>0</v>
      </c>
      <c r="H15" s="291">
        <v>0</v>
      </c>
    </row>
    <row r="16" spans="1:8" ht="14.1" customHeight="1" x14ac:dyDescent="0.2">
      <c r="A16" s="19" t="s">
        <v>114</v>
      </c>
      <c r="B16" s="70">
        <v>542.9</v>
      </c>
      <c r="C16" s="70">
        <v>0</v>
      </c>
      <c r="D16" s="106">
        <v>0</v>
      </c>
      <c r="E16" s="107">
        <v>257.5</v>
      </c>
      <c r="F16" s="70">
        <v>0</v>
      </c>
      <c r="G16" s="70">
        <v>112.5</v>
      </c>
      <c r="H16" s="70">
        <v>0</v>
      </c>
    </row>
    <row r="17" spans="1:8" ht="14.1" customHeight="1" x14ac:dyDescent="0.2">
      <c r="A17" s="284" t="s">
        <v>115</v>
      </c>
      <c r="B17" s="291">
        <v>1374.5</v>
      </c>
      <c r="C17" s="291">
        <v>0</v>
      </c>
      <c r="D17" s="292">
        <v>0</v>
      </c>
      <c r="E17" s="293">
        <v>0</v>
      </c>
      <c r="F17" s="291">
        <v>0</v>
      </c>
      <c r="G17" s="291">
        <v>0</v>
      </c>
      <c r="H17" s="291">
        <v>0</v>
      </c>
    </row>
    <row r="18" spans="1:8" ht="14.1" customHeight="1" x14ac:dyDescent="0.2">
      <c r="A18" s="19" t="s">
        <v>116</v>
      </c>
      <c r="B18" s="70">
        <v>6043.35</v>
      </c>
      <c r="C18" s="70">
        <v>0</v>
      </c>
      <c r="D18" s="106">
        <v>0</v>
      </c>
      <c r="E18" s="107">
        <v>0</v>
      </c>
      <c r="F18" s="70">
        <v>0</v>
      </c>
      <c r="G18" s="70">
        <v>0</v>
      </c>
      <c r="H18" s="70">
        <v>0</v>
      </c>
    </row>
    <row r="19" spans="1:8" ht="14.1" customHeight="1" x14ac:dyDescent="0.2">
      <c r="A19" s="284" t="s">
        <v>117</v>
      </c>
      <c r="B19" s="291">
        <v>4303.6000000000004</v>
      </c>
      <c r="C19" s="291">
        <v>0</v>
      </c>
      <c r="D19" s="292">
        <v>0</v>
      </c>
      <c r="E19" s="293">
        <v>0</v>
      </c>
      <c r="F19" s="291">
        <v>0</v>
      </c>
      <c r="G19" s="291">
        <v>0</v>
      </c>
      <c r="H19" s="291">
        <v>0</v>
      </c>
    </row>
    <row r="20" spans="1:8" ht="14.1" customHeight="1" x14ac:dyDescent="0.2">
      <c r="A20" s="19" t="s">
        <v>118</v>
      </c>
      <c r="B20" s="70">
        <v>7409</v>
      </c>
      <c r="C20" s="70">
        <v>0</v>
      </c>
      <c r="D20" s="106">
        <v>0</v>
      </c>
      <c r="E20" s="107">
        <v>0</v>
      </c>
      <c r="F20" s="70">
        <v>0</v>
      </c>
      <c r="G20" s="70">
        <v>0</v>
      </c>
      <c r="H20" s="70">
        <v>0</v>
      </c>
    </row>
    <row r="21" spans="1:8" ht="14.1" customHeight="1" x14ac:dyDescent="0.2">
      <c r="A21" s="284" t="s">
        <v>119</v>
      </c>
      <c r="B21" s="291">
        <v>2064.1999999999998</v>
      </c>
      <c r="C21" s="291">
        <v>0</v>
      </c>
      <c r="D21" s="292">
        <v>0</v>
      </c>
      <c r="E21" s="293">
        <v>456.5</v>
      </c>
      <c r="F21" s="291">
        <v>0</v>
      </c>
      <c r="G21" s="291">
        <v>261.5</v>
      </c>
      <c r="H21" s="291">
        <v>0</v>
      </c>
    </row>
    <row r="22" spans="1:8" ht="14.1" customHeight="1" x14ac:dyDescent="0.2">
      <c r="A22" s="19" t="s">
        <v>120</v>
      </c>
      <c r="B22" s="70">
        <v>861.4</v>
      </c>
      <c r="C22" s="70">
        <v>0</v>
      </c>
      <c r="D22" s="106">
        <v>0</v>
      </c>
      <c r="E22" s="107">
        <v>483.5</v>
      </c>
      <c r="F22" s="70">
        <v>0</v>
      </c>
      <c r="G22" s="70">
        <v>148.5</v>
      </c>
      <c r="H22" s="70">
        <v>0</v>
      </c>
    </row>
    <row r="23" spans="1:8" ht="14.1" customHeight="1" x14ac:dyDescent="0.2">
      <c r="A23" s="284" t="s">
        <v>121</v>
      </c>
      <c r="B23" s="291">
        <v>1028.5</v>
      </c>
      <c r="C23" s="291">
        <v>0</v>
      </c>
      <c r="D23" s="292">
        <v>0</v>
      </c>
      <c r="E23" s="293">
        <v>0</v>
      </c>
      <c r="F23" s="291">
        <v>0</v>
      </c>
      <c r="G23" s="291">
        <v>0</v>
      </c>
      <c r="H23" s="291">
        <v>0</v>
      </c>
    </row>
    <row r="24" spans="1:8" ht="14.1" customHeight="1" x14ac:dyDescent="0.2">
      <c r="A24" s="19" t="s">
        <v>122</v>
      </c>
      <c r="B24" s="70">
        <v>2764.8</v>
      </c>
      <c r="C24" s="70">
        <v>0</v>
      </c>
      <c r="D24" s="106">
        <v>224</v>
      </c>
      <c r="E24" s="107">
        <v>472</v>
      </c>
      <c r="F24" s="70">
        <v>0</v>
      </c>
      <c r="G24" s="70">
        <v>98</v>
      </c>
      <c r="H24" s="70">
        <v>84.5</v>
      </c>
    </row>
    <row r="25" spans="1:8" ht="14.1" customHeight="1" x14ac:dyDescent="0.2">
      <c r="A25" s="284" t="s">
        <v>123</v>
      </c>
      <c r="B25" s="291">
        <v>9623.9</v>
      </c>
      <c r="C25" s="291">
        <v>0</v>
      </c>
      <c r="D25" s="292">
        <v>4347</v>
      </c>
      <c r="E25" s="293">
        <v>307</v>
      </c>
      <c r="F25" s="291">
        <v>0</v>
      </c>
      <c r="G25" s="291">
        <v>265.5</v>
      </c>
      <c r="H25" s="291">
        <v>0</v>
      </c>
    </row>
    <row r="26" spans="1:8" ht="14.1" customHeight="1" x14ac:dyDescent="0.2">
      <c r="A26" s="19" t="s">
        <v>124</v>
      </c>
      <c r="B26" s="70">
        <v>2175.8000000000002</v>
      </c>
      <c r="C26" s="70">
        <v>0</v>
      </c>
      <c r="D26" s="106">
        <v>166</v>
      </c>
      <c r="E26" s="107">
        <v>312</v>
      </c>
      <c r="F26" s="70">
        <v>0</v>
      </c>
      <c r="G26" s="70">
        <v>79</v>
      </c>
      <c r="H26" s="70">
        <v>69.5</v>
      </c>
    </row>
    <row r="27" spans="1:8" ht="14.1" customHeight="1" x14ac:dyDescent="0.2">
      <c r="A27" s="284" t="s">
        <v>125</v>
      </c>
      <c r="B27" s="291">
        <v>2484.9</v>
      </c>
      <c r="C27" s="291">
        <v>0</v>
      </c>
      <c r="D27" s="292">
        <v>0</v>
      </c>
      <c r="E27" s="293">
        <v>127</v>
      </c>
      <c r="F27" s="291">
        <v>0</v>
      </c>
      <c r="G27" s="291">
        <v>232</v>
      </c>
      <c r="H27" s="291">
        <v>0</v>
      </c>
    </row>
    <row r="28" spans="1:8" ht="14.1" customHeight="1" x14ac:dyDescent="0.2">
      <c r="A28" s="19" t="s">
        <v>126</v>
      </c>
      <c r="B28" s="70">
        <v>1949.5</v>
      </c>
      <c r="C28" s="70">
        <v>0</v>
      </c>
      <c r="D28" s="106">
        <v>0</v>
      </c>
      <c r="E28" s="107">
        <v>0</v>
      </c>
      <c r="F28" s="70">
        <v>0</v>
      </c>
      <c r="G28" s="70">
        <v>0</v>
      </c>
      <c r="H28" s="70">
        <v>0</v>
      </c>
    </row>
    <row r="29" spans="1:8" ht="14.1" customHeight="1" x14ac:dyDescent="0.2">
      <c r="A29" s="284" t="s">
        <v>127</v>
      </c>
      <c r="B29" s="291">
        <v>7933.5</v>
      </c>
      <c r="C29" s="291">
        <v>0</v>
      </c>
      <c r="D29" s="292">
        <v>1182.5</v>
      </c>
      <c r="E29" s="293">
        <v>2603.9</v>
      </c>
      <c r="F29" s="291">
        <v>0</v>
      </c>
      <c r="G29" s="291">
        <v>1673</v>
      </c>
      <c r="H29" s="291">
        <v>0</v>
      </c>
    </row>
    <row r="30" spans="1:8" ht="14.1" customHeight="1" x14ac:dyDescent="0.2">
      <c r="A30" s="19" t="s">
        <v>128</v>
      </c>
      <c r="B30" s="70">
        <v>1007.2</v>
      </c>
      <c r="C30" s="70">
        <v>0</v>
      </c>
      <c r="D30" s="106">
        <v>0</v>
      </c>
      <c r="E30" s="107">
        <v>0</v>
      </c>
      <c r="F30" s="70">
        <v>0</v>
      </c>
      <c r="G30" s="70">
        <v>0</v>
      </c>
      <c r="H30" s="70">
        <v>0</v>
      </c>
    </row>
    <row r="31" spans="1:8" ht="14.1" customHeight="1" x14ac:dyDescent="0.2">
      <c r="A31" s="284" t="s">
        <v>129</v>
      </c>
      <c r="B31" s="291">
        <v>2454.4</v>
      </c>
      <c r="C31" s="291">
        <v>0</v>
      </c>
      <c r="D31" s="292">
        <v>0</v>
      </c>
      <c r="E31" s="293">
        <v>457</v>
      </c>
      <c r="F31" s="291">
        <v>0</v>
      </c>
      <c r="G31" s="291">
        <v>286</v>
      </c>
      <c r="H31" s="291">
        <v>0</v>
      </c>
    </row>
    <row r="32" spans="1:8" ht="14.1" customHeight="1" x14ac:dyDescent="0.2">
      <c r="A32" s="19" t="s">
        <v>130</v>
      </c>
      <c r="B32" s="70">
        <v>1898</v>
      </c>
      <c r="C32" s="70">
        <v>0</v>
      </c>
      <c r="D32" s="106">
        <v>119.5</v>
      </c>
      <c r="E32" s="107">
        <v>111</v>
      </c>
      <c r="F32" s="70">
        <v>0</v>
      </c>
      <c r="G32" s="70">
        <v>58</v>
      </c>
      <c r="H32" s="70">
        <v>0</v>
      </c>
    </row>
    <row r="33" spans="1:10" ht="14.1" customHeight="1" x14ac:dyDescent="0.2">
      <c r="A33" s="284" t="s">
        <v>131</v>
      </c>
      <c r="B33" s="291">
        <v>1624.1</v>
      </c>
      <c r="C33" s="291">
        <v>0</v>
      </c>
      <c r="D33" s="292">
        <v>0</v>
      </c>
      <c r="E33" s="293">
        <v>245.5</v>
      </c>
      <c r="F33" s="291">
        <v>119.5</v>
      </c>
      <c r="G33" s="291">
        <v>105.5</v>
      </c>
      <c r="H33" s="291">
        <v>0</v>
      </c>
    </row>
    <row r="34" spans="1:10" ht="14.1" customHeight="1" x14ac:dyDescent="0.2">
      <c r="A34" s="19" t="s">
        <v>132</v>
      </c>
      <c r="B34" s="70">
        <v>1627.7</v>
      </c>
      <c r="C34" s="70">
        <v>0</v>
      </c>
      <c r="D34" s="106">
        <v>235</v>
      </c>
      <c r="E34" s="107">
        <v>55</v>
      </c>
      <c r="F34" s="70">
        <v>154</v>
      </c>
      <c r="G34" s="70">
        <v>0</v>
      </c>
      <c r="H34" s="70">
        <v>0</v>
      </c>
    </row>
    <row r="35" spans="1:10" ht="14.1" customHeight="1" x14ac:dyDescent="0.2">
      <c r="A35" s="284" t="s">
        <v>133</v>
      </c>
      <c r="B35" s="291">
        <v>9246</v>
      </c>
      <c r="C35" s="291">
        <v>0</v>
      </c>
      <c r="D35" s="292">
        <v>1265</v>
      </c>
      <c r="E35" s="293">
        <v>2583.5</v>
      </c>
      <c r="F35" s="291">
        <v>0</v>
      </c>
      <c r="G35" s="291">
        <v>1717</v>
      </c>
      <c r="H35" s="291">
        <v>382.5</v>
      </c>
    </row>
    <row r="36" spans="1:10" ht="14.1" customHeight="1" x14ac:dyDescent="0.2">
      <c r="A36" s="19" t="s">
        <v>134</v>
      </c>
      <c r="B36" s="70">
        <v>1684.5</v>
      </c>
      <c r="C36" s="70">
        <v>0</v>
      </c>
      <c r="D36" s="106">
        <v>0</v>
      </c>
      <c r="E36" s="107">
        <v>0</v>
      </c>
      <c r="F36" s="70">
        <v>0</v>
      </c>
      <c r="G36" s="70">
        <v>0</v>
      </c>
      <c r="H36" s="70">
        <v>0</v>
      </c>
    </row>
    <row r="37" spans="1:10" ht="14.1" customHeight="1" x14ac:dyDescent="0.2">
      <c r="A37" s="284" t="s">
        <v>135</v>
      </c>
      <c r="B37" s="291">
        <v>2118.5</v>
      </c>
      <c r="C37" s="291">
        <v>0</v>
      </c>
      <c r="D37" s="292">
        <v>769.5</v>
      </c>
      <c r="E37" s="293">
        <v>754</v>
      </c>
      <c r="F37" s="291">
        <v>0</v>
      </c>
      <c r="G37" s="291">
        <v>553</v>
      </c>
      <c r="H37" s="291">
        <v>0</v>
      </c>
    </row>
    <row r="38" spans="1:10" ht="14.1" customHeight="1" x14ac:dyDescent="0.2">
      <c r="A38" s="19" t="s">
        <v>136</v>
      </c>
      <c r="B38" s="70">
        <v>6423.8</v>
      </c>
      <c r="C38" s="70">
        <v>0</v>
      </c>
      <c r="D38" s="106">
        <v>610</v>
      </c>
      <c r="E38" s="107">
        <v>2415.9</v>
      </c>
      <c r="F38" s="70">
        <v>0</v>
      </c>
      <c r="G38" s="70">
        <v>1223.5</v>
      </c>
      <c r="H38" s="70">
        <v>196</v>
      </c>
    </row>
    <row r="39" spans="1:10" ht="14.1" customHeight="1" x14ac:dyDescent="0.2">
      <c r="A39" s="284" t="s">
        <v>137</v>
      </c>
      <c r="B39" s="291">
        <v>1513</v>
      </c>
      <c r="C39" s="291">
        <v>0</v>
      </c>
      <c r="D39" s="292">
        <v>0</v>
      </c>
      <c r="E39" s="293">
        <v>0</v>
      </c>
      <c r="F39" s="291">
        <v>0</v>
      </c>
      <c r="G39" s="291">
        <v>0</v>
      </c>
      <c r="H39" s="291">
        <v>0</v>
      </c>
    </row>
    <row r="40" spans="1:10" ht="14.1" customHeight="1" x14ac:dyDescent="0.2">
      <c r="A40" s="19" t="s">
        <v>138</v>
      </c>
      <c r="B40" s="70">
        <v>5330.5</v>
      </c>
      <c r="C40" s="70">
        <v>0</v>
      </c>
      <c r="D40" s="106">
        <v>969.5</v>
      </c>
      <c r="E40" s="107">
        <v>951.9</v>
      </c>
      <c r="F40" s="70">
        <v>0</v>
      </c>
      <c r="G40" s="70">
        <v>614.29999999999995</v>
      </c>
      <c r="H40" s="70">
        <v>0</v>
      </c>
    </row>
    <row r="41" spans="1:10" ht="14.1" customHeight="1" x14ac:dyDescent="0.2">
      <c r="A41" s="284" t="s">
        <v>139</v>
      </c>
      <c r="B41" s="291">
        <v>2065</v>
      </c>
      <c r="C41" s="291">
        <v>0</v>
      </c>
      <c r="D41" s="292">
        <v>0</v>
      </c>
      <c r="E41" s="293">
        <v>1605.5</v>
      </c>
      <c r="F41" s="291">
        <v>0</v>
      </c>
      <c r="G41" s="291">
        <v>699</v>
      </c>
      <c r="H41" s="291">
        <v>76</v>
      </c>
    </row>
    <row r="42" spans="1:10" ht="14.1" customHeight="1" x14ac:dyDescent="0.2">
      <c r="A42" s="19" t="s">
        <v>140</v>
      </c>
      <c r="B42" s="70">
        <v>1028.4000000000001</v>
      </c>
      <c r="C42" s="70">
        <v>0</v>
      </c>
      <c r="D42" s="106">
        <v>0</v>
      </c>
      <c r="E42" s="107">
        <v>203.6</v>
      </c>
      <c r="F42" s="70">
        <v>0</v>
      </c>
      <c r="G42" s="70">
        <v>64.900000000000006</v>
      </c>
      <c r="H42" s="70">
        <v>0</v>
      </c>
    </row>
    <row r="43" spans="1:10" ht="14.1" customHeight="1" x14ac:dyDescent="0.2">
      <c r="A43" s="284" t="s">
        <v>141</v>
      </c>
      <c r="B43" s="291">
        <v>955</v>
      </c>
      <c r="C43" s="291">
        <v>0</v>
      </c>
      <c r="D43" s="292">
        <v>0</v>
      </c>
      <c r="E43" s="293">
        <v>0</v>
      </c>
      <c r="F43" s="291">
        <v>0</v>
      </c>
      <c r="G43" s="291">
        <v>0</v>
      </c>
      <c r="H43" s="291">
        <v>0</v>
      </c>
    </row>
    <row r="44" spans="1:10" ht="14.1" customHeight="1" x14ac:dyDescent="0.2">
      <c r="A44" s="19" t="s">
        <v>142</v>
      </c>
      <c r="B44" s="70">
        <v>663.5</v>
      </c>
      <c r="C44" s="70">
        <v>0</v>
      </c>
      <c r="D44" s="106">
        <v>30.5</v>
      </c>
      <c r="E44" s="107">
        <v>0</v>
      </c>
      <c r="F44" s="70">
        <v>0</v>
      </c>
      <c r="G44" s="70">
        <v>0</v>
      </c>
      <c r="H44" s="70">
        <v>0</v>
      </c>
    </row>
    <row r="45" spans="1:10" ht="14.1" customHeight="1" x14ac:dyDescent="0.2">
      <c r="A45" s="284" t="s">
        <v>143</v>
      </c>
      <c r="B45" s="291">
        <v>741.5</v>
      </c>
      <c r="C45" s="291">
        <v>0</v>
      </c>
      <c r="D45" s="292">
        <v>0</v>
      </c>
      <c r="E45" s="293">
        <v>696.5</v>
      </c>
      <c r="F45" s="291">
        <v>0</v>
      </c>
      <c r="G45" s="291">
        <v>250</v>
      </c>
      <c r="H45" s="291">
        <v>0</v>
      </c>
    </row>
    <row r="46" spans="1:10" ht="14.1" customHeight="1" x14ac:dyDescent="0.2">
      <c r="A46" s="19" t="s">
        <v>144</v>
      </c>
      <c r="B46" s="70">
        <v>21964</v>
      </c>
      <c r="C46" s="70">
        <v>0</v>
      </c>
      <c r="D46" s="106">
        <v>1338.5</v>
      </c>
      <c r="E46" s="107">
        <v>3112.5</v>
      </c>
      <c r="F46" s="70">
        <v>0</v>
      </c>
      <c r="G46" s="70">
        <v>2600.5</v>
      </c>
      <c r="H46" s="70">
        <v>232.5</v>
      </c>
    </row>
    <row r="47" spans="1:10" ht="5.0999999999999996" customHeight="1" x14ac:dyDescent="0.2">
      <c r="A47"/>
      <c r="B47"/>
      <c r="C47"/>
      <c r="D47"/>
      <c r="E47"/>
      <c r="F47"/>
      <c r="G47"/>
      <c r="H47"/>
      <c r="I47"/>
      <c r="J47"/>
    </row>
    <row r="48" spans="1:10" ht="14.1" customHeight="1" x14ac:dyDescent="0.2">
      <c r="A48" s="286" t="s">
        <v>145</v>
      </c>
      <c r="B48" s="294">
        <f t="shared" ref="B48:H48" si="0">SUM(B11:B46)</f>
        <v>124217.21</v>
      </c>
      <c r="C48" s="294">
        <f t="shared" si="0"/>
        <v>5590</v>
      </c>
      <c r="D48" s="295">
        <f t="shared" si="0"/>
        <v>11596</v>
      </c>
      <c r="E48" s="296">
        <f t="shared" si="0"/>
        <v>19154.8</v>
      </c>
      <c r="F48" s="294">
        <f t="shared" si="0"/>
        <v>273.5</v>
      </c>
      <c r="G48" s="294">
        <f t="shared" si="0"/>
        <v>11481.699999999999</v>
      </c>
      <c r="H48" s="294">
        <f t="shared" si="0"/>
        <v>1041</v>
      </c>
    </row>
    <row r="49" spans="1:8" ht="5.0999999999999996" customHeight="1" x14ac:dyDescent="0.2">
      <c r="A49" s="21" t="s">
        <v>7</v>
      </c>
      <c r="B49" s="71"/>
      <c r="C49" s="71"/>
      <c r="D49" s="71"/>
      <c r="E49" s="71"/>
      <c r="F49" s="71"/>
      <c r="G49" s="71"/>
      <c r="H49" s="71"/>
    </row>
    <row r="50" spans="1:8" ht="14.1" customHeight="1" x14ac:dyDescent="0.2">
      <c r="A50" s="19" t="s">
        <v>146</v>
      </c>
      <c r="B50" s="70">
        <v>164</v>
      </c>
      <c r="C50" s="70">
        <v>0</v>
      </c>
      <c r="D50" s="106">
        <v>0</v>
      </c>
      <c r="E50" s="107">
        <v>0</v>
      </c>
      <c r="F50" s="70">
        <v>0</v>
      </c>
      <c r="G50" s="70">
        <v>0</v>
      </c>
      <c r="H50" s="70">
        <v>0</v>
      </c>
    </row>
    <row r="51" spans="1:8" ht="14.1" customHeight="1" x14ac:dyDescent="0.2">
      <c r="A51" s="284" t="s">
        <v>607</v>
      </c>
      <c r="B51" s="291">
        <v>125</v>
      </c>
      <c r="C51" s="291">
        <v>0</v>
      </c>
      <c r="D51" s="292">
        <v>0</v>
      </c>
      <c r="E51" s="293">
        <v>0</v>
      </c>
      <c r="F51" s="291">
        <v>0</v>
      </c>
      <c r="G51" s="291">
        <v>0</v>
      </c>
      <c r="H51" s="291">
        <v>0</v>
      </c>
    </row>
    <row r="52" spans="1:8" ht="50.1" customHeight="1" x14ac:dyDescent="0.2">
      <c r="A52" s="23"/>
      <c r="B52" s="108"/>
      <c r="C52" s="108"/>
      <c r="D52" s="108"/>
      <c r="E52" s="108"/>
      <c r="F52" s="108"/>
      <c r="G52" s="108"/>
      <c r="H52" s="108"/>
    </row>
    <row r="53" spans="1:8" ht="15" customHeight="1" x14ac:dyDescent="0.2">
      <c r="A53" s="85" t="s">
        <v>337</v>
      </c>
      <c r="C53" s="85"/>
      <c r="D53" s="85"/>
      <c r="E53" s="85"/>
      <c r="F53" s="85"/>
      <c r="G53" s="85"/>
      <c r="H53" s="85"/>
    </row>
    <row r="54" spans="1:8" ht="12" customHeight="1" x14ac:dyDescent="0.2">
      <c r="A54" s="85" t="s">
        <v>338</v>
      </c>
      <c r="C54" s="85"/>
      <c r="D54" s="85"/>
      <c r="E54" s="85"/>
      <c r="F54" s="85"/>
      <c r="G54" s="85"/>
      <c r="H54" s="85"/>
    </row>
  </sheetData>
  <mergeCells count="5">
    <mergeCell ref="B8:B9"/>
    <mergeCell ref="D8:D9"/>
    <mergeCell ref="E8:E9"/>
    <mergeCell ref="G8:G9"/>
    <mergeCell ref="H8:H9"/>
  </mergeCells>
  <phoneticPr fontId="6" type="noConversion"/>
  <pageMargins left="0.51181102362204722" right="0.51181102362204722" top="0.59055118110236227" bottom="0.19685039370078741" header="0.31496062992125984" footer="0.51181102362204722"/>
  <pageSetup scale="88" orientation="portrait" r:id="rId1"/>
  <headerFooter alignWithMargins="0">
    <oddHeader>&amp;C&amp;"Arial,Regular"&amp;11&amp;A</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F56"/>
  <sheetViews>
    <sheetView showGridLines="0" showZeros="0" workbookViewId="0"/>
  </sheetViews>
  <sheetFormatPr defaultColWidth="19.83203125" defaultRowHeight="12" x14ac:dyDescent="0.2"/>
  <cols>
    <col min="1" max="1" width="34.83203125" style="2" customWidth="1"/>
    <col min="2" max="2" width="19.83203125" style="2" customWidth="1"/>
    <col min="3" max="4" width="19.33203125" style="2" customWidth="1"/>
    <col min="5" max="16384" width="19.83203125" style="2"/>
  </cols>
  <sheetData>
    <row r="1" spans="1:6" ht="6.95" customHeight="1" x14ac:dyDescent="0.2">
      <c r="A1" s="7"/>
    </row>
    <row r="2" spans="1:6" ht="15.95" customHeight="1" x14ac:dyDescent="0.2">
      <c r="A2" s="134"/>
      <c r="B2" s="731" t="str">
        <f>'- 46 -'!B2:C3</f>
        <v>CAPITAL FUND 2017/2018 ACTUAL</v>
      </c>
      <c r="C2" s="731"/>
      <c r="D2" s="731"/>
      <c r="E2" s="731"/>
      <c r="F2" s="231" t="s">
        <v>253</v>
      </c>
    </row>
    <row r="3" spans="1:6" ht="15.95" customHeight="1" x14ac:dyDescent="0.2">
      <c r="A3" s="541"/>
      <c r="B3" s="732" t="s">
        <v>148</v>
      </c>
      <c r="C3" s="732"/>
      <c r="D3" s="732"/>
      <c r="E3" s="732"/>
      <c r="F3" s="226"/>
    </row>
    <row r="4" spans="1:6" ht="15.95" customHeight="1" x14ac:dyDescent="0.2">
      <c r="B4" s="8"/>
      <c r="C4" s="8"/>
      <c r="D4" s="8"/>
      <c r="E4" s="8"/>
    </row>
    <row r="5" spans="1:6" ht="15.95" customHeight="1" x14ac:dyDescent="0.2">
      <c r="B5" s="8"/>
      <c r="C5" s="8"/>
      <c r="D5" s="8"/>
      <c r="E5" s="8"/>
    </row>
    <row r="6" spans="1:6" ht="15.95" customHeight="1" x14ac:dyDescent="0.2">
      <c r="B6" s="405" t="s">
        <v>1</v>
      </c>
      <c r="C6" s="173"/>
      <c r="D6" s="444"/>
      <c r="E6" s="174"/>
    </row>
    <row r="7" spans="1:6" ht="15.95" customHeight="1" x14ac:dyDescent="0.2">
      <c r="B7" s="406"/>
      <c r="C7" s="406"/>
      <c r="D7" s="735" t="s">
        <v>535</v>
      </c>
      <c r="E7" s="406"/>
    </row>
    <row r="8" spans="1:6" ht="15.95" customHeight="1" x14ac:dyDescent="0.2">
      <c r="A8" s="403"/>
      <c r="B8" s="407"/>
      <c r="C8" s="733" t="s">
        <v>534</v>
      </c>
      <c r="D8" s="733"/>
      <c r="E8" s="733" t="s">
        <v>537</v>
      </c>
    </row>
    <row r="9" spans="1:6" ht="15.95" customHeight="1" x14ac:dyDescent="0.2">
      <c r="A9" s="404" t="s">
        <v>42</v>
      </c>
      <c r="B9" s="431" t="s">
        <v>273</v>
      </c>
      <c r="C9" s="734"/>
      <c r="D9" s="734"/>
      <c r="E9" s="734"/>
    </row>
    <row r="10" spans="1:6" ht="5.0999999999999996" customHeight="1" x14ac:dyDescent="0.2">
      <c r="A10" s="6"/>
      <c r="B10" s="207"/>
      <c r="C10" s="207"/>
      <c r="D10" s="207"/>
      <c r="E10" s="207"/>
    </row>
    <row r="11" spans="1:6" ht="14.1" customHeight="1" x14ac:dyDescent="0.2">
      <c r="A11" s="284" t="s">
        <v>110</v>
      </c>
      <c r="B11" s="285">
        <v>1205603</v>
      </c>
      <c r="C11" s="285">
        <v>945712</v>
      </c>
      <c r="D11" s="285">
        <v>-159</v>
      </c>
      <c r="E11" s="285">
        <f t="shared" ref="E11:E46" si="0">SUM(B11:D11)</f>
        <v>2151156</v>
      </c>
    </row>
    <row r="12" spans="1:6" ht="14.1" customHeight="1" x14ac:dyDescent="0.2">
      <c r="A12" s="19" t="s">
        <v>111</v>
      </c>
      <c r="B12" s="20">
        <v>2216202</v>
      </c>
      <c r="C12" s="20">
        <v>482127</v>
      </c>
      <c r="D12" s="20">
        <v>0</v>
      </c>
      <c r="E12" s="20">
        <f t="shared" si="0"/>
        <v>2698329</v>
      </c>
    </row>
    <row r="13" spans="1:6" ht="14.1" customHeight="1" x14ac:dyDescent="0.2">
      <c r="A13" s="284" t="s">
        <v>112</v>
      </c>
      <c r="B13" s="285">
        <v>3039701</v>
      </c>
      <c r="C13" s="285">
        <v>1457259</v>
      </c>
      <c r="D13" s="285">
        <v>1362</v>
      </c>
      <c r="E13" s="285">
        <f t="shared" si="0"/>
        <v>4498322</v>
      </c>
    </row>
    <row r="14" spans="1:6" ht="14.1" customHeight="1" x14ac:dyDescent="0.2">
      <c r="A14" s="19" t="s">
        <v>359</v>
      </c>
      <c r="B14" s="20">
        <v>3179192</v>
      </c>
      <c r="C14" s="20">
        <v>2077585</v>
      </c>
      <c r="D14" s="20">
        <v>327048</v>
      </c>
      <c r="E14" s="20">
        <f t="shared" si="0"/>
        <v>5583825</v>
      </c>
    </row>
    <row r="15" spans="1:6" ht="14.1" customHeight="1" x14ac:dyDescent="0.2">
      <c r="A15" s="284" t="s">
        <v>113</v>
      </c>
      <c r="B15" s="285">
        <v>1578898</v>
      </c>
      <c r="C15" s="285">
        <v>673526</v>
      </c>
      <c r="D15" s="285">
        <v>4736</v>
      </c>
      <c r="E15" s="285">
        <f t="shared" si="0"/>
        <v>2257160</v>
      </c>
    </row>
    <row r="16" spans="1:6" ht="14.1" customHeight="1" x14ac:dyDescent="0.2">
      <c r="A16" s="19" t="s">
        <v>114</v>
      </c>
      <c r="B16" s="20">
        <v>275345</v>
      </c>
      <c r="C16" s="20">
        <v>115536</v>
      </c>
      <c r="D16" s="20">
        <v>0</v>
      </c>
      <c r="E16" s="20">
        <f t="shared" si="0"/>
        <v>390881</v>
      </c>
    </row>
    <row r="17" spans="1:5" ht="14.1" customHeight="1" x14ac:dyDescent="0.2">
      <c r="A17" s="284" t="s">
        <v>115</v>
      </c>
      <c r="B17" s="285">
        <v>1086789</v>
      </c>
      <c r="C17" s="285">
        <v>421269</v>
      </c>
      <c r="D17" s="285">
        <v>52651</v>
      </c>
      <c r="E17" s="285">
        <f t="shared" si="0"/>
        <v>1560709</v>
      </c>
    </row>
    <row r="18" spans="1:5" ht="14.1" customHeight="1" x14ac:dyDescent="0.2">
      <c r="A18" s="19" t="s">
        <v>116</v>
      </c>
      <c r="B18" s="20">
        <v>4237237</v>
      </c>
      <c r="C18" s="20">
        <v>2228744</v>
      </c>
      <c r="D18" s="20">
        <v>0</v>
      </c>
      <c r="E18" s="20">
        <f t="shared" si="0"/>
        <v>6465981</v>
      </c>
    </row>
    <row r="19" spans="1:5" ht="14.1" customHeight="1" x14ac:dyDescent="0.2">
      <c r="A19" s="284" t="s">
        <v>117</v>
      </c>
      <c r="B19" s="285">
        <v>3919900</v>
      </c>
      <c r="C19" s="285">
        <v>2742641</v>
      </c>
      <c r="D19" s="285">
        <v>0</v>
      </c>
      <c r="E19" s="285">
        <f t="shared" si="0"/>
        <v>6662541</v>
      </c>
    </row>
    <row r="20" spans="1:5" ht="14.1" customHeight="1" x14ac:dyDescent="0.2">
      <c r="A20" s="19" t="s">
        <v>118</v>
      </c>
      <c r="B20" s="20">
        <v>5055514</v>
      </c>
      <c r="C20" s="20">
        <v>3829662</v>
      </c>
      <c r="D20" s="20">
        <v>119902</v>
      </c>
      <c r="E20" s="20">
        <f t="shared" si="0"/>
        <v>9005078</v>
      </c>
    </row>
    <row r="21" spans="1:5" ht="14.1" customHeight="1" x14ac:dyDescent="0.2">
      <c r="A21" s="284" t="s">
        <v>119</v>
      </c>
      <c r="B21" s="285">
        <v>1587041</v>
      </c>
      <c r="C21" s="285">
        <v>777368</v>
      </c>
      <c r="D21" s="285">
        <v>15200</v>
      </c>
      <c r="E21" s="285">
        <f t="shared" si="0"/>
        <v>2379609</v>
      </c>
    </row>
    <row r="22" spans="1:5" ht="14.1" customHeight="1" x14ac:dyDescent="0.2">
      <c r="A22" s="19" t="s">
        <v>120</v>
      </c>
      <c r="B22" s="20">
        <v>1214378</v>
      </c>
      <c r="C22" s="20">
        <v>830349</v>
      </c>
      <c r="D22" s="20">
        <v>0</v>
      </c>
      <c r="E22" s="20">
        <f t="shared" si="0"/>
        <v>2044727</v>
      </c>
    </row>
    <row r="23" spans="1:5" ht="14.1" customHeight="1" x14ac:dyDescent="0.2">
      <c r="A23" s="284" t="s">
        <v>121</v>
      </c>
      <c r="B23" s="285">
        <v>823253</v>
      </c>
      <c r="C23" s="285">
        <v>494566</v>
      </c>
      <c r="D23" s="285">
        <v>0</v>
      </c>
      <c r="E23" s="285">
        <f t="shared" si="0"/>
        <v>1317819</v>
      </c>
    </row>
    <row r="24" spans="1:5" ht="14.1" customHeight="1" x14ac:dyDescent="0.2">
      <c r="A24" s="19" t="s">
        <v>122</v>
      </c>
      <c r="B24" s="20">
        <v>2734493</v>
      </c>
      <c r="C24" s="20">
        <v>1245187</v>
      </c>
      <c r="D24" s="20">
        <v>0</v>
      </c>
      <c r="E24" s="20">
        <f t="shared" si="0"/>
        <v>3979680</v>
      </c>
    </row>
    <row r="25" spans="1:5" ht="14.1" customHeight="1" x14ac:dyDescent="0.2">
      <c r="A25" s="284" t="s">
        <v>123</v>
      </c>
      <c r="B25" s="285">
        <v>4848129</v>
      </c>
      <c r="C25" s="285">
        <v>2112246</v>
      </c>
      <c r="D25" s="285">
        <v>0</v>
      </c>
      <c r="E25" s="285">
        <f t="shared" si="0"/>
        <v>6960375</v>
      </c>
    </row>
    <row r="26" spans="1:5" ht="14.1" customHeight="1" x14ac:dyDescent="0.2">
      <c r="A26" s="19" t="s">
        <v>124</v>
      </c>
      <c r="B26" s="20">
        <v>1984943</v>
      </c>
      <c r="C26" s="20">
        <v>1264135</v>
      </c>
      <c r="D26" s="20">
        <v>105329</v>
      </c>
      <c r="E26" s="20">
        <f t="shared" si="0"/>
        <v>3354407</v>
      </c>
    </row>
    <row r="27" spans="1:5" ht="14.1" customHeight="1" x14ac:dyDescent="0.2">
      <c r="A27" s="284" t="s">
        <v>125</v>
      </c>
      <c r="B27" s="285">
        <v>1089049</v>
      </c>
      <c r="C27" s="285">
        <v>476021</v>
      </c>
      <c r="D27" s="285">
        <v>0</v>
      </c>
      <c r="E27" s="285">
        <f t="shared" si="0"/>
        <v>1565070</v>
      </c>
    </row>
    <row r="28" spans="1:5" ht="14.1" customHeight="1" x14ac:dyDescent="0.2">
      <c r="A28" s="19" t="s">
        <v>126</v>
      </c>
      <c r="B28" s="20">
        <v>1037236</v>
      </c>
      <c r="C28" s="20">
        <v>435905</v>
      </c>
      <c r="D28" s="20">
        <v>0</v>
      </c>
      <c r="E28" s="20">
        <f t="shared" si="0"/>
        <v>1473141</v>
      </c>
    </row>
    <row r="29" spans="1:5" ht="14.1" customHeight="1" x14ac:dyDescent="0.2">
      <c r="A29" s="284" t="s">
        <v>127</v>
      </c>
      <c r="B29" s="285">
        <v>4857544</v>
      </c>
      <c r="C29" s="285">
        <v>2968853</v>
      </c>
      <c r="D29" s="285">
        <v>0</v>
      </c>
      <c r="E29" s="285">
        <f t="shared" si="0"/>
        <v>7826397</v>
      </c>
    </row>
    <row r="30" spans="1:5" ht="14.1" customHeight="1" x14ac:dyDescent="0.2">
      <c r="A30" s="19" t="s">
        <v>128</v>
      </c>
      <c r="B30" s="20">
        <v>530142</v>
      </c>
      <c r="C30" s="20">
        <v>159949</v>
      </c>
      <c r="D30" s="20">
        <v>0</v>
      </c>
      <c r="E30" s="20">
        <f t="shared" si="0"/>
        <v>690091</v>
      </c>
    </row>
    <row r="31" spans="1:5" ht="14.1" customHeight="1" x14ac:dyDescent="0.2">
      <c r="A31" s="284" t="s">
        <v>129</v>
      </c>
      <c r="B31" s="285">
        <v>1468339</v>
      </c>
      <c r="C31" s="285">
        <v>430918</v>
      </c>
      <c r="D31" s="285">
        <v>123300</v>
      </c>
      <c r="E31" s="285">
        <f t="shared" si="0"/>
        <v>2022557</v>
      </c>
    </row>
    <row r="32" spans="1:5" ht="14.1" customHeight="1" x14ac:dyDescent="0.2">
      <c r="A32" s="19" t="s">
        <v>130</v>
      </c>
      <c r="B32" s="20">
        <v>1166092</v>
      </c>
      <c r="C32" s="20">
        <v>465231</v>
      </c>
      <c r="D32" s="20">
        <v>0</v>
      </c>
      <c r="E32" s="20">
        <f t="shared" si="0"/>
        <v>1631323</v>
      </c>
    </row>
    <row r="33" spans="1:5" ht="14.1" customHeight="1" x14ac:dyDescent="0.2">
      <c r="A33" s="284" t="s">
        <v>131</v>
      </c>
      <c r="B33" s="285">
        <v>1454422</v>
      </c>
      <c r="C33" s="285">
        <v>280846</v>
      </c>
      <c r="D33" s="285">
        <v>0</v>
      </c>
      <c r="E33" s="285">
        <f t="shared" si="0"/>
        <v>1735268</v>
      </c>
    </row>
    <row r="34" spans="1:5" ht="14.1" customHeight="1" x14ac:dyDescent="0.2">
      <c r="A34" s="19" t="s">
        <v>132</v>
      </c>
      <c r="B34" s="20">
        <v>1642684</v>
      </c>
      <c r="C34" s="20">
        <v>663708</v>
      </c>
      <c r="D34" s="20">
        <v>0</v>
      </c>
      <c r="E34" s="20">
        <f t="shared" si="0"/>
        <v>2306392</v>
      </c>
    </row>
    <row r="35" spans="1:5" ht="14.1" customHeight="1" x14ac:dyDescent="0.2">
      <c r="A35" s="284" t="s">
        <v>133</v>
      </c>
      <c r="B35" s="285">
        <v>6790945</v>
      </c>
      <c r="C35" s="285">
        <v>2255527</v>
      </c>
      <c r="D35" s="285">
        <v>216318</v>
      </c>
      <c r="E35" s="285">
        <f t="shared" si="0"/>
        <v>9262790</v>
      </c>
    </row>
    <row r="36" spans="1:5" ht="14.1" customHeight="1" x14ac:dyDescent="0.2">
      <c r="A36" s="19" t="s">
        <v>134</v>
      </c>
      <c r="B36" s="20">
        <v>1132271</v>
      </c>
      <c r="C36" s="20">
        <v>254903</v>
      </c>
      <c r="D36" s="20">
        <v>0</v>
      </c>
      <c r="E36" s="20">
        <f t="shared" si="0"/>
        <v>1387174</v>
      </c>
    </row>
    <row r="37" spans="1:5" ht="14.1" customHeight="1" x14ac:dyDescent="0.2">
      <c r="A37" s="284" t="s">
        <v>135</v>
      </c>
      <c r="B37" s="285">
        <v>2311852</v>
      </c>
      <c r="C37" s="285">
        <v>1171484</v>
      </c>
      <c r="D37" s="285">
        <v>0</v>
      </c>
      <c r="E37" s="285">
        <f t="shared" si="0"/>
        <v>3483336</v>
      </c>
    </row>
    <row r="38" spans="1:5" ht="14.1" customHeight="1" x14ac:dyDescent="0.2">
      <c r="A38" s="19" t="s">
        <v>136</v>
      </c>
      <c r="B38" s="20">
        <v>6061423</v>
      </c>
      <c r="C38" s="20">
        <v>4177294</v>
      </c>
      <c r="D38" s="20">
        <v>1200</v>
      </c>
      <c r="E38" s="20">
        <f t="shared" si="0"/>
        <v>10239917</v>
      </c>
    </row>
    <row r="39" spans="1:5" ht="14.1" customHeight="1" x14ac:dyDescent="0.2">
      <c r="A39" s="284" t="s">
        <v>137</v>
      </c>
      <c r="B39" s="285">
        <v>1456672</v>
      </c>
      <c r="C39" s="285">
        <v>755332</v>
      </c>
      <c r="D39" s="285">
        <v>0</v>
      </c>
      <c r="E39" s="285">
        <f t="shared" si="0"/>
        <v>2212004</v>
      </c>
    </row>
    <row r="40" spans="1:5" ht="14.1" customHeight="1" x14ac:dyDescent="0.2">
      <c r="A40" s="19" t="s">
        <v>138</v>
      </c>
      <c r="B40" s="20">
        <v>3540135</v>
      </c>
      <c r="C40" s="20">
        <v>1046155</v>
      </c>
      <c r="D40" s="20">
        <v>0</v>
      </c>
      <c r="E40" s="20">
        <f t="shared" si="0"/>
        <v>4586290</v>
      </c>
    </row>
    <row r="41" spans="1:5" ht="14.1" customHeight="1" x14ac:dyDescent="0.2">
      <c r="A41" s="284" t="s">
        <v>139</v>
      </c>
      <c r="B41" s="285">
        <v>3165598</v>
      </c>
      <c r="C41" s="285">
        <v>1072327</v>
      </c>
      <c r="D41" s="285">
        <v>0</v>
      </c>
      <c r="E41" s="285">
        <f t="shared" si="0"/>
        <v>4237925</v>
      </c>
    </row>
    <row r="42" spans="1:5" ht="14.1" customHeight="1" x14ac:dyDescent="0.2">
      <c r="A42" s="19" t="s">
        <v>140</v>
      </c>
      <c r="B42" s="20">
        <v>1503193</v>
      </c>
      <c r="C42" s="20">
        <v>677611</v>
      </c>
      <c r="D42" s="20">
        <v>27096</v>
      </c>
      <c r="E42" s="20">
        <f t="shared" si="0"/>
        <v>2207900</v>
      </c>
    </row>
    <row r="43" spans="1:5" ht="14.1" customHeight="1" x14ac:dyDescent="0.2">
      <c r="A43" s="284" t="s">
        <v>141</v>
      </c>
      <c r="B43" s="285">
        <v>589639</v>
      </c>
      <c r="C43" s="285">
        <v>296313</v>
      </c>
      <c r="D43" s="285">
        <v>0</v>
      </c>
      <c r="E43" s="285">
        <f t="shared" si="0"/>
        <v>885952</v>
      </c>
    </row>
    <row r="44" spans="1:5" ht="14.1" customHeight="1" x14ac:dyDescent="0.2">
      <c r="A44" s="19" t="s">
        <v>142</v>
      </c>
      <c r="B44" s="20">
        <v>554164</v>
      </c>
      <c r="C44" s="20">
        <v>170704</v>
      </c>
      <c r="D44" s="20">
        <v>0</v>
      </c>
      <c r="E44" s="20">
        <f t="shared" si="0"/>
        <v>724868</v>
      </c>
    </row>
    <row r="45" spans="1:5" ht="14.1" customHeight="1" x14ac:dyDescent="0.2">
      <c r="A45" s="284" t="s">
        <v>143</v>
      </c>
      <c r="B45" s="285">
        <v>875621</v>
      </c>
      <c r="C45" s="285">
        <v>344939</v>
      </c>
      <c r="D45" s="285">
        <v>0</v>
      </c>
      <c r="E45" s="285">
        <f t="shared" si="0"/>
        <v>1220560</v>
      </c>
    </row>
    <row r="46" spans="1:5" ht="14.1" customHeight="1" x14ac:dyDescent="0.2">
      <c r="A46" s="19" t="s">
        <v>144</v>
      </c>
      <c r="B46" s="20">
        <v>10774047</v>
      </c>
      <c r="C46" s="20">
        <v>5250137</v>
      </c>
      <c r="D46" s="20">
        <v>478708</v>
      </c>
      <c r="E46" s="20">
        <f t="shared" si="0"/>
        <v>16502892</v>
      </c>
    </row>
    <row r="47" spans="1:5" ht="5.0999999999999996" customHeight="1" x14ac:dyDescent="0.2">
      <c r="A47" s="21"/>
      <c r="B47" s="22"/>
      <c r="C47" s="22"/>
      <c r="D47" s="22"/>
      <c r="E47" s="22"/>
    </row>
    <row r="48" spans="1:5" ht="14.1" customHeight="1" x14ac:dyDescent="0.2">
      <c r="A48" s="286" t="s">
        <v>145</v>
      </c>
      <c r="B48" s="287">
        <f>SUM(B11:B46)</f>
        <v>90987686</v>
      </c>
      <c r="C48" s="287">
        <f>SUM(C11:C46)</f>
        <v>45052069</v>
      </c>
      <c r="D48" s="287">
        <f>SUM(D11:D46)</f>
        <v>1472691</v>
      </c>
      <c r="E48" s="287">
        <f>SUM(E11:E46)</f>
        <v>137512446</v>
      </c>
    </row>
    <row r="49" spans="1:6" ht="5.0999999999999996" customHeight="1" x14ac:dyDescent="0.2">
      <c r="A49" s="21" t="s">
        <v>7</v>
      </c>
      <c r="B49" s="22"/>
      <c r="C49" s="22"/>
      <c r="D49" s="22"/>
      <c r="E49" s="22"/>
    </row>
    <row r="50" spans="1:6" ht="14.1" customHeight="1" x14ac:dyDescent="0.2">
      <c r="A50" s="19" t="s">
        <v>146</v>
      </c>
      <c r="B50" s="20">
        <v>98046</v>
      </c>
      <c r="C50" s="20">
        <v>0</v>
      </c>
      <c r="D50" s="20">
        <v>0</v>
      </c>
      <c r="E50" s="20">
        <f>SUM(B50:D50)</f>
        <v>98046</v>
      </c>
    </row>
    <row r="51" spans="1:6" ht="14.1" customHeight="1" x14ac:dyDescent="0.2">
      <c r="A51" s="284" t="s">
        <v>607</v>
      </c>
      <c r="B51" s="285">
        <v>1245561</v>
      </c>
      <c r="C51" s="285">
        <v>167060</v>
      </c>
      <c r="D51" s="285">
        <v>0</v>
      </c>
      <c r="E51" s="285">
        <f>SUM(B51:D51)</f>
        <v>1412621</v>
      </c>
    </row>
    <row r="52" spans="1:6" ht="50.1" customHeight="1" x14ac:dyDescent="0.2">
      <c r="A52" s="23"/>
      <c r="B52" s="23"/>
      <c r="C52" s="23"/>
      <c r="D52" s="23"/>
      <c r="E52" s="23"/>
      <c r="F52" s="23"/>
    </row>
    <row r="53" spans="1:6" x14ac:dyDescent="0.2">
      <c r="A53" s="434" t="s">
        <v>351</v>
      </c>
      <c r="B53" s="184"/>
      <c r="C53" s="184"/>
      <c r="D53" s="184"/>
      <c r="E53" s="184"/>
    </row>
    <row r="54" spans="1:6" x14ac:dyDescent="0.2">
      <c r="A54" s="442" t="s">
        <v>361</v>
      </c>
      <c r="B54" s="184"/>
      <c r="C54" s="184"/>
      <c r="D54" s="184"/>
      <c r="E54" s="184"/>
    </row>
    <row r="55" spans="1:6" x14ac:dyDescent="0.2">
      <c r="A55" s="434" t="s">
        <v>387</v>
      </c>
    </row>
    <row r="56" spans="1:6" x14ac:dyDescent="0.2">
      <c r="A56" s="434"/>
    </row>
  </sheetData>
  <mergeCells count="5">
    <mergeCell ref="B2:E2"/>
    <mergeCell ref="B3:E3"/>
    <mergeCell ref="C8:C9"/>
    <mergeCell ref="D7:D9"/>
    <mergeCell ref="E8:E9"/>
  </mergeCells>
  <phoneticPr fontId="6" type="noConversion"/>
  <hyperlinks>
    <hyperlink ref="A54" r:id="rId1" display="http://www.edu.gov.mb.ca/k12/finance/frame_manual/index.html"/>
  </hyperlinks>
  <pageMargins left="0.5" right="0.5" top="0.6" bottom="0.2" header="0.3" footer="0.5"/>
  <pageSetup scale="88" orientation="portrait" r:id="rId2"/>
  <headerFooter alignWithMargins="0">
    <oddHeader>&amp;C&amp;"Arial,Regular"&amp;11&amp;A</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F54"/>
  <sheetViews>
    <sheetView showGridLines="0" showZeros="0" workbookViewId="0"/>
  </sheetViews>
  <sheetFormatPr defaultColWidth="15.83203125" defaultRowHeight="12" x14ac:dyDescent="0.2"/>
  <cols>
    <col min="1" max="1" width="34.83203125" style="2" customWidth="1"/>
    <col min="2" max="4" width="22.83203125" style="2" customWidth="1"/>
    <col min="5" max="5" width="4.83203125" style="2" customWidth="1"/>
    <col min="6" max="6" width="25.83203125" style="2" customWidth="1"/>
    <col min="7" max="16384" width="15.83203125" style="2"/>
  </cols>
  <sheetData>
    <row r="1" spans="1:6" ht="6.95" customHeight="1" x14ac:dyDescent="0.2">
      <c r="A1" s="7"/>
      <c r="E1"/>
    </row>
    <row r="2" spans="1:6" ht="15.95" customHeight="1" x14ac:dyDescent="0.2">
      <c r="A2" s="134"/>
      <c r="B2" s="737" t="str">
        <f>"CAPITAL FUND "&amp;FALLYR&amp;"/"&amp;SPRINGYR&amp;" ACTUAL"</f>
        <v>CAPITAL FUND 2017/2018 ACTUAL</v>
      </c>
      <c r="C2" s="737"/>
      <c r="D2" s="737"/>
      <c r="E2" s="737"/>
      <c r="F2" s="231" t="s">
        <v>255</v>
      </c>
    </row>
    <row r="3" spans="1:6" ht="15.95" customHeight="1" x14ac:dyDescent="0.2">
      <c r="A3" s="541"/>
      <c r="B3" s="732" t="s">
        <v>0</v>
      </c>
      <c r="C3" s="738"/>
      <c r="D3" s="738"/>
      <c r="E3" s="738"/>
      <c r="F3" s="226"/>
    </row>
    <row r="4" spans="1:6" ht="15.95" customHeight="1" x14ac:dyDescent="0.2">
      <c r="B4" s="8"/>
      <c r="C4" s="8"/>
      <c r="D4" s="8"/>
      <c r="E4"/>
    </row>
    <row r="5" spans="1:6" ht="15.95" customHeight="1" x14ac:dyDescent="0.2">
      <c r="B5" s="8"/>
      <c r="C5" s="8"/>
      <c r="D5" s="8"/>
      <c r="E5" s="439"/>
    </row>
    <row r="6" spans="1:6" ht="15.95" customHeight="1" x14ac:dyDescent="0.2">
      <c r="B6" s="409" t="s">
        <v>2</v>
      </c>
      <c r="C6" s="435"/>
      <c r="D6" s="436"/>
      <c r="E6" s="439"/>
      <c r="F6" s="438" t="s">
        <v>47</v>
      </c>
    </row>
    <row r="7" spans="1:6" ht="15.95" customHeight="1" x14ac:dyDescent="0.2">
      <c r="B7" s="350"/>
      <c r="C7" s="350"/>
      <c r="D7" s="374"/>
      <c r="E7" s="439"/>
      <c r="F7" s="736" t="s">
        <v>541</v>
      </c>
    </row>
    <row r="8" spans="1:6" ht="15.95" customHeight="1" x14ac:dyDescent="0.2">
      <c r="A8" s="67"/>
      <c r="B8" s="739" t="s">
        <v>538</v>
      </c>
      <c r="C8" s="727" t="s">
        <v>539</v>
      </c>
      <c r="D8" s="727" t="s">
        <v>540</v>
      </c>
      <c r="E8" s="439"/>
      <c r="F8" s="727"/>
    </row>
    <row r="9" spans="1:6" ht="15.95" customHeight="1" x14ac:dyDescent="0.2">
      <c r="A9" s="35" t="s">
        <v>42</v>
      </c>
      <c r="B9" s="740"/>
      <c r="C9" s="630"/>
      <c r="D9" s="630"/>
      <c r="E9"/>
      <c r="F9" s="728"/>
    </row>
    <row r="10" spans="1:6" ht="5.0999999999999996" customHeight="1" x14ac:dyDescent="0.2">
      <c r="A10" s="6"/>
      <c r="B10" s="207"/>
      <c r="C10" s="207"/>
      <c r="D10" s="207"/>
      <c r="E10"/>
      <c r="F10" s="207"/>
    </row>
    <row r="11" spans="1:6" ht="14.1" customHeight="1" x14ac:dyDescent="0.2">
      <c r="A11" s="284" t="s">
        <v>110</v>
      </c>
      <c r="B11" s="285">
        <v>2282511</v>
      </c>
      <c r="C11" s="285">
        <v>1800</v>
      </c>
      <c r="D11" s="285">
        <f t="shared" ref="D11:D46" si="0">SUM(B11:C11)</f>
        <v>2284311</v>
      </c>
      <c r="E11"/>
      <c r="F11" s="285">
        <v>224000</v>
      </c>
    </row>
    <row r="12" spans="1:6" ht="14.1" customHeight="1" x14ac:dyDescent="0.2">
      <c r="A12" s="19" t="s">
        <v>111</v>
      </c>
      <c r="B12" s="20">
        <v>1423288</v>
      </c>
      <c r="C12" s="20">
        <v>12806</v>
      </c>
      <c r="D12" s="20">
        <f t="shared" si="0"/>
        <v>1436094</v>
      </c>
      <c r="E12"/>
      <c r="F12" s="20">
        <v>1585353</v>
      </c>
    </row>
    <row r="13" spans="1:6" ht="14.1" customHeight="1" x14ac:dyDescent="0.2">
      <c r="A13" s="284" t="s">
        <v>112</v>
      </c>
      <c r="B13" s="285">
        <v>3250064</v>
      </c>
      <c r="C13" s="285">
        <v>137487</v>
      </c>
      <c r="D13" s="285">
        <f t="shared" si="0"/>
        <v>3387551</v>
      </c>
      <c r="E13"/>
      <c r="F13" s="285">
        <v>2668061</v>
      </c>
    </row>
    <row r="14" spans="1:6" ht="14.1" customHeight="1" x14ac:dyDescent="0.2">
      <c r="A14" s="19" t="s">
        <v>359</v>
      </c>
      <c r="B14" s="20">
        <v>5457366</v>
      </c>
      <c r="C14" s="20">
        <v>142972</v>
      </c>
      <c r="D14" s="20">
        <f t="shared" si="0"/>
        <v>5600338</v>
      </c>
      <c r="E14"/>
      <c r="F14" s="20">
        <v>1883882</v>
      </c>
    </row>
    <row r="15" spans="1:6" ht="14.1" customHeight="1" x14ac:dyDescent="0.2">
      <c r="A15" s="284" t="s">
        <v>113</v>
      </c>
      <c r="B15" s="285">
        <v>1916729</v>
      </c>
      <c r="C15" s="285">
        <v>0</v>
      </c>
      <c r="D15" s="285">
        <f t="shared" si="0"/>
        <v>1916729</v>
      </c>
      <c r="E15"/>
      <c r="F15" s="285">
        <v>1949906</v>
      </c>
    </row>
    <row r="16" spans="1:6" ht="14.1" customHeight="1" x14ac:dyDescent="0.2">
      <c r="A16" s="19" t="s">
        <v>114</v>
      </c>
      <c r="B16" s="20">
        <v>278233</v>
      </c>
      <c r="C16" s="20">
        <v>-6002</v>
      </c>
      <c r="D16" s="20">
        <f t="shared" si="0"/>
        <v>272231</v>
      </c>
      <c r="E16"/>
      <c r="F16" s="20">
        <v>500157</v>
      </c>
    </row>
    <row r="17" spans="1:6" ht="14.1" customHeight="1" x14ac:dyDescent="0.2">
      <c r="A17" s="284" t="s">
        <v>115</v>
      </c>
      <c r="B17" s="285">
        <v>1172451</v>
      </c>
      <c r="C17" s="285">
        <v>31594</v>
      </c>
      <c r="D17" s="285">
        <f t="shared" si="0"/>
        <v>1204045</v>
      </c>
      <c r="E17"/>
      <c r="F17" s="285">
        <v>367605</v>
      </c>
    </row>
    <row r="18" spans="1:6" ht="14.1" customHeight="1" x14ac:dyDescent="0.2">
      <c r="A18" s="19" t="s">
        <v>116</v>
      </c>
      <c r="B18" s="20">
        <v>5193905</v>
      </c>
      <c r="C18" s="20">
        <v>1703680</v>
      </c>
      <c r="D18" s="20">
        <f t="shared" si="0"/>
        <v>6897585</v>
      </c>
      <c r="E18"/>
      <c r="F18" s="20">
        <v>1381806</v>
      </c>
    </row>
    <row r="19" spans="1:6" ht="14.1" customHeight="1" x14ac:dyDescent="0.2">
      <c r="A19" s="284" t="s">
        <v>117</v>
      </c>
      <c r="B19" s="285">
        <v>6308032</v>
      </c>
      <c r="C19" s="285">
        <v>9470</v>
      </c>
      <c r="D19" s="285">
        <f t="shared" si="0"/>
        <v>6317502</v>
      </c>
      <c r="E19"/>
      <c r="F19" s="285">
        <v>852347</v>
      </c>
    </row>
    <row r="20" spans="1:6" ht="14.1" customHeight="1" x14ac:dyDescent="0.2">
      <c r="A20" s="19" t="s">
        <v>118</v>
      </c>
      <c r="B20" s="20">
        <v>8904077</v>
      </c>
      <c r="C20" s="20">
        <v>67276</v>
      </c>
      <c r="D20" s="20">
        <f t="shared" si="0"/>
        <v>8971353</v>
      </c>
      <c r="E20"/>
      <c r="F20" s="20">
        <v>1366848</v>
      </c>
    </row>
    <row r="21" spans="1:6" ht="14.1" customHeight="1" x14ac:dyDescent="0.2">
      <c r="A21" s="284" t="s">
        <v>119</v>
      </c>
      <c r="B21" s="285">
        <v>1989242</v>
      </c>
      <c r="C21" s="285">
        <v>634</v>
      </c>
      <c r="D21" s="285">
        <f t="shared" si="0"/>
        <v>1989876</v>
      </c>
      <c r="E21"/>
      <c r="F21" s="285">
        <v>1009473</v>
      </c>
    </row>
    <row r="22" spans="1:6" ht="14.1" customHeight="1" x14ac:dyDescent="0.2">
      <c r="A22" s="19" t="s">
        <v>120</v>
      </c>
      <c r="B22" s="20">
        <v>1869825</v>
      </c>
      <c r="C22" s="20">
        <v>306</v>
      </c>
      <c r="D22" s="20">
        <f t="shared" si="0"/>
        <v>1870131</v>
      </c>
      <c r="E22"/>
      <c r="F22" s="20">
        <v>170189</v>
      </c>
    </row>
    <row r="23" spans="1:6" ht="14.1" customHeight="1" x14ac:dyDescent="0.2">
      <c r="A23" s="284" t="s">
        <v>121</v>
      </c>
      <c r="B23" s="285">
        <v>1338734</v>
      </c>
      <c r="C23" s="285">
        <v>0</v>
      </c>
      <c r="D23" s="285">
        <f t="shared" si="0"/>
        <v>1338734</v>
      </c>
      <c r="E23"/>
      <c r="F23" s="285">
        <v>525551</v>
      </c>
    </row>
    <row r="24" spans="1:6" ht="14.1" customHeight="1" x14ac:dyDescent="0.2">
      <c r="A24" s="19" t="s">
        <v>122</v>
      </c>
      <c r="B24" s="20">
        <v>3084024</v>
      </c>
      <c r="C24" s="20">
        <v>90847</v>
      </c>
      <c r="D24" s="20">
        <f t="shared" si="0"/>
        <v>3174871</v>
      </c>
      <c r="E24"/>
      <c r="F24" s="20">
        <v>1715953</v>
      </c>
    </row>
    <row r="25" spans="1:6" ht="14.1" customHeight="1" x14ac:dyDescent="0.2">
      <c r="A25" s="284" t="s">
        <v>123</v>
      </c>
      <c r="B25" s="285">
        <v>5064148</v>
      </c>
      <c r="C25" s="285">
        <v>2864994</v>
      </c>
      <c r="D25" s="285">
        <f t="shared" si="0"/>
        <v>7929142</v>
      </c>
      <c r="E25"/>
      <c r="F25" s="285">
        <v>1722295</v>
      </c>
    </row>
    <row r="26" spans="1:6" ht="14.1" customHeight="1" x14ac:dyDescent="0.2">
      <c r="A26" s="19" t="s">
        <v>124</v>
      </c>
      <c r="B26" s="20">
        <v>2730208</v>
      </c>
      <c r="C26" s="20">
        <v>19058</v>
      </c>
      <c r="D26" s="20">
        <f t="shared" si="0"/>
        <v>2749266</v>
      </c>
      <c r="E26"/>
      <c r="F26" s="20">
        <v>1562829</v>
      </c>
    </row>
    <row r="27" spans="1:6" ht="14.1" customHeight="1" x14ac:dyDescent="0.2">
      <c r="A27" s="284" t="s">
        <v>125</v>
      </c>
      <c r="B27" s="285">
        <v>1263241</v>
      </c>
      <c r="C27" s="285">
        <v>27926</v>
      </c>
      <c r="D27" s="285">
        <f t="shared" si="0"/>
        <v>1291167</v>
      </c>
      <c r="E27"/>
      <c r="F27" s="285">
        <v>712357</v>
      </c>
    </row>
    <row r="28" spans="1:6" ht="14.1" customHeight="1" x14ac:dyDescent="0.2">
      <c r="A28" s="19" t="s">
        <v>126</v>
      </c>
      <c r="B28" s="20">
        <v>1155290</v>
      </c>
      <c r="C28" s="20">
        <v>0</v>
      </c>
      <c r="D28" s="20">
        <f t="shared" si="0"/>
        <v>1155290</v>
      </c>
      <c r="E28"/>
      <c r="F28" s="20">
        <v>336471</v>
      </c>
    </row>
    <row r="29" spans="1:6" ht="14.1" customHeight="1" x14ac:dyDescent="0.2">
      <c r="A29" s="284" t="s">
        <v>127</v>
      </c>
      <c r="B29" s="285">
        <v>6951272</v>
      </c>
      <c r="C29" s="285">
        <v>503924</v>
      </c>
      <c r="D29" s="285">
        <f t="shared" si="0"/>
        <v>7455196</v>
      </c>
      <c r="E29"/>
      <c r="F29" s="285">
        <v>5055002</v>
      </c>
    </row>
    <row r="30" spans="1:6" ht="14.1" customHeight="1" x14ac:dyDescent="0.2">
      <c r="A30" s="19" t="s">
        <v>128</v>
      </c>
      <c r="B30" s="20">
        <v>421253</v>
      </c>
      <c r="C30" s="20">
        <v>13848</v>
      </c>
      <c r="D30" s="20">
        <f t="shared" si="0"/>
        <v>435101</v>
      </c>
      <c r="E30"/>
      <c r="F30" s="20">
        <v>771269</v>
      </c>
    </row>
    <row r="31" spans="1:6" ht="14.1" customHeight="1" x14ac:dyDescent="0.2">
      <c r="A31" s="284" t="s">
        <v>129</v>
      </c>
      <c r="B31" s="285">
        <v>771736</v>
      </c>
      <c r="C31" s="285">
        <v>10330</v>
      </c>
      <c r="D31" s="285">
        <f t="shared" si="0"/>
        <v>782066</v>
      </c>
      <c r="E31"/>
      <c r="F31" s="285">
        <v>2975672</v>
      </c>
    </row>
    <row r="32" spans="1:6" ht="14.1" customHeight="1" x14ac:dyDescent="0.2">
      <c r="A32" s="19" t="s">
        <v>130</v>
      </c>
      <c r="B32" s="20">
        <v>1228278</v>
      </c>
      <c r="C32" s="20">
        <v>13580</v>
      </c>
      <c r="D32" s="20">
        <f t="shared" si="0"/>
        <v>1241858</v>
      </c>
      <c r="E32"/>
      <c r="F32" s="20">
        <v>423327</v>
      </c>
    </row>
    <row r="33" spans="1:6" ht="14.1" customHeight="1" x14ac:dyDescent="0.2">
      <c r="A33" s="284" t="s">
        <v>131</v>
      </c>
      <c r="B33" s="285">
        <v>908083</v>
      </c>
      <c r="C33" s="285">
        <v>91277</v>
      </c>
      <c r="D33" s="285">
        <f t="shared" si="0"/>
        <v>999360</v>
      </c>
      <c r="E33"/>
      <c r="F33" s="285">
        <v>642968</v>
      </c>
    </row>
    <row r="34" spans="1:6" ht="14.1" customHeight="1" x14ac:dyDescent="0.2">
      <c r="A34" s="19" t="s">
        <v>132</v>
      </c>
      <c r="B34" s="20">
        <v>1679219</v>
      </c>
      <c r="C34" s="20">
        <v>325525</v>
      </c>
      <c r="D34" s="20">
        <f t="shared" si="0"/>
        <v>2004744</v>
      </c>
      <c r="E34"/>
      <c r="F34" s="20">
        <v>1130918</v>
      </c>
    </row>
    <row r="35" spans="1:6" ht="14.1" customHeight="1" x14ac:dyDescent="0.2">
      <c r="A35" s="284" t="s">
        <v>133</v>
      </c>
      <c r="B35" s="285">
        <v>5487559</v>
      </c>
      <c r="C35" s="285">
        <v>242971</v>
      </c>
      <c r="D35" s="285">
        <f t="shared" si="0"/>
        <v>5730530</v>
      </c>
      <c r="E35"/>
      <c r="F35" s="285">
        <v>3049174</v>
      </c>
    </row>
    <row r="36" spans="1:6" ht="14.1" customHeight="1" x14ac:dyDescent="0.2">
      <c r="A36" s="19" t="s">
        <v>134</v>
      </c>
      <c r="B36" s="20">
        <v>823402</v>
      </c>
      <c r="C36" s="20">
        <v>0</v>
      </c>
      <c r="D36" s="20">
        <f t="shared" si="0"/>
        <v>823402</v>
      </c>
      <c r="E36"/>
      <c r="F36" s="20">
        <v>973999</v>
      </c>
    </row>
    <row r="37" spans="1:6" ht="14.1" customHeight="1" x14ac:dyDescent="0.2">
      <c r="A37" s="284" t="s">
        <v>135</v>
      </c>
      <c r="B37" s="285">
        <v>3194659</v>
      </c>
      <c r="C37" s="285">
        <v>13000</v>
      </c>
      <c r="D37" s="285">
        <f t="shared" si="0"/>
        <v>3207659</v>
      </c>
      <c r="E37"/>
      <c r="F37" s="285">
        <v>857199</v>
      </c>
    </row>
    <row r="38" spans="1:6" ht="14.1" customHeight="1" x14ac:dyDescent="0.2">
      <c r="A38" s="19" t="s">
        <v>136</v>
      </c>
      <c r="B38" s="20">
        <v>8142873</v>
      </c>
      <c r="C38" s="20">
        <v>476655</v>
      </c>
      <c r="D38" s="20">
        <f t="shared" si="0"/>
        <v>8619528</v>
      </c>
      <c r="E38"/>
      <c r="F38" s="20">
        <v>3925180</v>
      </c>
    </row>
    <row r="39" spans="1:6" ht="14.1" customHeight="1" x14ac:dyDescent="0.2">
      <c r="A39" s="284" t="s">
        <v>137</v>
      </c>
      <c r="B39" s="285">
        <v>2129142</v>
      </c>
      <c r="C39" s="285">
        <v>574</v>
      </c>
      <c r="D39" s="285">
        <f t="shared" si="0"/>
        <v>2129716</v>
      </c>
      <c r="E39"/>
      <c r="F39" s="285">
        <v>974118</v>
      </c>
    </row>
    <row r="40" spans="1:6" ht="14.1" customHeight="1" x14ac:dyDescent="0.2">
      <c r="A40" s="19" t="s">
        <v>138</v>
      </c>
      <c r="B40" s="20">
        <v>2526912</v>
      </c>
      <c r="C40" s="20">
        <v>50205</v>
      </c>
      <c r="D40" s="20">
        <f t="shared" si="0"/>
        <v>2577117</v>
      </c>
      <c r="E40"/>
      <c r="F40" s="20">
        <v>2566078</v>
      </c>
    </row>
    <row r="41" spans="1:6" ht="14.1" customHeight="1" x14ac:dyDescent="0.2">
      <c r="A41" s="284" t="s">
        <v>139</v>
      </c>
      <c r="B41" s="285">
        <v>2630720</v>
      </c>
      <c r="C41" s="285">
        <v>31884</v>
      </c>
      <c r="D41" s="285">
        <f t="shared" si="0"/>
        <v>2662604</v>
      </c>
      <c r="E41"/>
      <c r="F41" s="285">
        <v>1617478</v>
      </c>
    </row>
    <row r="42" spans="1:6" ht="14.1" customHeight="1" x14ac:dyDescent="0.2">
      <c r="A42" s="19" t="s">
        <v>140</v>
      </c>
      <c r="B42" s="20">
        <v>1484412</v>
      </c>
      <c r="C42" s="20">
        <v>139867</v>
      </c>
      <c r="D42" s="20">
        <f t="shared" si="0"/>
        <v>1624279</v>
      </c>
      <c r="E42"/>
      <c r="F42" s="20">
        <v>842168</v>
      </c>
    </row>
    <row r="43" spans="1:6" ht="14.1" customHeight="1" x14ac:dyDescent="0.2">
      <c r="A43" s="284" t="s">
        <v>141</v>
      </c>
      <c r="B43" s="285">
        <v>735084</v>
      </c>
      <c r="C43" s="285">
        <v>6074</v>
      </c>
      <c r="D43" s="285">
        <f t="shared" si="0"/>
        <v>741158</v>
      </c>
      <c r="E43"/>
      <c r="F43" s="285">
        <v>170188</v>
      </c>
    </row>
    <row r="44" spans="1:6" ht="14.1" customHeight="1" x14ac:dyDescent="0.2">
      <c r="A44" s="19" t="s">
        <v>142</v>
      </c>
      <c r="B44" s="20">
        <v>447476</v>
      </c>
      <c r="C44" s="20">
        <v>0</v>
      </c>
      <c r="D44" s="20">
        <f t="shared" si="0"/>
        <v>447476</v>
      </c>
      <c r="E44"/>
      <c r="F44" s="20">
        <v>393307</v>
      </c>
    </row>
    <row r="45" spans="1:6" ht="14.1" customHeight="1" x14ac:dyDescent="0.2">
      <c r="A45" s="284" t="s">
        <v>143</v>
      </c>
      <c r="B45" s="285">
        <v>666466</v>
      </c>
      <c r="C45" s="285">
        <v>19667</v>
      </c>
      <c r="D45" s="285">
        <f t="shared" si="0"/>
        <v>686133</v>
      </c>
      <c r="E45"/>
      <c r="F45" s="285">
        <v>464213</v>
      </c>
    </row>
    <row r="46" spans="1:6" ht="14.1" customHeight="1" x14ac:dyDescent="0.2">
      <c r="A46" s="19" t="s">
        <v>144</v>
      </c>
      <c r="B46" s="20">
        <v>13177132</v>
      </c>
      <c r="C46" s="20">
        <v>1209394</v>
      </c>
      <c r="D46" s="20">
        <f t="shared" si="0"/>
        <v>14386526</v>
      </c>
      <c r="E46"/>
      <c r="F46" s="20">
        <v>7018253</v>
      </c>
    </row>
    <row r="47" spans="1:6" ht="5.0999999999999996" customHeight="1" x14ac:dyDescent="0.2">
      <c r="A47" s="21"/>
      <c r="B47" s="22"/>
      <c r="C47" s="22"/>
      <c r="D47" s="22"/>
      <c r="E47"/>
      <c r="F47" s="22"/>
    </row>
    <row r="48" spans="1:6" ht="14.1" customHeight="1" x14ac:dyDescent="0.2">
      <c r="A48" s="286" t="s">
        <v>145</v>
      </c>
      <c r="B48" s="287">
        <f>SUM(B11:B46)</f>
        <v>108087046</v>
      </c>
      <c r="C48" s="287">
        <f>SUM(C11:C46)</f>
        <v>8253623</v>
      </c>
      <c r="D48" s="287">
        <f>SUM(D11:D46)</f>
        <v>116340669</v>
      </c>
      <c r="E48"/>
      <c r="F48" s="287">
        <f>SUM(F11:F46)</f>
        <v>54385594</v>
      </c>
    </row>
    <row r="49" spans="1:6" ht="5.0999999999999996" customHeight="1" x14ac:dyDescent="0.2">
      <c r="A49" s="21" t="s">
        <v>7</v>
      </c>
      <c r="B49" s="22"/>
      <c r="C49" s="22"/>
      <c r="D49" s="22"/>
      <c r="E49"/>
      <c r="F49" s="22"/>
    </row>
    <row r="50" spans="1:6" ht="14.1" customHeight="1" x14ac:dyDescent="0.2">
      <c r="A50" s="19" t="s">
        <v>146</v>
      </c>
      <c r="B50" s="20">
        <v>0</v>
      </c>
      <c r="C50" s="20">
        <v>1747</v>
      </c>
      <c r="D50" s="20">
        <f>SUM(B50:C50)</f>
        <v>1747</v>
      </c>
      <c r="E50"/>
      <c r="F50" s="20">
        <v>271339</v>
      </c>
    </row>
    <row r="51" spans="1:6" ht="14.1" customHeight="1" x14ac:dyDescent="0.2">
      <c r="A51" s="284" t="s">
        <v>607</v>
      </c>
      <c r="B51" s="285">
        <v>121188</v>
      </c>
      <c r="C51" s="285">
        <v>93801</v>
      </c>
      <c r="D51" s="285">
        <f>SUM(B51:C51)</f>
        <v>214989</v>
      </c>
      <c r="E51"/>
      <c r="F51" s="285">
        <v>952794</v>
      </c>
    </row>
    <row r="52" spans="1:6" ht="50.1" customHeight="1" x14ac:dyDescent="0.2">
      <c r="A52" s="23"/>
      <c r="B52" s="23"/>
      <c r="C52" s="23"/>
      <c r="D52" s="23"/>
      <c r="E52" s="23"/>
      <c r="F52" s="23"/>
    </row>
    <row r="53" spans="1:6" ht="13.5" customHeight="1" x14ac:dyDescent="0.2">
      <c r="A53" s="414" t="s">
        <v>628</v>
      </c>
      <c r="B53" s="184"/>
      <c r="C53" s="184"/>
      <c r="D53" s="184"/>
      <c r="E53" s="184"/>
    </row>
    <row r="54" spans="1:6" x14ac:dyDescent="0.2">
      <c r="A54" s="414" t="s">
        <v>352</v>
      </c>
    </row>
  </sheetData>
  <mergeCells count="6">
    <mergeCell ref="F7:F9"/>
    <mergeCell ref="B2:E2"/>
    <mergeCell ref="B3:E3"/>
    <mergeCell ref="B8:B9"/>
    <mergeCell ref="C8:C9"/>
    <mergeCell ref="D8:D9"/>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E55"/>
  <sheetViews>
    <sheetView showGridLines="0" showZeros="0" workbookViewId="0"/>
  </sheetViews>
  <sheetFormatPr defaultColWidth="19.83203125" defaultRowHeight="12" x14ac:dyDescent="0.2"/>
  <cols>
    <col min="1" max="1" width="32.83203125" style="2" customWidth="1"/>
    <col min="2" max="4" width="18.83203125" style="2" customWidth="1"/>
    <col min="5" max="5" width="44.83203125" style="2" customWidth="1"/>
    <col min="6" max="16384" width="19.83203125" style="2"/>
  </cols>
  <sheetData>
    <row r="1" spans="1:5" ht="6.95" customHeight="1" x14ac:dyDescent="0.2">
      <c r="A1" s="7"/>
      <c r="B1" s="7"/>
    </row>
    <row r="2" spans="1:5" ht="15.95" customHeight="1" x14ac:dyDescent="0.2">
      <c r="A2" s="134"/>
      <c r="B2" s="737" t="str">
        <f>"CAPITAL FUND "&amp;FALLYR&amp;"/"&amp;SPRINGYR&amp;" ACTUAL"</f>
        <v>CAPITAL FUND 2017/2018 ACTUAL</v>
      </c>
      <c r="C2" s="737"/>
      <c r="D2" s="737"/>
      <c r="E2" s="231" t="s">
        <v>254</v>
      </c>
    </row>
    <row r="3" spans="1:5" ht="15.95" customHeight="1" x14ac:dyDescent="0.2">
      <c r="A3" s="541"/>
      <c r="B3" s="732" t="s">
        <v>272</v>
      </c>
      <c r="C3" s="732"/>
      <c r="D3" s="732"/>
      <c r="E3" s="226"/>
    </row>
    <row r="4" spans="1:5" ht="15.95" customHeight="1" x14ac:dyDescent="0.2">
      <c r="C4" s="8"/>
      <c r="D4" s="8"/>
    </row>
    <row r="5" spans="1:5" ht="15.95" customHeight="1" x14ac:dyDescent="0.2">
      <c r="B5" s="440"/>
      <c r="C5" s="441"/>
      <c r="D5" s="441"/>
    </row>
    <row r="6" spans="1:5" ht="15.95" customHeight="1" x14ac:dyDescent="0.2">
      <c r="B6" s="745" t="s">
        <v>543</v>
      </c>
      <c r="C6" s="741" t="s">
        <v>268</v>
      </c>
      <c r="D6" s="742"/>
    </row>
    <row r="7" spans="1:5" ht="15.95" customHeight="1" x14ac:dyDescent="0.2">
      <c r="B7" s="746"/>
      <c r="C7" s="750" t="s">
        <v>545</v>
      </c>
      <c r="D7" s="408"/>
    </row>
    <row r="8" spans="1:5" ht="15.95" customHeight="1" x14ac:dyDescent="0.2">
      <c r="A8" s="403"/>
      <c r="B8" s="746"/>
      <c r="C8" s="750"/>
      <c r="D8" s="748" t="s">
        <v>544</v>
      </c>
    </row>
    <row r="9" spans="1:5" ht="15.95" customHeight="1" x14ac:dyDescent="0.2">
      <c r="A9" s="404" t="s">
        <v>42</v>
      </c>
      <c r="B9" s="747"/>
      <c r="C9" s="751"/>
      <c r="D9" s="749"/>
    </row>
    <row r="10" spans="1:5" ht="5.0999999999999996" customHeight="1" x14ac:dyDescent="0.2">
      <c r="A10" s="6"/>
      <c r="B10" s="207"/>
      <c r="C10" s="207"/>
    </row>
    <row r="11" spans="1:5" ht="14.1" customHeight="1" x14ac:dyDescent="0.2">
      <c r="A11" s="284" t="s">
        <v>110</v>
      </c>
      <c r="B11" s="419">
        <v>6495612</v>
      </c>
      <c r="C11" s="417">
        <v>5053240</v>
      </c>
      <c r="D11" s="285">
        <v>1442372</v>
      </c>
    </row>
    <row r="12" spans="1:5" ht="14.1" customHeight="1" x14ac:dyDescent="0.2">
      <c r="A12" s="19" t="s">
        <v>111</v>
      </c>
      <c r="B12" s="420">
        <v>13733456</v>
      </c>
      <c r="C12" s="418">
        <v>8019650</v>
      </c>
      <c r="D12" s="20">
        <v>5713806</v>
      </c>
    </row>
    <row r="13" spans="1:5" ht="14.1" customHeight="1" x14ac:dyDescent="0.2">
      <c r="A13" s="284" t="s">
        <v>112</v>
      </c>
      <c r="B13" s="419">
        <v>18469011</v>
      </c>
      <c r="C13" s="417">
        <v>11187805</v>
      </c>
      <c r="D13" s="285">
        <v>7281206</v>
      </c>
    </row>
    <row r="14" spans="1:5" ht="14.1" customHeight="1" x14ac:dyDescent="0.2">
      <c r="A14" s="19" t="s">
        <v>359</v>
      </c>
      <c r="B14" s="420">
        <v>39208991</v>
      </c>
      <c r="C14" s="418">
        <v>34895192</v>
      </c>
      <c r="D14" s="20">
        <v>4313799</v>
      </c>
    </row>
    <row r="15" spans="1:5" ht="14.1" customHeight="1" x14ac:dyDescent="0.2">
      <c r="A15" s="284" t="s">
        <v>113</v>
      </c>
      <c r="B15" s="419">
        <v>9176832</v>
      </c>
      <c r="C15" s="417">
        <v>7021370</v>
      </c>
      <c r="D15" s="285">
        <v>2155462</v>
      </c>
    </row>
    <row r="16" spans="1:5" ht="14.1" customHeight="1" x14ac:dyDescent="0.2">
      <c r="A16" s="19" t="s">
        <v>114</v>
      </c>
      <c r="B16" s="420">
        <v>2306250</v>
      </c>
      <c r="C16" s="418">
        <v>2076250</v>
      </c>
      <c r="D16" s="20">
        <v>230000</v>
      </c>
    </row>
    <row r="17" spans="1:4" ht="14.1" customHeight="1" x14ac:dyDescent="0.2">
      <c r="A17" s="284" t="s">
        <v>115</v>
      </c>
      <c r="B17" s="419">
        <v>5962852</v>
      </c>
      <c r="C17" s="417">
        <v>4338633</v>
      </c>
      <c r="D17" s="285">
        <v>1624219</v>
      </c>
    </row>
    <row r="18" spans="1:4" ht="14.1" customHeight="1" x14ac:dyDescent="0.2">
      <c r="A18" s="19" t="s">
        <v>116</v>
      </c>
      <c r="B18" s="420">
        <v>32652818</v>
      </c>
      <c r="C18" s="418">
        <v>29423099</v>
      </c>
      <c r="D18" s="20">
        <v>3229719</v>
      </c>
    </row>
    <row r="19" spans="1:4" ht="14.1" customHeight="1" x14ac:dyDescent="0.2">
      <c r="A19" s="284" t="s">
        <v>117</v>
      </c>
      <c r="B19" s="419">
        <v>23034771</v>
      </c>
      <c r="C19" s="417">
        <v>21772069</v>
      </c>
      <c r="D19" s="285">
        <v>1262702</v>
      </c>
    </row>
    <row r="20" spans="1:4" ht="14.1" customHeight="1" x14ac:dyDescent="0.2">
      <c r="A20" s="19" t="s">
        <v>118</v>
      </c>
      <c r="B20" s="420">
        <v>24306413</v>
      </c>
      <c r="C20" s="418">
        <v>23499058</v>
      </c>
      <c r="D20" s="37">
        <v>807355</v>
      </c>
    </row>
    <row r="21" spans="1:4" ht="14.1" customHeight="1" x14ac:dyDescent="0.2">
      <c r="A21" s="284" t="s">
        <v>119</v>
      </c>
      <c r="B21" s="419">
        <v>4042548</v>
      </c>
      <c r="C21" s="417">
        <v>3639875</v>
      </c>
      <c r="D21" s="285">
        <v>402673</v>
      </c>
    </row>
    <row r="22" spans="1:4" ht="14.1" customHeight="1" x14ac:dyDescent="0.2">
      <c r="A22" s="19" t="s">
        <v>120</v>
      </c>
      <c r="B22" s="420">
        <v>18324898</v>
      </c>
      <c r="C22" s="418">
        <v>18324898</v>
      </c>
      <c r="D22" s="20">
        <v>0</v>
      </c>
    </row>
    <row r="23" spans="1:4" ht="14.1" customHeight="1" x14ac:dyDescent="0.2">
      <c r="A23" s="284" t="s">
        <v>121</v>
      </c>
      <c r="B23" s="419">
        <v>5124867</v>
      </c>
      <c r="C23" s="417">
        <v>3545911</v>
      </c>
      <c r="D23" s="285">
        <v>1578956</v>
      </c>
    </row>
    <row r="24" spans="1:4" ht="14.1" customHeight="1" x14ac:dyDescent="0.2">
      <c r="A24" s="19" t="s">
        <v>122</v>
      </c>
      <c r="B24" s="420">
        <v>11175277</v>
      </c>
      <c r="C24" s="418">
        <v>8759257</v>
      </c>
      <c r="D24" s="20">
        <v>2416020</v>
      </c>
    </row>
    <row r="25" spans="1:4" ht="14.1" customHeight="1" x14ac:dyDescent="0.2">
      <c r="A25" s="284" t="s">
        <v>123</v>
      </c>
      <c r="B25" s="419">
        <v>28030595</v>
      </c>
      <c r="C25" s="417">
        <v>22607280</v>
      </c>
      <c r="D25" s="285">
        <v>5423315</v>
      </c>
    </row>
    <row r="26" spans="1:4" ht="14.1" customHeight="1" x14ac:dyDescent="0.2">
      <c r="A26" s="19" t="s">
        <v>124</v>
      </c>
      <c r="B26" s="420">
        <v>4409955</v>
      </c>
      <c r="C26" s="418">
        <v>4126928</v>
      </c>
      <c r="D26" s="20">
        <v>283027</v>
      </c>
    </row>
    <row r="27" spans="1:4" ht="14.1" customHeight="1" x14ac:dyDescent="0.2">
      <c r="A27" s="284" t="s">
        <v>125</v>
      </c>
      <c r="B27" s="419">
        <v>8180579</v>
      </c>
      <c r="C27" s="417">
        <v>7621603</v>
      </c>
      <c r="D27" s="285">
        <v>558976</v>
      </c>
    </row>
    <row r="28" spans="1:4" ht="14.1" customHeight="1" x14ac:dyDescent="0.2">
      <c r="A28" s="19" t="s">
        <v>126</v>
      </c>
      <c r="B28" s="420">
        <v>1580692</v>
      </c>
      <c r="C28" s="418">
        <v>1580692</v>
      </c>
      <c r="D28" s="20">
        <v>0</v>
      </c>
    </row>
    <row r="29" spans="1:4" ht="14.1" customHeight="1" x14ac:dyDescent="0.2">
      <c r="A29" s="284" t="s">
        <v>127</v>
      </c>
      <c r="B29" s="419">
        <v>36750222</v>
      </c>
      <c r="C29" s="417">
        <v>24041855</v>
      </c>
      <c r="D29" s="285">
        <v>12708367</v>
      </c>
    </row>
    <row r="30" spans="1:4" ht="14.1" customHeight="1" x14ac:dyDescent="0.2">
      <c r="A30" s="19" t="s">
        <v>128</v>
      </c>
      <c r="B30" s="420">
        <v>2943981</v>
      </c>
      <c r="C30" s="418">
        <v>1237258</v>
      </c>
      <c r="D30" s="20">
        <v>1706723</v>
      </c>
    </row>
    <row r="31" spans="1:4" ht="14.1" customHeight="1" x14ac:dyDescent="0.2">
      <c r="A31" s="284" t="s">
        <v>129</v>
      </c>
      <c r="B31" s="419">
        <v>7549600</v>
      </c>
      <c r="C31" s="417">
        <v>4590953</v>
      </c>
      <c r="D31" s="285">
        <v>2958647</v>
      </c>
    </row>
    <row r="32" spans="1:4" ht="14.1" customHeight="1" x14ac:dyDescent="0.2">
      <c r="A32" s="19" t="s">
        <v>130</v>
      </c>
      <c r="B32" s="420">
        <v>4820008</v>
      </c>
      <c r="C32" s="418">
        <v>4588160</v>
      </c>
      <c r="D32" s="20">
        <v>231845</v>
      </c>
    </row>
    <row r="33" spans="1:4" ht="14.1" customHeight="1" x14ac:dyDescent="0.2">
      <c r="A33" s="284" t="s">
        <v>131</v>
      </c>
      <c r="B33" s="419">
        <v>7885691</v>
      </c>
      <c r="C33" s="417">
        <v>6886002</v>
      </c>
      <c r="D33" s="285">
        <v>999689</v>
      </c>
    </row>
    <row r="34" spans="1:4" ht="14.1" customHeight="1" x14ac:dyDescent="0.2">
      <c r="A34" s="19" t="s">
        <v>132</v>
      </c>
      <c r="B34" s="420">
        <v>7517452</v>
      </c>
      <c r="C34" s="418">
        <v>7172425</v>
      </c>
      <c r="D34" s="20">
        <v>345027</v>
      </c>
    </row>
    <row r="35" spans="1:4" ht="14.1" customHeight="1" x14ac:dyDescent="0.2">
      <c r="A35" s="284" t="s">
        <v>133</v>
      </c>
      <c r="B35" s="419">
        <v>26975370</v>
      </c>
      <c r="C35" s="417">
        <v>24034950</v>
      </c>
      <c r="D35" s="285">
        <v>2940420</v>
      </c>
    </row>
    <row r="36" spans="1:4" ht="14.1" customHeight="1" x14ac:dyDescent="0.2">
      <c r="A36" s="19" t="s">
        <v>134</v>
      </c>
      <c r="B36" s="420">
        <v>7819074</v>
      </c>
      <c r="C36" s="418">
        <v>5192005</v>
      </c>
      <c r="D36" s="20">
        <v>2627069</v>
      </c>
    </row>
    <row r="37" spans="1:4" ht="14.1" customHeight="1" x14ac:dyDescent="0.2">
      <c r="A37" s="284" t="s">
        <v>135</v>
      </c>
      <c r="B37" s="419">
        <v>11013458</v>
      </c>
      <c r="C37" s="417">
        <v>11010458</v>
      </c>
      <c r="D37" s="285">
        <v>3000</v>
      </c>
    </row>
    <row r="38" spans="1:4" ht="14.1" customHeight="1" x14ac:dyDescent="0.2">
      <c r="A38" s="19" t="s">
        <v>136</v>
      </c>
      <c r="B38" s="420">
        <v>44376330</v>
      </c>
      <c r="C38" s="418">
        <v>43852623</v>
      </c>
      <c r="D38" s="20">
        <v>523707</v>
      </c>
    </row>
    <row r="39" spans="1:4" ht="14.1" customHeight="1" x14ac:dyDescent="0.2">
      <c r="A39" s="284" t="s">
        <v>137</v>
      </c>
      <c r="B39" s="419">
        <v>7583502</v>
      </c>
      <c r="C39" s="417">
        <v>4299084</v>
      </c>
      <c r="D39" s="285">
        <v>3284418</v>
      </c>
    </row>
    <row r="40" spans="1:4" ht="14.1" customHeight="1" x14ac:dyDescent="0.2">
      <c r="A40" s="19" t="s">
        <v>138</v>
      </c>
      <c r="B40" s="420">
        <v>32122486</v>
      </c>
      <c r="C40" s="418">
        <v>26106652</v>
      </c>
      <c r="D40" s="20">
        <v>6015834</v>
      </c>
    </row>
    <row r="41" spans="1:4" ht="14.1" customHeight="1" x14ac:dyDescent="0.2">
      <c r="A41" s="284" t="s">
        <v>139</v>
      </c>
      <c r="B41" s="419">
        <v>13622583</v>
      </c>
      <c r="C41" s="417">
        <v>12436832</v>
      </c>
      <c r="D41" s="285">
        <v>1185751</v>
      </c>
    </row>
    <row r="42" spans="1:4" ht="14.1" customHeight="1" x14ac:dyDescent="0.2">
      <c r="A42" s="19" t="s">
        <v>140</v>
      </c>
      <c r="B42" s="420">
        <v>6299363</v>
      </c>
      <c r="C42" s="418">
        <v>3709659</v>
      </c>
      <c r="D42" s="20">
        <v>2589704</v>
      </c>
    </row>
    <row r="43" spans="1:4" ht="14.1" customHeight="1" x14ac:dyDescent="0.2">
      <c r="A43" s="284" t="s">
        <v>141</v>
      </c>
      <c r="B43" s="419">
        <v>1166243</v>
      </c>
      <c r="C43" s="417">
        <v>834696</v>
      </c>
      <c r="D43" s="285">
        <v>331547</v>
      </c>
    </row>
    <row r="44" spans="1:4" ht="14.1" customHeight="1" x14ac:dyDescent="0.2">
      <c r="A44" s="19" t="s">
        <v>142</v>
      </c>
      <c r="B44" s="420">
        <v>3228735</v>
      </c>
      <c r="C44" s="418">
        <v>1746828</v>
      </c>
      <c r="D44" s="20">
        <v>1481907</v>
      </c>
    </row>
    <row r="45" spans="1:4" ht="14.1" customHeight="1" x14ac:dyDescent="0.2">
      <c r="A45" s="284" t="s">
        <v>143</v>
      </c>
      <c r="B45" s="419">
        <v>4894548</v>
      </c>
      <c r="C45" s="417">
        <v>4319728</v>
      </c>
      <c r="D45" s="285">
        <v>574820</v>
      </c>
    </row>
    <row r="46" spans="1:4" ht="14.1" customHeight="1" x14ac:dyDescent="0.2">
      <c r="A46" s="19" t="s">
        <v>144</v>
      </c>
      <c r="B46" s="420">
        <v>78360979</v>
      </c>
      <c r="C46" s="418">
        <v>73837629</v>
      </c>
      <c r="D46" s="20">
        <v>4523350</v>
      </c>
    </row>
    <row r="47" spans="1:4" ht="5.0999999999999996" customHeight="1" x14ac:dyDescent="0.2">
      <c r="A47" s="21"/>
      <c r="B47" s="22"/>
      <c r="C47" s="22"/>
      <c r="D47" s="22"/>
    </row>
    <row r="48" spans="1:4" ht="14.1" customHeight="1" x14ac:dyDescent="0.2">
      <c r="A48" s="286" t="s">
        <v>145</v>
      </c>
      <c r="B48" s="422">
        <f>SUM(B11:B46)</f>
        <v>561146042</v>
      </c>
      <c r="C48" s="421">
        <f>SUM(C11:C46)</f>
        <v>477390607</v>
      </c>
      <c r="D48" s="287">
        <f>SUM(D11:D46)</f>
        <v>83755432</v>
      </c>
    </row>
    <row r="49" spans="1:5" ht="5.0999999999999996" customHeight="1" x14ac:dyDescent="0.2">
      <c r="A49" s="21" t="s">
        <v>7</v>
      </c>
      <c r="B49" s="22"/>
      <c r="C49" s="22"/>
      <c r="D49" s="22"/>
    </row>
    <row r="50" spans="1:5" ht="14.1" customHeight="1" x14ac:dyDescent="0.2">
      <c r="A50" s="19" t="s">
        <v>146</v>
      </c>
      <c r="B50" s="420">
        <v>1472134</v>
      </c>
      <c r="C50" s="418">
        <v>962156</v>
      </c>
      <c r="D50" s="37">
        <v>509978</v>
      </c>
    </row>
    <row r="51" spans="1:5" ht="14.1" customHeight="1" x14ac:dyDescent="0.2">
      <c r="A51" s="284" t="s">
        <v>607</v>
      </c>
      <c r="B51" s="419">
        <v>6584688</v>
      </c>
      <c r="C51" s="417">
        <v>6584688</v>
      </c>
      <c r="D51" s="285">
        <v>0</v>
      </c>
    </row>
    <row r="52" spans="1:5" ht="50.1" customHeight="1" x14ac:dyDescent="0.2">
      <c r="A52" s="23"/>
      <c r="B52" s="23"/>
      <c r="C52" s="23"/>
      <c r="D52" s="23"/>
      <c r="E52" s="23"/>
    </row>
    <row r="53" spans="1:5" ht="15" customHeight="1" x14ac:dyDescent="0.2">
      <c r="A53" s="743" t="s">
        <v>542</v>
      </c>
      <c r="B53" s="743"/>
      <c r="C53" s="743"/>
      <c r="D53" s="743"/>
      <c r="E53" s="743"/>
    </row>
    <row r="54" spans="1:5" x14ac:dyDescent="0.2">
      <c r="A54" s="744"/>
      <c r="B54" s="744"/>
      <c r="C54" s="744"/>
      <c r="D54" s="744"/>
      <c r="E54" s="744"/>
    </row>
    <row r="55" spans="1:5" x14ac:dyDescent="0.2">
      <c r="A55" s="502" t="s">
        <v>353</v>
      </c>
    </row>
  </sheetData>
  <mergeCells count="7">
    <mergeCell ref="C6:D6"/>
    <mergeCell ref="B2:D2"/>
    <mergeCell ref="B3:D3"/>
    <mergeCell ref="A53:E54"/>
    <mergeCell ref="B6:B9"/>
    <mergeCell ref="D8:D9"/>
    <mergeCell ref="C7:C9"/>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1:H57"/>
  <sheetViews>
    <sheetView showGridLines="0" showZeros="0" workbookViewId="0"/>
  </sheetViews>
  <sheetFormatPr defaultColWidth="15.83203125" defaultRowHeight="12" x14ac:dyDescent="0.2"/>
  <cols>
    <col min="1" max="1" width="29" style="2" customWidth="1"/>
    <col min="2" max="2" width="14.33203125" style="2" customWidth="1"/>
    <col min="3" max="3" width="16.33203125" style="2" customWidth="1"/>
    <col min="4" max="4" width="15.1640625" style="2" customWidth="1"/>
    <col min="5" max="5" width="15" style="2" customWidth="1"/>
    <col min="6" max="6" width="15.1640625" style="2" customWidth="1"/>
    <col min="7" max="7" width="16.6640625" style="2" customWidth="1"/>
    <col min="8" max="16384" width="15.83203125" style="2"/>
  </cols>
  <sheetData>
    <row r="1" spans="1:7" ht="6.95" customHeight="1" x14ac:dyDescent="0.2">
      <c r="A1" s="7"/>
    </row>
    <row r="2" spans="1:7" ht="15.95" customHeight="1" x14ac:dyDescent="0.2">
      <c r="A2" s="134"/>
      <c r="B2" s="737" t="str">
        <f>"CAPITAL FUND "&amp;FALLYR&amp;"/"&amp;SPRINGYR&amp;" ACTUAL"</f>
        <v>CAPITAL FUND 2017/2018 ACTUAL</v>
      </c>
      <c r="C2" s="737"/>
      <c r="D2" s="737"/>
      <c r="E2" s="737"/>
      <c r="F2" s="737"/>
      <c r="G2" s="231" t="s">
        <v>256</v>
      </c>
    </row>
    <row r="3" spans="1:7" ht="15.95" customHeight="1" x14ac:dyDescent="0.2">
      <c r="A3" s="541"/>
      <c r="B3" s="732" t="s">
        <v>3</v>
      </c>
      <c r="C3" s="732"/>
      <c r="D3" s="732"/>
      <c r="E3" s="732"/>
      <c r="F3" s="732"/>
      <c r="G3" s="226"/>
    </row>
    <row r="4" spans="1:7" ht="15.95" customHeight="1" x14ac:dyDescent="0.2">
      <c r="B4" s="8"/>
      <c r="C4" s="227"/>
      <c r="D4" s="8"/>
      <c r="E4" s="8"/>
    </row>
    <row r="5" spans="1:7" ht="15.95" customHeight="1" x14ac:dyDescent="0.2">
      <c r="B5" s="8"/>
      <c r="C5" s="8"/>
      <c r="D5" s="8"/>
      <c r="E5" s="8"/>
    </row>
    <row r="6" spans="1:7" ht="15.95" customHeight="1" x14ac:dyDescent="0.2">
      <c r="B6" s="755" t="s">
        <v>275</v>
      </c>
      <c r="C6" s="756"/>
      <c r="D6" s="756"/>
      <c r="E6" s="756"/>
      <c r="F6" s="756"/>
      <c r="G6" s="757"/>
    </row>
    <row r="7" spans="1:7" ht="15.95" customHeight="1" x14ac:dyDescent="0.2">
      <c r="B7" s="423"/>
      <c r="C7" s="451"/>
      <c r="D7" s="758" t="s">
        <v>546</v>
      </c>
      <c r="E7" s="758" t="s">
        <v>547</v>
      </c>
      <c r="F7" s="423"/>
      <c r="G7" s="410"/>
    </row>
    <row r="8" spans="1:7" ht="15.95" customHeight="1" x14ac:dyDescent="0.2">
      <c r="A8" s="403"/>
      <c r="B8" s="753" t="s">
        <v>271</v>
      </c>
      <c r="C8" s="437"/>
      <c r="D8" s="733"/>
      <c r="E8" s="733"/>
      <c r="F8" s="424"/>
      <c r="G8" s="411"/>
    </row>
    <row r="9" spans="1:7" ht="15.95" customHeight="1" x14ac:dyDescent="0.2">
      <c r="A9" s="404" t="s">
        <v>42</v>
      </c>
      <c r="B9" s="754"/>
      <c r="C9" s="425" t="s">
        <v>282</v>
      </c>
      <c r="D9" s="734"/>
      <c r="E9" s="734"/>
      <c r="F9" s="425" t="s">
        <v>363</v>
      </c>
      <c r="G9" s="299" t="s">
        <v>31</v>
      </c>
    </row>
    <row r="10" spans="1:7" ht="5.0999999999999996" customHeight="1" x14ac:dyDescent="0.2">
      <c r="A10" s="6"/>
      <c r="B10" s="207"/>
      <c r="C10" s="207"/>
      <c r="D10" s="207"/>
      <c r="E10" s="207"/>
      <c r="F10" s="207"/>
      <c r="G10" s="207"/>
    </row>
    <row r="11" spans="1:7" ht="14.1" customHeight="1" x14ac:dyDescent="0.2">
      <c r="A11" s="284" t="s">
        <v>110</v>
      </c>
      <c r="B11" s="285">
        <v>0</v>
      </c>
      <c r="C11" s="285">
        <v>1907936</v>
      </c>
      <c r="D11" s="285">
        <v>0</v>
      </c>
      <c r="E11" s="285">
        <v>0</v>
      </c>
      <c r="F11" s="285">
        <v>229158</v>
      </c>
      <c r="G11" s="285">
        <f>SUM(B11:F11)</f>
        <v>2137094</v>
      </c>
    </row>
    <row r="12" spans="1:7" ht="14.1" customHeight="1" x14ac:dyDescent="0.2">
      <c r="A12" s="19" t="s">
        <v>111</v>
      </c>
      <c r="B12" s="20">
        <v>20320</v>
      </c>
      <c r="C12" s="20">
        <v>4060933</v>
      </c>
      <c r="D12" s="20">
        <v>479764</v>
      </c>
      <c r="E12" s="20">
        <v>67838</v>
      </c>
      <c r="F12" s="20">
        <v>544341</v>
      </c>
      <c r="G12" s="20">
        <f>SUM(B12:F12)</f>
        <v>5173196</v>
      </c>
    </row>
    <row r="13" spans="1:7" ht="14.1" customHeight="1" x14ac:dyDescent="0.2">
      <c r="A13" s="284" t="s">
        <v>112</v>
      </c>
      <c r="B13" s="285">
        <v>0</v>
      </c>
      <c r="C13" s="285">
        <v>3190546</v>
      </c>
      <c r="D13" s="285">
        <v>0</v>
      </c>
      <c r="E13" s="285">
        <v>561442</v>
      </c>
      <c r="F13" s="285">
        <v>607777</v>
      </c>
      <c r="G13" s="285">
        <f t="shared" ref="G13:G46" si="0">SUM(B13:F13)</f>
        <v>4359765</v>
      </c>
    </row>
    <row r="14" spans="1:7" ht="14.1" customHeight="1" x14ac:dyDescent="0.2">
      <c r="A14" s="19" t="s">
        <v>359</v>
      </c>
      <c r="B14" s="20">
        <v>76708</v>
      </c>
      <c r="C14" s="20">
        <v>2141935</v>
      </c>
      <c r="D14" s="20">
        <v>235907</v>
      </c>
      <c r="E14" s="20">
        <v>45656</v>
      </c>
      <c r="F14" s="20">
        <v>126201</v>
      </c>
      <c r="G14" s="20">
        <f t="shared" si="0"/>
        <v>2626407</v>
      </c>
    </row>
    <row r="15" spans="1:7" ht="14.1" customHeight="1" x14ac:dyDescent="0.2">
      <c r="A15" s="284" t="s">
        <v>113</v>
      </c>
      <c r="B15" s="285">
        <v>26304</v>
      </c>
      <c r="C15" s="285">
        <v>407403</v>
      </c>
      <c r="D15" s="285">
        <v>0</v>
      </c>
      <c r="E15" s="285">
        <v>282374</v>
      </c>
      <c r="F15" s="285">
        <v>427438</v>
      </c>
      <c r="G15" s="285">
        <f t="shared" si="0"/>
        <v>1143519</v>
      </c>
    </row>
    <row r="16" spans="1:7" ht="14.1" customHeight="1" x14ac:dyDescent="0.2">
      <c r="A16" s="19" t="s">
        <v>114</v>
      </c>
      <c r="B16" s="20">
        <v>1536</v>
      </c>
      <c r="C16" s="20">
        <v>436133</v>
      </c>
      <c r="D16" s="20">
        <v>84452</v>
      </c>
      <c r="E16" s="20">
        <v>0</v>
      </c>
      <c r="F16" s="20">
        <v>37736</v>
      </c>
      <c r="G16" s="20">
        <f t="shared" si="0"/>
        <v>559857</v>
      </c>
    </row>
    <row r="17" spans="1:7" ht="14.1" customHeight="1" x14ac:dyDescent="0.2">
      <c r="A17" s="284" t="s">
        <v>115</v>
      </c>
      <c r="B17" s="285">
        <v>0</v>
      </c>
      <c r="C17" s="285">
        <v>361377</v>
      </c>
      <c r="D17" s="285">
        <v>62890</v>
      </c>
      <c r="E17" s="285">
        <v>0</v>
      </c>
      <c r="F17" s="285">
        <v>226960</v>
      </c>
      <c r="G17" s="285">
        <f t="shared" si="0"/>
        <v>651227</v>
      </c>
    </row>
    <row r="18" spans="1:7" ht="14.1" customHeight="1" x14ac:dyDescent="0.2">
      <c r="A18" s="19" t="s">
        <v>116</v>
      </c>
      <c r="B18" s="20">
        <v>0</v>
      </c>
      <c r="C18" s="20">
        <v>2601732</v>
      </c>
      <c r="D18" s="20">
        <v>31806</v>
      </c>
      <c r="E18" s="20">
        <v>0</v>
      </c>
      <c r="F18" s="20">
        <v>1272439</v>
      </c>
      <c r="G18" s="20">
        <f t="shared" si="0"/>
        <v>3905977</v>
      </c>
    </row>
    <row r="19" spans="1:7" ht="14.1" customHeight="1" x14ac:dyDescent="0.2">
      <c r="A19" s="284" t="s">
        <v>117</v>
      </c>
      <c r="B19" s="285">
        <v>0</v>
      </c>
      <c r="C19" s="285">
        <v>5269233</v>
      </c>
      <c r="D19" s="285">
        <v>76400</v>
      </c>
      <c r="E19" s="285">
        <v>0</v>
      </c>
      <c r="F19" s="285">
        <v>29140</v>
      </c>
      <c r="G19" s="285">
        <f t="shared" si="0"/>
        <v>5374773</v>
      </c>
    </row>
    <row r="20" spans="1:7" ht="14.1" customHeight="1" x14ac:dyDescent="0.2">
      <c r="A20" s="19" t="s">
        <v>118</v>
      </c>
      <c r="B20" s="20">
        <v>3063938</v>
      </c>
      <c r="C20" s="20">
        <v>5588028</v>
      </c>
      <c r="D20" s="20">
        <v>147252</v>
      </c>
      <c r="E20" s="20">
        <v>0</v>
      </c>
      <c r="F20" s="20">
        <v>602000</v>
      </c>
      <c r="G20" s="20">
        <f t="shared" si="0"/>
        <v>9401218</v>
      </c>
    </row>
    <row r="21" spans="1:7" ht="14.1" customHeight="1" x14ac:dyDescent="0.2">
      <c r="A21" s="284" t="s">
        <v>119</v>
      </c>
      <c r="B21" s="285">
        <v>0</v>
      </c>
      <c r="C21" s="285">
        <v>760181</v>
      </c>
      <c r="D21" s="285">
        <v>50771</v>
      </c>
      <c r="E21" s="285">
        <v>0</v>
      </c>
      <c r="F21" s="285">
        <v>266827</v>
      </c>
      <c r="G21" s="285">
        <f t="shared" si="0"/>
        <v>1077779</v>
      </c>
    </row>
    <row r="22" spans="1:7" ht="14.1" customHeight="1" x14ac:dyDescent="0.2">
      <c r="A22" s="19" t="s">
        <v>120</v>
      </c>
      <c r="B22" s="20">
        <v>0</v>
      </c>
      <c r="C22" s="20">
        <v>0</v>
      </c>
      <c r="D22" s="20">
        <v>14298</v>
      </c>
      <c r="E22" s="20">
        <v>0</v>
      </c>
      <c r="F22" s="20">
        <v>156136</v>
      </c>
      <c r="G22" s="20">
        <f t="shared" si="0"/>
        <v>170434</v>
      </c>
    </row>
    <row r="23" spans="1:7" ht="14.1" customHeight="1" x14ac:dyDescent="0.2">
      <c r="A23" s="284" t="s">
        <v>121</v>
      </c>
      <c r="B23" s="285">
        <v>0</v>
      </c>
      <c r="C23" s="285">
        <v>44676</v>
      </c>
      <c r="D23" s="285">
        <v>83589</v>
      </c>
      <c r="E23" s="285">
        <v>0</v>
      </c>
      <c r="F23" s="285">
        <v>0</v>
      </c>
      <c r="G23" s="285">
        <f t="shared" si="0"/>
        <v>128265</v>
      </c>
    </row>
    <row r="24" spans="1:7" ht="14.1" customHeight="1" x14ac:dyDescent="0.2">
      <c r="A24" s="19" t="s">
        <v>122</v>
      </c>
      <c r="B24" s="20">
        <v>0</v>
      </c>
      <c r="C24" s="20">
        <v>1557615</v>
      </c>
      <c r="D24" s="20">
        <v>311684</v>
      </c>
      <c r="E24" s="20">
        <v>0</v>
      </c>
      <c r="F24" s="20">
        <v>743093</v>
      </c>
      <c r="G24" s="20">
        <f t="shared" si="0"/>
        <v>2612392</v>
      </c>
    </row>
    <row r="25" spans="1:7" ht="14.1" customHeight="1" x14ac:dyDescent="0.2">
      <c r="A25" s="284" t="s">
        <v>123</v>
      </c>
      <c r="B25" s="285">
        <v>27000</v>
      </c>
      <c r="C25" s="285">
        <v>3651917</v>
      </c>
      <c r="D25" s="285">
        <v>2935142</v>
      </c>
      <c r="E25" s="285">
        <v>399298</v>
      </c>
      <c r="F25" s="285">
        <v>395880</v>
      </c>
      <c r="G25" s="285">
        <f t="shared" si="0"/>
        <v>7409237</v>
      </c>
    </row>
    <row r="26" spans="1:7" ht="14.1" customHeight="1" x14ac:dyDescent="0.2">
      <c r="A26" s="19" t="s">
        <v>124</v>
      </c>
      <c r="B26" s="20">
        <v>0</v>
      </c>
      <c r="C26" s="20">
        <v>5307184</v>
      </c>
      <c r="D26" s="20">
        <v>24747</v>
      </c>
      <c r="E26" s="20">
        <v>0</v>
      </c>
      <c r="F26" s="20">
        <v>654491</v>
      </c>
      <c r="G26" s="20">
        <f t="shared" si="0"/>
        <v>5986422</v>
      </c>
    </row>
    <row r="27" spans="1:7" ht="14.1" customHeight="1" x14ac:dyDescent="0.2">
      <c r="A27" s="284" t="s">
        <v>125</v>
      </c>
      <c r="B27" s="285">
        <v>134973</v>
      </c>
      <c r="C27" s="285">
        <v>349972</v>
      </c>
      <c r="D27" s="285">
        <v>184414</v>
      </c>
      <c r="E27" s="285">
        <v>11749</v>
      </c>
      <c r="F27" s="285">
        <v>96552</v>
      </c>
      <c r="G27" s="285">
        <f t="shared" si="0"/>
        <v>777660</v>
      </c>
    </row>
    <row r="28" spans="1:7" ht="14.1" customHeight="1" x14ac:dyDescent="0.2">
      <c r="A28" s="19" t="s">
        <v>126</v>
      </c>
      <c r="B28" s="20">
        <v>0</v>
      </c>
      <c r="C28" s="20">
        <v>-1718273</v>
      </c>
      <c r="D28" s="20">
        <v>2022304</v>
      </c>
      <c r="E28" s="20">
        <v>0</v>
      </c>
      <c r="F28" s="20">
        <v>111122</v>
      </c>
      <c r="G28" s="20">
        <f t="shared" si="0"/>
        <v>415153</v>
      </c>
    </row>
    <row r="29" spans="1:7" ht="14.1" customHeight="1" x14ac:dyDescent="0.2">
      <c r="A29" s="284" t="s">
        <v>127</v>
      </c>
      <c r="B29" s="285">
        <v>727657</v>
      </c>
      <c r="C29" s="285">
        <v>5129506</v>
      </c>
      <c r="D29" s="285">
        <v>241503</v>
      </c>
      <c r="E29" s="285">
        <v>31499</v>
      </c>
      <c r="F29" s="285">
        <v>68421</v>
      </c>
      <c r="G29" s="285">
        <f t="shared" si="0"/>
        <v>6198586</v>
      </c>
    </row>
    <row r="30" spans="1:7" ht="14.1" customHeight="1" x14ac:dyDescent="0.2">
      <c r="A30" s="19" t="s">
        <v>128</v>
      </c>
      <c r="B30" s="20">
        <v>0</v>
      </c>
      <c r="C30" s="20">
        <v>1032031</v>
      </c>
      <c r="D30" s="20">
        <v>122155</v>
      </c>
      <c r="E30" s="20">
        <v>222437</v>
      </c>
      <c r="F30" s="20">
        <v>223064</v>
      </c>
      <c r="G30" s="20">
        <f t="shared" si="0"/>
        <v>1599687</v>
      </c>
    </row>
    <row r="31" spans="1:7" ht="14.1" customHeight="1" x14ac:dyDescent="0.2">
      <c r="A31" s="284" t="s">
        <v>129</v>
      </c>
      <c r="B31" s="285">
        <v>0</v>
      </c>
      <c r="C31" s="285">
        <v>2314122</v>
      </c>
      <c r="D31" s="285">
        <v>75343</v>
      </c>
      <c r="E31" s="285">
        <v>351630</v>
      </c>
      <c r="F31" s="285">
        <v>470290</v>
      </c>
      <c r="G31" s="285">
        <f t="shared" si="0"/>
        <v>3211385</v>
      </c>
    </row>
    <row r="32" spans="1:7" ht="14.1" customHeight="1" x14ac:dyDescent="0.2">
      <c r="A32" s="19" t="s">
        <v>130</v>
      </c>
      <c r="B32" s="20">
        <v>0</v>
      </c>
      <c r="C32" s="20">
        <v>2853536</v>
      </c>
      <c r="D32" s="20">
        <v>0</v>
      </c>
      <c r="E32" s="20">
        <v>0</v>
      </c>
      <c r="F32" s="20">
        <v>254270</v>
      </c>
      <c r="G32" s="20">
        <f t="shared" si="0"/>
        <v>3107806</v>
      </c>
    </row>
    <row r="33" spans="1:8" ht="14.1" customHeight="1" x14ac:dyDescent="0.2">
      <c r="A33" s="284" t="s">
        <v>131</v>
      </c>
      <c r="B33" s="285">
        <v>0</v>
      </c>
      <c r="C33" s="285">
        <v>291612</v>
      </c>
      <c r="D33" s="285">
        <v>156696</v>
      </c>
      <c r="E33" s="285">
        <v>129571</v>
      </c>
      <c r="F33" s="285">
        <v>268649</v>
      </c>
      <c r="G33" s="285">
        <f t="shared" si="0"/>
        <v>846528</v>
      </c>
    </row>
    <row r="34" spans="1:8" ht="14.1" customHeight="1" x14ac:dyDescent="0.2">
      <c r="A34" s="19" t="s">
        <v>132</v>
      </c>
      <c r="B34" s="20">
        <v>251759</v>
      </c>
      <c r="C34" s="20">
        <v>1900598</v>
      </c>
      <c r="D34" s="20">
        <v>123666</v>
      </c>
      <c r="E34" s="20">
        <v>18752</v>
      </c>
      <c r="F34" s="20">
        <v>354953</v>
      </c>
      <c r="G34" s="20">
        <f t="shared" si="0"/>
        <v>2649728</v>
      </c>
    </row>
    <row r="35" spans="1:8" ht="14.1" customHeight="1" x14ac:dyDescent="0.2">
      <c r="A35" s="284" t="s">
        <v>133</v>
      </c>
      <c r="B35" s="285">
        <v>0</v>
      </c>
      <c r="C35" s="285">
        <v>11019060</v>
      </c>
      <c r="D35" s="285">
        <v>618701</v>
      </c>
      <c r="E35" s="285">
        <v>1180084</v>
      </c>
      <c r="F35" s="285">
        <v>409403</v>
      </c>
      <c r="G35" s="285">
        <f t="shared" si="0"/>
        <v>13227248</v>
      </c>
    </row>
    <row r="36" spans="1:8" ht="14.1" customHeight="1" x14ac:dyDescent="0.2">
      <c r="A36" s="19" t="s">
        <v>134</v>
      </c>
      <c r="B36" s="20">
        <v>0</v>
      </c>
      <c r="C36" s="20">
        <v>125447</v>
      </c>
      <c r="D36" s="20">
        <v>142165</v>
      </c>
      <c r="E36" s="20">
        <v>0</v>
      </c>
      <c r="F36" s="20">
        <v>422201</v>
      </c>
      <c r="G36" s="20">
        <f t="shared" si="0"/>
        <v>689813</v>
      </c>
    </row>
    <row r="37" spans="1:8" ht="14.1" customHeight="1" x14ac:dyDescent="0.2">
      <c r="A37" s="284" t="s">
        <v>135</v>
      </c>
      <c r="B37" s="285">
        <v>0</v>
      </c>
      <c r="C37" s="285">
        <v>2227107</v>
      </c>
      <c r="D37" s="285">
        <v>55675</v>
      </c>
      <c r="E37" s="285">
        <v>0</v>
      </c>
      <c r="F37" s="285">
        <v>686421</v>
      </c>
      <c r="G37" s="285">
        <f t="shared" si="0"/>
        <v>2969203</v>
      </c>
    </row>
    <row r="38" spans="1:8" ht="14.1" customHeight="1" x14ac:dyDescent="0.2">
      <c r="A38" s="19" t="s">
        <v>136</v>
      </c>
      <c r="B38" s="20">
        <v>23056</v>
      </c>
      <c r="C38" s="20">
        <v>18265805</v>
      </c>
      <c r="D38" s="20">
        <v>69310</v>
      </c>
      <c r="E38" s="20">
        <v>28648</v>
      </c>
      <c r="F38" s="20">
        <v>683505</v>
      </c>
      <c r="G38" s="20">
        <f t="shared" si="0"/>
        <v>19070324</v>
      </c>
    </row>
    <row r="39" spans="1:8" ht="14.1" customHeight="1" x14ac:dyDescent="0.2">
      <c r="A39" s="284" t="s">
        <v>137</v>
      </c>
      <c r="B39" s="285">
        <v>0</v>
      </c>
      <c r="C39" s="285">
        <v>90778</v>
      </c>
      <c r="D39" s="285">
        <v>262738</v>
      </c>
      <c r="E39" s="285">
        <v>0</v>
      </c>
      <c r="F39" s="285">
        <v>390625</v>
      </c>
      <c r="G39" s="285">
        <f t="shared" si="0"/>
        <v>744141</v>
      </c>
    </row>
    <row r="40" spans="1:8" ht="14.1" customHeight="1" x14ac:dyDescent="0.2">
      <c r="A40" s="19" t="s">
        <v>138</v>
      </c>
      <c r="B40" s="20">
        <v>818588</v>
      </c>
      <c r="C40" s="20">
        <v>4769146</v>
      </c>
      <c r="D40" s="20">
        <v>394263</v>
      </c>
      <c r="E40" s="20">
        <v>141783</v>
      </c>
      <c r="F40" s="20">
        <v>263520</v>
      </c>
      <c r="G40" s="20">
        <f t="shared" si="0"/>
        <v>6387300</v>
      </c>
    </row>
    <row r="41" spans="1:8" ht="14.1" customHeight="1" x14ac:dyDescent="0.2">
      <c r="A41" s="284" t="s">
        <v>139</v>
      </c>
      <c r="B41" s="285">
        <v>0</v>
      </c>
      <c r="C41" s="285">
        <v>5236257</v>
      </c>
      <c r="D41" s="285">
        <v>58718</v>
      </c>
      <c r="E41" s="285">
        <v>38572</v>
      </c>
      <c r="F41" s="285">
        <v>969150</v>
      </c>
      <c r="G41" s="285">
        <f t="shared" si="0"/>
        <v>6302697</v>
      </c>
    </row>
    <row r="42" spans="1:8" ht="14.1" customHeight="1" x14ac:dyDescent="0.2">
      <c r="A42" s="19" t="s">
        <v>140</v>
      </c>
      <c r="B42" s="20">
        <v>0</v>
      </c>
      <c r="C42" s="20">
        <v>2462511</v>
      </c>
      <c r="D42" s="20">
        <v>108552</v>
      </c>
      <c r="E42" s="20">
        <v>0</v>
      </c>
      <c r="F42" s="20">
        <v>223969</v>
      </c>
      <c r="G42" s="20">
        <f t="shared" si="0"/>
        <v>2795032</v>
      </c>
    </row>
    <row r="43" spans="1:8" ht="14.1" customHeight="1" x14ac:dyDescent="0.2">
      <c r="A43" s="284" t="s">
        <v>141</v>
      </c>
      <c r="B43" s="285">
        <v>0</v>
      </c>
      <c r="C43" s="285">
        <v>722082</v>
      </c>
      <c r="D43" s="285">
        <v>16559</v>
      </c>
      <c r="E43" s="285">
        <v>0</v>
      </c>
      <c r="F43" s="285">
        <v>151313</v>
      </c>
      <c r="G43" s="285">
        <f t="shared" si="0"/>
        <v>889954</v>
      </c>
    </row>
    <row r="44" spans="1:8" ht="14.1" customHeight="1" x14ac:dyDescent="0.2">
      <c r="A44" s="19" t="s">
        <v>142</v>
      </c>
      <c r="B44" s="20">
        <v>0</v>
      </c>
      <c r="C44" s="20">
        <v>114162</v>
      </c>
      <c r="D44" s="20">
        <v>94521</v>
      </c>
      <c r="E44" s="20">
        <v>0</v>
      </c>
      <c r="F44" s="20">
        <v>576079</v>
      </c>
      <c r="G44" s="20">
        <f t="shared" si="0"/>
        <v>784762</v>
      </c>
    </row>
    <row r="45" spans="1:8" ht="14.1" customHeight="1" x14ac:dyDescent="0.2">
      <c r="A45" s="284" t="s">
        <v>143</v>
      </c>
      <c r="B45" s="285">
        <v>0</v>
      </c>
      <c r="C45" s="285">
        <v>586200</v>
      </c>
      <c r="D45" s="285">
        <v>59046</v>
      </c>
      <c r="E45" s="285">
        <v>0</v>
      </c>
      <c r="F45" s="285">
        <v>286686</v>
      </c>
      <c r="G45" s="285">
        <f t="shared" si="0"/>
        <v>931932</v>
      </c>
    </row>
    <row r="46" spans="1:8" ht="14.1" customHeight="1" x14ac:dyDescent="0.2">
      <c r="A46" s="19" t="s">
        <v>144</v>
      </c>
      <c r="B46" s="20">
        <v>57325</v>
      </c>
      <c r="C46" s="20">
        <v>11334505</v>
      </c>
      <c r="D46" s="20">
        <v>1013720</v>
      </c>
      <c r="E46" s="20">
        <v>72690</v>
      </c>
      <c r="F46" s="20">
        <v>1036005</v>
      </c>
      <c r="G46" s="20">
        <f t="shared" si="0"/>
        <v>13514245</v>
      </c>
    </row>
    <row r="47" spans="1:8" ht="5.0999999999999996" customHeight="1" x14ac:dyDescent="0.2">
      <c r="A47" s="21"/>
      <c r="B47" s="22"/>
      <c r="C47" s="22"/>
      <c r="D47" s="22"/>
      <c r="E47" s="22"/>
      <c r="F47" s="22"/>
      <c r="G47" s="22"/>
    </row>
    <row r="48" spans="1:8" ht="14.1" customHeight="1" x14ac:dyDescent="0.2">
      <c r="A48" s="286" t="s">
        <v>145</v>
      </c>
      <c r="B48" s="287">
        <f t="shared" ref="B48:G48" si="1">SUM(B11:B46)</f>
        <v>5229164</v>
      </c>
      <c r="C48" s="287">
        <f t="shared" si="1"/>
        <v>106392993</v>
      </c>
      <c r="D48" s="287">
        <f t="shared" si="1"/>
        <v>10358751</v>
      </c>
      <c r="E48" s="287">
        <f t="shared" si="1"/>
        <v>3584023</v>
      </c>
      <c r="F48" s="287">
        <f t="shared" si="1"/>
        <v>14265815</v>
      </c>
      <c r="G48" s="287">
        <f t="shared" si="1"/>
        <v>139830746</v>
      </c>
      <c r="H48" s="510">
        <v>0</v>
      </c>
    </row>
    <row r="49" spans="1:7" ht="5.0999999999999996" customHeight="1" x14ac:dyDescent="0.2">
      <c r="A49" s="21" t="s">
        <v>7</v>
      </c>
      <c r="B49" s="22"/>
      <c r="C49" s="22"/>
      <c r="D49" s="22"/>
      <c r="E49" s="22"/>
      <c r="F49" s="22"/>
      <c r="G49" s="22"/>
    </row>
    <row r="50" spans="1:7" ht="14.1" customHeight="1" x14ac:dyDescent="0.2">
      <c r="A50" s="19" t="s">
        <v>146</v>
      </c>
      <c r="B50" s="20">
        <v>0</v>
      </c>
      <c r="C50" s="20">
        <v>0</v>
      </c>
      <c r="D50" s="20">
        <v>0</v>
      </c>
      <c r="E50" s="20">
        <v>0</v>
      </c>
      <c r="F50" s="20">
        <v>0</v>
      </c>
      <c r="G50" s="20">
        <f>SUM(B50:F50)</f>
        <v>0</v>
      </c>
    </row>
    <row r="51" spans="1:7" ht="14.1" customHeight="1" x14ac:dyDescent="0.2">
      <c r="A51" s="284" t="s">
        <v>607</v>
      </c>
      <c r="B51" s="285">
        <v>0</v>
      </c>
      <c r="C51" s="285">
        <v>260597</v>
      </c>
      <c r="D51" s="285">
        <v>78335</v>
      </c>
      <c r="E51" s="285">
        <v>343197</v>
      </c>
      <c r="F51" s="285">
        <v>10946</v>
      </c>
      <c r="G51" s="285">
        <f>SUM(B51:F51)</f>
        <v>693075</v>
      </c>
    </row>
    <row r="52" spans="1:7" ht="50.1" customHeight="1" x14ac:dyDescent="0.2">
      <c r="A52" s="23"/>
      <c r="B52" s="23"/>
      <c r="C52" s="23"/>
      <c r="D52" s="23"/>
      <c r="E52" s="23"/>
      <c r="F52" s="23"/>
      <c r="G52" s="23"/>
    </row>
    <row r="53" spans="1:7" ht="15" customHeight="1" x14ac:dyDescent="0.2">
      <c r="A53" s="414" t="s">
        <v>354</v>
      </c>
    </row>
    <row r="54" spans="1:7" x14ac:dyDescent="0.2">
      <c r="A54" s="752" t="s">
        <v>629</v>
      </c>
      <c r="B54" s="752"/>
      <c r="C54" s="752"/>
      <c r="D54" s="752"/>
      <c r="E54" s="752"/>
      <c r="F54" s="752"/>
      <c r="G54" s="752"/>
    </row>
    <row r="55" spans="1:7" x14ac:dyDescent="0.2">
      <c r="A55" s="752"/>
      <c r="B55" s="752"/>
      <c r="C55" s="752"/>
      <c r="D55" s="752"/>
      <c r="E55" s="752"/>
      <c r="F55" s="752"/>
      <c r="G55" s="752"/>
    </row>
    <row r="56" spans="1:7" x14ac:dyDescent="0.2">
      <c r="A56" s="434" t="s">
        <v>416</v>
      </c>
    </row>
    <row r="57" spans="1:7" x14ac:dyDescent="0.2">
      <c r="A57" s="503" t="s">
        <v>355</v>
      </c>
    </row>
  </sheetData>
  <mergeCells count="7">
    <mergeCell ref="A54:G55"/>
    <mergeCell ref="B8:B9"/>
    <mergeCell ref="B2:F2"/>
    <mergeCell ref="B3:F3"/>
    <mergeCell ref="B6:G6"/>
    <mergeCell ref="D7:D9"/>
    <mergeCell ref="E7:E9"/>
  </mergeCells>
  <phoneticPr fontId="6" type="noConversion"/>
  <pageMargins left="0.51181102362204722" right="0.51181102362204722" top="0.59055118110236227" bottom="0.19685039370078741" header="0.31496062992125984" footer="0.51181102362204722"/>
  <pageSetup scale="90" orientation="portrait" r:id="rId1"/>
  <headerFooter alignWithMargins="0">
    <oddHeader>&amp;C&amp;"Arial,Regular"&amp;11&amp;A</oddHead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H55"/>
  <sheetViews>
    <sheetView showGridLines="0" showZeros="0" workbookViewId="0"/>
  </sheetViews>
  <sheetFormatPr defaultColWidth="19.83203125" defaultRowHeight="12" x14ac:dyDescent="0.2"/>
  <cols>
    <col min="1" max="1" width="30.83203125" style="2" customWidth="1"/>
    <col min="2" max="3" width="16.83203125" style="2" customWidth="1"/>
    <col min="4" max="4" width="3.83203125" style="2" customWidth="1"/>
    <col min="5" max="5" width="18.83203125" style="2" customWidth="1"/>
    <col min="6" max="7" width="16.83203125" style="2" customWidth="1"/>
    <col min="8" max="8" width="14.33203125" style="2" customWidth="1"/>
    <col min="9" max="16384" width="19.83203125" style="2"/>
  </cols>
  <sheetData>
    <row r="1" spans="1:8" ht="6.95" customHeight="1" x14ac:dyDescent="0.2">
      <c r="A1" s="7"/>
      <c r="B1" s="7"/>
      <c r="C1" s="7"/>
      <c r="D1" s="7"/>
    </row>
    <row r="2" spans="1:8" ht="15.95" customHeight="1" x14ac:dyDescent="0.2">
      <c r="A2" s="759" t="str">
        <f>"SPECIAL PURPOSE FUND "&amp;VALUE('- 66 -'!F9+1)&amp;"/"&amp;VALUE('- 66 -'!F9+2)&amp;" ACTUAL"</f>
        <v>SPECIAL PURPOSE FUND 2017/2018 ACTUAL</v>
      </c>
      <c r="B2" s="759"/>
      <c r="C2" s="759"/>
      <c r="D2" s="759"/>
      <c r="E2" s="759"/>
      <c r="F2" s="450" t="s">
        <v>96</v>
      </c>
      <c r="G2" s="446"/>
      <c r="H2" s="446"/>
    </row>
    <row r="3" spans="1:8" ht="15.95" customHeight="1" x14ac:dyDescent="0.2">
      <c r="A3" s="732" t="s">
        <v>391</v>
      </c>
      <c r="B3" s="732"/>
      <c r="C3" s="732"/>
      <c r="D3" s="732"/>
      <c r="E3" s="732"/>
      <c r="F3" s="732"/>
      <c r="G3" s="732"/>
      <c r="H3" s="732"/>
    </row>
    <row r="4" spans="1:8" ht="15.95" customHeight="1" x14ac:dyDescent="0.2">
      <c r="E4" s="8"/>
      <c r="F4" s="8"/>
      <c r="G4" s="8"/>
    </row>
    <row r="5" spans="1:8" ht="15.95" customHeight="1" x14ac:dyDescent="0.2">
      <c r="B5"/>
      <c r="C5"/>
      <c r="D5"/>
      <c r="E5"/>
      <c r="F5"/>
      <c r="G5"/>
      <c r="H5"/>
    </row>
    <row r="6" spans="1:8" ht="15.95" customHeight="1" x14ac:dyDescent="0.2">
      <c r="B6" s="432"/>
      <c r="C6" s="432"/>
      <c r="D6"/>
      <c r="E6" s="745" t="s">
        <v>549</v>
      </c>
      <c r="F6" s="741" t="s">
        <v>268</v>
      </c>
      <c r="G6" s="742"/>
    </row>
    <row r="7" spans="1:8" ht="15.95" customHeight="1" x14ac:dyDescent="0.2">
      <c r="B7" s="408"/>
      <c r="C7" s="408"/>
      <c r="D7"/>
      <c r="E7" s="746"/>
      <c r="F7" s="750" t="s">
        <v>375</v>
      </c>
      <c r="G7" s="408"/>
    </row>
    <row r="8" spans="1:8" ht="15.95" customHeight="1" x14ac:dyDescent="0.2">
      <c r="A8" s="403"/>
      <c r="B8" s="760" t="s">
        <v>536</v>
      </c>
      <c r="C8" s="760" t="s">
        <v>540</v>
      </c>
      <c r="D8"/>
      <c r="E8" s="746"/>
      <c r="F8" s="750"/>
      <c r="G8" s="748" t="s">
        <v>548</v>
      </c>
    </row>
    <row r="9" spans="1:8" ht="15.95" customHeight="1" x14ac:dyDescent="0.2">
      <c r="A9" s="404" t="s">
        <v>42</v>
      </c>
      <c r="B9" s="761"/>
      <c r="C9" s="761"/>
      <c r="D9"/>
      <c r="E9" s="747"/>
      <c r="F9" s="751"/>
      <c r="G9" s="749"/>
    </row>
    <row r="10" spans="1:8" ht="5.0999999999999996" customHeight="1" x14ac:dyDescent="0.2">
      <c r="A10" s="6"/>
      <c r="B10" s="207"/>
      <c r="C10" s="207"/>
      <c r="D10"/>
      <c r="E10" s="7"/>
      <c r="F10" s="207"/>
    </row>
    <row r="11" spans="1:8" ht="14.1" customHeight="1" x14ac:dyDescent="0.2">
      <c r="A11" s="284" t="s">
        <v>110</v>
      </c>
      <c r="B11" s="417">
        <v>421919</v>
      </c>
      <c r="C11" s="417">
        <v>429196</v>
      </c>
      <c r="D11"/>
      <c r="E11" s="550">
        <v>254998</v>
      </c>
      <c r="F11" s="417">
        <v>254998</v>
      </c>
      <c r="G11" s="417">
        <v>0</v>
      </c>
    </row>
    <row r="12" spans="1:8" ht="14.1" customHeight="1" x14ac:dyDescent="0.2">
      <c r="A12" s="19" t="s">
        <v>111</v>
      </c>
      <c r="B12" s="418">
        <v>489312</v>
      </c>
      <c r="C12" s="418">
        <v>498724</v>
      </c>
      <c r="D12"/>
      <c r="E12" s="551">
        <v>398048</v>
      </c>
      <c r="F12" s="418">
        <v>398048</v>
      </c>
      <c r="G12" s="418">
        <v>0</v>
      </c>
    </row>
    <row r="13" spans="1:8" ht="14.1" customHeight="1" x14ac:dyDescent="0.2">
      <c r="A13" s="284" t="s">
        <v>112</v>
      </c>
      <c r="B13" s="417">
        <v>2807029</v>
      </c>
      <c r="C13" s="417">
        <v>2865092</v>
      </c>
      <c r="D13"/>
      <c r="E13" s="550">
        <v>2238420</v>
      </c>
      <c r="F13" s="417">
        <v>896372</v>
      </c>
      <c r="G13" s="417">
        <v>1342048</v>
      </c>
    </row>
    <row r="14" spans="1:8" ht="14.1" customHeight="1" x14ac:dyDescent="0.2">
      <c r="A14" s="19" t="s">
        <v>359</v>
      </c>
      <c r="B14" s="418">
        <v>1332826</v>
      </c>
      <c r="C14" s="418">
        <v>1296349</v>
      </c>
      <c r="D14"/>
      <c r="E14" s="551">
        <v>791082</v>
      </c>
      <c r="F14" s="418">
        <v>663909</v>
      </c>
      <c r="G14" s="418">
        <v>127173</v>
      </c>
    </row>
    <row r="15" spans="1:8" ht="14.1" customHeight="1" x14ac:dyDescent="0.2">
      <c r="A15" s="284" t="s">
        <v>113</v>
      </c>
      <c r="B15" s="417">
        <v>481874</v>
      </c>
      <c r="C15" s="417">
        <v>454244</v>
      </c>
      <c r="D15"/>
      <c r="E15" s="550">
        <v>330632</v>
      </c>
      <c r="F15" s="417">
        <v>207857</v>
      </c>
      <c r="G15" s="417">
        <v>122775</v>
      </c>
    </row>
    <row r="16" spans="1:8" ht="14.1" customHeight="1" x14ac:dyDescent="0.2">
      <c r="A16" s="19" t="s">
        <v>114</v>
      </c>
      <c r="B16" s="418">
        <v>279405</v>
      </c>
      <c r="C16" s="418">
        <v>272076</v>
      </c>
      <c r="D16"/>
      <c r="E16" s="551">
        <v>56113</v>
      </c>
      <c r="F16" s="418">
        <v>56113</v>
      </c>
      <c r="G16" s="418">
        <v>0</v>
      </c>
    </row>
    <row r="17" spans="1:7" ht="14.1" customHeight="1" x14ac:dyDescent="0.2">
      <c r="A17" s="284" t="s">
        <v>115</v>
      </c>
      <c r="B17" s="417">
        <v>671906</v>
      </c>
      <c r="C17" s="417">
        <v>677394</v>
      </c>
      <c r="D17"/>
      <c r="E17" s="550">
        <v>349963</v>
      </c>
      <c r="F17" s="417">
        <v>259972</v>
      </c>
      <c r="G17" s="417">
        <v>89991</v>
      </c>
    </row>
    <row r="18" spans="1:7" ht="14.1" customHeight="1" x14ac:dyDescent="0.2">
      <c r="A18" s="19" t="s">
        <v>116</v>
      </c>
      <c r="B18" s="418">
        <v>768790</v>
      </c>
      <c r="C18" s="418">
        <v>818862</v>
      </c>
      <c r="D18"/>
      <c r="E18" s="551">
        <v>179678</v>
      </c>
      <c r="F18" s="418">
        <v>179678</v>
      </c>
      <c r="G18" s="418">
        <v>0</v>
      </c>
    </row>
    <row r="19" spans="1:7" ht="14.1" customHeight="1" x14ac:dyDescent="0.2">
      <c r="A19" s="284" t="s">
        <v>117</v>
      </c>
      <c r="B19" s="417">
        <v>100713</v>
      </c>
      <c r="C19" s="417">
        <v>116564</v>
      </c>
      <c r="D19"/>
      <c r="E19" s="550">
        <v>174338</v>
      </c>
      <c r="F19" s="417">
        <v>174338</v>
      </c>
      <c r="G19" s="417">
        <v>0</v>
      </c>
    </row>
    <row r="20" spans="1:7" ht="14.1" customHeight="1" x14ac:dyDescent="0.2">
      <c r="A20" s="19" t="s">
        <v>118</v>
      </c>
      <c r="B20" s="418">
        <v>2081746</v>
      </c>
      <c r="C20" s="418">
        <v>2077333</v>
      </c>
      <c r="D20"/>
      <c r="E20" s="551">
        <v>391941</v>
      </c>
      <c r="F20" s="418">
        <v>391941</v>
      </c>
      <c r="G20" s="418">
        <v>0</v>
      </c>
    </row>
    <row r="21" spans="1:7" ht="14.1" customHeight="1" x14ac:dyDescent="0.2">
      <c r="A21" s="284" t="s">
        <v>119</v>
      </c>
      <c r="B21" s="417">
        <v>272923</v>
      </c>
      <c r="C21" s="417">
        <v>296496</v>
      </c>
      <c r="D21"/>
      <c r="E21" s="550">
        <v>164582</v>
      </c>
      <c r="F21" s="417">
        <v>164582</v>
      </c>
      <c r="G21" s="417">
        <v>0</v>
      </c>
    </row>
    <row r="22" spans="1:7" ht="14.1" customHeight="1" x14ac:dyDescent="0.2">
      <c r="A22" s="19" t="s">
        <v>120</v>
      </c>
      <c r="B22" s="418">
        <v>405860</v>
      </c>
      <c r="C22" s="418">
        <v>457572</v>
      </c>
      <c r="D22"/>
      <c r="E22" s="551">
        <v>267118</v>
      </c>
      <c r="F22" s="418">
        <v>267118</v>
      </c>
      <c r="G22" s="418">
        <v>0</v>
      </c>
    </row>
    <row r="23" spans="1:7" ht="14.1" customHeight="1" x14ac:dyDescent="0.2">
      <c r="A23" s="284" t="s">
        <v>121</v>
      </c>
      <c r="B23" s="417">
        <v>355564</v>
      </c>
      <c r="C23" s="417">
        <v>413665</v>
      </c>
      <c r="D23"/>
      <c r="E23" s="550">
        <v>240211</v>
      </c>
      <c r="F23" s="417">
        <v>233827</v>
      </c>
      <c r="G23" s="417">
        <v>6384</v>
      </c>
    </row>
    <row r="24" spans="1:7" ht="14.1" customHeight="1" x14ac:dyDescent="0.2">
      <c r="A24" s="19" t="s">
        <v>122</v>
      </c>
      <c r="B24" s="418">
        <v>1033771</v>
      </c>
      <c r="C24" s="418">
        <v>1023274</v>
      </c>
      <c r="D24"/>
      <c r="E24" s="551">
        <v>333117</v>
      </c>
      <c r="F24" s="418">
        <v>333117</v>
      </c>
      <c r="G24" s="418">
        <v>0</v>
      </c>
    </row>
    <row r="25" spans="1:7" ht="14.1" customHeight="1" x14ac:dyDescent="0.2">
      <c r="A25" s="284" t="s">
        <v>123</v>
      </c>
      <c r="B25" s="417">
        <v>2960288</v>
      </c>
      <c r="C25" s="417">
        <v>2930517</v>
      </c>
      <c r="D25"/>
      <c r="E25" s="550">
        <v>1028757</v>
      </c>
      <c r="F25" s="417">
        <v>1028757</v>
      </c>
      <c r="G25" s="417">
        <v>0</v>
      </c>
    </row>
    <row r="26" spans="1:7" ht="14.1" customHeight="1" x14ac:dyDescent="0.2">
      <c r="A26" s="19" t="s">
        <v>124</v>
      </c>
      <c r="B26" s="418">
        <v>708169</v>
      </c>
      <c r="C26" s="418">
        <v>708623</v>
      </c>
      <c r="D26"/>
      <c r="E26" s="551">
        <v>469614</v>
      </c>
      <c r="F26" s="418">
        <v>469614</v>
      </c>
      <c r="G26" s="418">
        <v>0</v>
      </c>
    </row>
    <row r="27" spans="1:7" ht="14.1" customHeight="1" x14ac:dyDescent="0.2">
      <c r="A27" s="284" t="s">
        <v>125</v>
      </c>
      <c r="B27" s="417">
        <v>232633</v>
      </c>
      <c r="C27" s="417">
        <v>245329</v>
      </c>
      <c r="D27"/>
      <c r="E27" s="550">
        <v>154129</v>
      </c>
      <c r="F27" s="417">
        <v>154129</v>
      </c>
      <c r="G27" s="417">
        <v>0</v>
      </c>
    </row>
    <row r="28" spans="1:7" ht="14.1" customHeight="1" x14ac:dyDescent="0.2">
      <c r="A28" s="19" t="s">
        <v>126</v>
      </c>
      <c r="B28" s="418">
        <v>922830</v>
      </c>
      <c r="C28" s="418">
        <v>952077</v>
      </c>
      <c r="D28"/>
      <c r="E28" s="551">
        <v>401345</v>
      </c>
      <c r="F28" s="418">
        <v>401345</v>
      </c>
      <c r="G28" s="418">
        <v>0</v>
      </c>
    </row>
    <row r="29" spans="1:7" ht="14.1" customHeight="1" x14ac:dyDescent="0.2">
      <c r="A29" s="284" t="s">
        <v>127</v>
      </c>
      <c r="B29" s="417">
        <v>1061188</v>
      </c>
      <c r="C29" s="417">
        <v>1061804</v>
      </c>
      <c r="D29"/>
      <c r="E29" s="550">
        <v>475410</v>
      </c>
      <c r="F29" s="417">
        <v>475410</v>
      </c>
      <c r="G29" s="417">
        <v>0</v>
      </c>
    </row>
    <row r="30" spans="1:7" ht="14.1" customHeight="1" x14ac:dyDescent="0.2">
      <c r="A30" s="19" t="s">
        <v>128</v>
      </c>
      <c r="B30" s="418">
        <v>269691</v>
      </c>
      <c r="C30" s="418">
        <v>282712</v>
      </c>
      <c r="D30"/>
      <c r="E30" s="551">
        <v>52728</v>
      </c>
      <c r="F30" s="418">
        <v>52728</v>
      </c>
      <c r="G30" s="418">
        <v>0</v>
      </c>
    </row>
    <row r="31" spans="1:7" ht="14.1" customHeight="1" x14ac:dyDescent="0.2">
      <c r="A31" s="284" t="s">
        <v>129</v>
      </c>
      <c r="B31" s="417">
        <v>1271855</v>
      </c>
      <c r="C31" s="417">
        <v>1204480</v>
      </c>
      <c r="D31"/>
      <c r="E31" s="550">
        <v>138066</v>
      </c>
      <c r="F31" s="417">
        <v>138066</v>
      </c>
      <c r="G31" s="417">
        <v>0</v>
      </c>
    </row>
    <row r="32" spans="1:7" ht="14.1" customHeight="1" x14ac:dyDescent="0.2">
      <c r="A32" s="19" t="s">
        <v>130</v>
      </c>
      <c r="B32" s="418">
        <v>511975</v>
      </c>
      <c r="C32" s="418">
        <v>504506</v>
      </c>
      <c r="D32"/>
      <c r="E32" s="551">
        <v>158597</v>
      </c>
      <c r="F32" s="418">
        <v>127621</v>
      </c>
      <c r="G32" s="418">
        <v>30976</v>
      </c>
    </row>
    <row r="33" spans="1:7" ht="14.1" customHeight="1" x14ac:dyDescent="0.2">
      <c r="A33" s="284" t="s">
        <v>131</v>
      </c>
      <c r="B33" s="417">
        <v>541876</v>
      </c>
      <c r="C33" s="417">
        <v>580633</v>
      </c>
      <c r="D33"/>
      <c r="E33" s="550">
        <v>253803</v>
      </c>
      <c r="F33" s="417">
        <v>253803</v>
      </c>
      <c r="G33" s="417">
        <v>0</v>
      </c>
    </row>
    <row r="34" spans="1:7" ht="14.1" customHeight="1" x14ac:dyDescent="0.2">
      <c r="A34" s="19" t="s">
        <v>132</v>
      </c>
      <c r="B34" s="418">
        <v>501577</v>
      </c>
      <c r="C34" s="418">
        <v>491486</v>
      </c>
      <c r="D34"/>
      <c r="E34" s="551">
        <v>166443</v>
      </c>
      <c r="F34" s="418">
        <v>166443</v>
      </c>
      <c r="G34" s="418">
        <v>0</v>
      </c>
    </row>
    <row r="35" spans="1:7" ht="14.1" customHeight="1" x14ac:dyDescent="0.2">
      <c r="A35" s="284" t="s">
        <v>133</v>
      </c>
      <c r="B35" s="417">
        <v>737550</v>
      </c>
      <c r="C35" s="417">
        <v>786691</v>
      </c>
      <c r="D35"/>
      <c r="E35" s="550">
        <v>358027</v>
      </c>
      <c r="F35" s="417">
        <v>358027</v>
      </c>
      <c r="G35" s="417">
        <v>0</v>
      </c>
    </row>
    <row r="36" spans="1:7" ht="14.1" customHeight="1" x14ac:dyDescent="0.2">
      <c r="A36" s="19" t="s">
        <v>134</v>
      </c>
      <c r="B36" s="418">
        <v>598438</v>
      </c>
      <c r="C36" s="418">
        <v>626304</v>
      </c>
      <c r="D36"/>
      <c r="E36" s="551">
        <v>265535</v>
      </c>
      <c r="F36" s="418">
        <v>265535</v>
      </c>
      <c r="G36" s="418">
        <v>0</v>
      </c>
    </row>
    <row r="37" spans="1:7" ht="14.1" customHeight="1" x14ac:dyDescent="0.2">
      <c r="A37" s="284" t="s">
        <v>135</v>
      </c>
      <c r="B37" s="417">
        <v>656355</v>
      </c>
      <c r="C37" s="417">
        <v>670267</v>
      </c>
      <c r="D37"/>
      <c r="E37" s="550">
        <v>270055</v>
      </c>
      <c r="F37" s="417">
        <v>270055</v>
      </c>
      <c r="G37" s="417">
        <v>0</v>
      </c>
    </row>
    <row r="38" spans="1:7" ht="14.1" customHeight="1" x14ac:dyDescent="0.2">
      <c r="A38" s="19" t="s">
        <v>136</v>
      </c>
      <c r="B38" s="418">
        <v>80603</v>
      </c>
      <c r="C38" s="418">
        <v>36773</v>
      </c>
      <c r="D38"/>
      <c r="E38" s="551">
        <v>136557</v>
      </c>
      <c r="F38" s="418">
        <v>136557</v>
      </c>
      <c r="G38" s="418">
        <v>0</v>
      </c>
    </row>
    <row r="39" spans="1:7" ht="14.1" customHeight="1" x14ac:dyDescent="0.2">
      <c r="A39" s="284" t="s">
        <v>137</v>
      </c>
      <c r="B39" s="417">
        <v>548068</v>
      </c>
      <c r="C39" s="417">
        <v>505060</v>
      </c>
      <c r="D39"/>
      <c r="E39" s="550">
        <v>213259</v>
      </c>
      <c r="F39" s="417">
        <v>213259</v>
      </c>
      <c r="G39" s="417">
        <v>0</v>
      </c>
    </row>
    <row r="40" spans="1:7" ht="14.1" customHeight="1" x14ac:dyDescent="0.2">
      <c r="A40" s="19" t="s">
        <v>138</v>
      </c>
      <c r="B40" s="418">
        <v>729486</v>
      </c>
      <c r="C40" s="418">
        <v>787737</v>
      </c>
      <c r="D40"/>
      <c r="E40" s="551">
        <v>440476</v>
      </c>
      <c r="F40" s="418">
        <v>440476</v>
      </c>
      <c r="G40" s="418">
        <v>0</v>
      </c>
    </row>
    <row r="41" spans="1:7" ht="14.1" customHeight="1" x14ac:dyDescent="0.2">
      <c r="A41" s="284" t="s">
        <v>139</v>
      </c>
      <c r="B41" s="417">
        <v>950432</v>
      </c>
      <c r="C41" s="417">
        <v>979181</v>
      </c>
      <c r="D41"/>
      <c r="E41" s="550">
        <v>505646</v>
      </c>
      <c r="F41" s="417">
        <v>452084</v>
      </c>
      <c r="G41" s="417">
        <v>53562</v>
      </c>
    </row>
    <row r="42" spans="1:7" ht="14.1" customHeight="1" x14ac:dyDescent="0.2">
      <c r="A42" s="19" t="s">
        <v>140</v>
      </c>
      <c r="B42" s="418">
        <v>454691</v>
      </c>
      <c r="C42" s="418">
        <v>494638</v>
      </c>
      <c r="D42"/>
      <c r="E42" s="551">
        <v>219777</v>
      </c>
      <c r="F42" s="418">
        <v>219777</v>
      </c>
      <c r="G42" s="418">
        <v>0</v>
      </c>
    </row>
    <row r="43" spans="1:7" ht="14.1" customHeight="1" x14ac:dyDescent="0.2">
      <c r="A43" s="284" t="s">
        <v>141</v>
      </c>
      <c r="B43" s="417">
        <v>367697</v>
      </c>
      <c r="C43" s="417">
        <v>359537</v>
      </c>
      <c r="D43"/>
      <c r="E43" s="550">
        <v>62997</v>
      </c>
      <c r="F43" s="417">
        <v>62997</v>
      </c>
      <c r="G43" s="417">
        <v>0</v>
      </c>
    </row>
    <row r="44" spans="1:7" ht="14.1" customHeight="1" x14ac:dyDescent="0.2">
      <c r="A44" s="19" t="s">
        <v>142</v>
      </c>
      <c r="B44" s="418">
        <v>418548</v>
      </c>
      <c r="C44" s="418">
        <v>383506</v>
      </c>
      <c r="D44"/>
      <c r="E44" s="551">
        <v>131523</v>
      </c>
      <c r="F44" s="418">
        <v>131523</v>
      </c>
      <c r="G44" s="418">
        <v>0</v>
      </c>
    </row>
    <row r="45" spans="1:7" ht="14.1" customHeight="1" x14ac:dyDescent="0.2">
      <c r="A45" s="284" t="s">
        <v>143</v>
      </c>
      <c r="B45" s="417">
        <v>324696</v>
      </c>
      <c r="C45" s="417">
        <v>330239</v>
      </c>
      <c r="D45"/>
      <c r="E45" s="550">
        <v>94007</v>
      </c>
      <c r="F45" s="417">
        <v>94007</v>
      </c>
      <c r="G45" s="417">
        <v>0</v>
      </c>
    </row>
    <row r="46" spans="1:7" ht="14.1" customHeight="1" x14ac:dyDescent="0.2">
      <c r="A46" s="19" t="s">
        <v>144</v>
      </c>
      <c r="B46" s="418">
        <v>3691739</v>
      </c>
      <c r="C46" s="418">
        <v>3669283</v>
      </c>
      <c r="D46"/>
      <c r="E46" s="551">
        <v>3619943</v>
      </c>
      <c r="F46" s="418">
        <v>-64404</v>
      </c>
      <c r="G46" s="418">
        <v>3684347</v>
      </c>
    </row>
    <row r="47" spans="1:7" ht="5.0999999999999996" customHeight="1" x14ac:dyDescent="0.2">
      <c r="A47" s="21"/>
      <c r="B47" s="22"/>
      <c r="C47" s="22"/>
      <c r="D47"/>
      <c r="E47" s="22"/>
      <c r="F47" s="22"/>
      <c r="G47" s="22"/>
    </row>
    <row r="48" spans="1:7" ht="14.1" customHeight="1" x14ac:dyDescent="0.2">
      <c r="A48" s="286" t="s">
        <v>145</v>
      </c>
      <c r="B48" s="421">
        <f>SUM(B11:B46)</f>
        <v>30044023</v>
      </c>
      <c r="C48" s="421">
        <f>SUM(C11:C46)</f>
        <v>30288224</v>
      </c>
      <c r="D48"/>
      <c r="E48" s="421">
        <f>SUM(E11:E46)</f>
        <v>15786935</v>
      </c>
      <c r="F48" s="421">
        <f>SUM(F11:F46)</f>
        <v>10329679</v>
      </c>
      <c r="G48" s="421">
        <f>SUM(G11:G46)</f>
        <v>5457256</v>
      </c>
    </row>
    <row r="49" spans="1:8" ht="5.0999999999999996" customHeight="1" x14ac:dyDescent="0.2">
      <c r="A49" s="21" t="s">
        <v>7</v>
      </c>
      <c r="B49" s="22"/>
      <c r="C49" s="22"/>
      <c r="D49"/>
      <c r="E49" s="22"/>
      <c r="F49" s="22"/>
      <c r="G49" s="22"/>
    </row>
    <row r="50" spans="1:8" ht="14.1" customHeight="1" x14ac:dyDescent="0.2">
      <c r="A50" s="19" t="s">
        <v>146</v>
      </c>
      <c r="B50" s="418">
        <v>71725</v>
      </c>
      <c r="C50" s="418">
        <v>69699</v>
      </c>
      <c r="D50"/>
      <c r="E50" s="551">
        <v>13124</v>
      </c>
      <c r="F50" s="418">
        <v>13124</v>
      </c>
      <c r="G50" s="418">
        <v>0</v>
      </c>
    </row>
    <row r="51" spans="1:8" ht="14.1" customHeight="1" x14ac:dyDescent="0.2">
      <c r="A51" s="284" t="s">
        <v>607</v>
      </c>
      <c r="B51" s="417">
        <v>48939</v>
      </c>
      <c r="C51" s="417">
        <v>108781</v>
      </c>
      <c r="D51"/>
      <c r="E51" s="550">
        <v>180798</v>
      </c>
      <c r="F51" s="417">
        <v>0</v>
      </c>
      <c r="G51" s="417">
        <v>180798</v>
      </c>
    </row>
    <row r="52" spans="1:8" ht="50.1" customHeight="1" x14ac:dyDescent="0.2">
      <c r="A52" s="23"/>
      <c r="B52" s="23"/>
      <c r="C52" s="23"/>
      <c r="D52" s="504"/>
      <c r="E52" s="23"/>
      <c r="F52" s="504"/>
      <c r="G52" s="23"/>
      <c r="H52" s="23"/>
    </row>
    <row r="53" spans="1:8" ht="15" customHeight="1" x14ac:dyDescent="0.2">
      <c r="A53" s="743" t="s">
        <v>550</v>
      </c>
      <c r="B53" s="743"/>
      <c r="C53" s="743"/>
      <c r="D53" s="743"/>
      <c r="E53" s="743"/>
      <c r="F53" s="743"/>
      <c r="G53" s="743"/>
      <c r="H53" s="743"/>
    </row>
    <row r="54" spans="1:8" x14ac:dyDescent="0.2">
      <c r="A54" s="744"/>
      <c r="B54" s="744"/>
      <c r="C54" s="744"/>
      <c r="D54" s="744"/>
      <c r="E54" s="744"/>
      <c r="F54" s="744"/>
      <c r="G54" s="744"/>
      <c r="H54" s="744"/>
    </row>
    <row r="55" spans="1:8" x14ac:dyDescent="0.2">
      <c r="A55" s="744"/>
      <c r="B55" s="744"/>
      <c r="C55" s="744"/>
      <c r="D55" s="744"/>
      <c r="E55" s="744"/>
      <c r="F55" s="744"/>
      <c r="G55" s="744"/>
      <c r="H55" s="744"/>
    </row>
  </sheetData>
  <mergeCells count="9">
    <mergeCell ref="A53:H55"/>
    <mergeCell ref="F6:G6"/>
    <mergeCell ref="A3:H3"/>
    <mergeCell ref="A2:E2"/>
    <mergeCell ref="B8:B9"/>
    <mergeCell ref="C8:C9"/>
    <mergeCell ref="G8:G9"/>
    <mergeCell ref="F7:F9"/>
    <mergeCell ref="E6:E9"/>
  </mergeCells>
  <phoneticPr fontId="6" type="noConversion"/>
  <pageMargins left="0.5" right="0.5" top="0.6" bottom="0.2" header="0.3" footer="0.5"/>
  <pageSetup scale="87" orientation="portrait" r:id="rId1"/>
  <headerFooter alignWithMargins="0">
    <oddHeader>&amp;C&amp;"Arial,Regular"&amp;11&amp;A</oddHead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E56"/>
  <sheetViews>
    <sheetView showGridLines="0" showZeros="0" workbookViewId="0"/>
  </sheetViews>
  <sheetFormatPr defaultColWidth="19.83203125" defaultRowHeight="12" x14ac:dyDescent="0.2"/>
  <cols>
    <col min="1" max="1" width="31.33203125" style="2" customWidth="1"/>
    <col min="2" max="2" width="22.1640625" style="2" customWidth="1"/>
    <col min="3" max="3" width="32.1640625" style="2" customWidth="1"/>
    <col min="4" max="4" width="24.6640625" style="2" customWidth="1"/>
    <col min="5" max="5" width="22.83203125" style="2" customWidth="1"/>
    <col min="6" max="16384" width="19.83203125" style="2"/>
  </cols>
  <sheetData>
    <row r="1" spans="1:5" ht="6.95" customHeight="1" x14ac:dyDescent="0.2">
      <c r="A1" s="7"/>
      <c r="B1" s="7"/>
    </row>
    <row r="2" spans="1:5" ht="15.95" customHeight="1" x14ac:dyDescent="0.2">
      <c r="A2" s="737" t="str">
        <f>+'- 49 -'!A2:E2</f>
        <v>SPECIAL PURPOSE FUND 2017/2018 ACTUAL</v>
      </c>
      <c r="B2" s="737"/>
      <c r="C2" s="737"/>
      <c r="D2" s="737"/>
      <c r="E2" s="737"/>
    </row>
    <row r="3" spans="1:5" ht="15.95" customHeight="1" x14ac:dyDescent="0.2">
      <c r="A3" s="738" t="s">
        <v>375</v>
      </c>
      <c r="B3" s="738"/>
      <c r="C3" s="738"/>
      <c r="D3" s="738"/>
      <c r="E3" s="738"/>
    </row>
    <row r="4" spans="1:5" ht="15.95" customHeight="1" x14ac:dyDescent="0.2">
      <c r="B4" s="8"/>
      <c r="C4" s="8"/>
      <c r="D4" s="8"/>
      <c r="E4" s="184"/>
    </row>
    <row r="5" spans="1:5" ht="15.95" customHeight="1" x14ac:dyDescent="0.2">
      <c r="B5"/>
      <c r="C5"/>
      <c r="D5"/>
      <c r="E5"/>
    </row>
    <row r="6" spans="1:5" ht="15.95" customHeight="1" x14ac:dyDescent="0.2">
      <c r="B6"/>
      <c r="C6"/>
      <c r="D6"/>
    </row>
    <row r="7" spans="1:5" ht="15.95" customHeight="1" x14ac:dyDescent="0.2">
      <c r="B7" s="508"/>
      <c r="C7" s="741" t="s">
        <v>268</v>
      </c>
      <c r="D7" s="742"/>
    </row>
    <row r="8" spans="1:5" ht="18.75" customHeight="1" x14ac:dyDescent="0.2">
      <c r="A8" s="403"/>
      <c r="B8" s="762" t="s">
        <v>551</v>
      </c>
      <c r="C8" s="764" t="s">
        <v>552</v>
      </c>
      <c r="D8" s="766" t="s">
        <v>608</v>
      </c>
    </row>
    <row r="9" spans="1:5" ht="23.25" customHeight="1" x14ac:dyDescent="0.2">
      <c r="A9" s="404" t="s">
        <v>42</v>
      </c>
      <c r="B9" s="763"/>
      <c r="C9" s="765"/>
      <c r="D9" s="767"/>
    </row>
    <row r="10" spans="1:5" ht="5.0999999999999996" customHeight="1" x14ac:dyDescent="0.2">
      <c r="A10" s="6"/>
      <c r="C10" s="7"/>
      <c r="D10" s="207"/>
    </row>
    <row r="11" spans="1:5" ht="14.1" customHeight="1" x14ac:dyDescent="0.2">
      <c r="A11" s="284" t="s">
        <v>110</v>
      </c>
      <c r="B11" s="419">
        <f t="shared" ref="B11:B46" si="0">C11+D11</f>
        <v>278257</v>
      </c>
      <c r="C11" s="417">
        <f>+'- 49 -'!F11</f>
        <v>254998</v>
      </c>
      <c r="D11" s="417">
        <v>23259</v>
      </c>
    </row>
    <row r="12" spans="1:5" ht="14.1" customHeight="1" x14ac:dyDescent="0.2">
      <c r="A12" s="19" t="s">
        <v>111</v>
      </c>
      <c r="B12" s="420">
        <f t="shared" si="0"/>
        <v>398048</v>
      </c>
      <c r="C12" s="418">
        <f>+'- 49 -'!F12</f>
        <v>398048</v>
      </c>
      <c r="D12" s="418">
        <v>0</v>
      </c>
    </row>
    <row r="13" spans="1:5" ht="14.1" customHeight="1" x14ac:dyDescent="0.2">
      <c r="A13" s="284" t="s">
        <v>112</v>
      </c>
      <c r="B13" s="419">
        <f t="shared" si="0"/>
        <v>1090687</v>
      </c>
      <c r="C13" s="417">
        <f>+'- 49 -'!F13</f>
        <v>896372</v>
      </c>
      <c r="D13" s="417">
        <v>194315</v>
      </c>
    </row>
    <row r="14" spans="1:5" ht="14.1" customHeight="1" x14ac:dyDescent="0.2">
      <c r="A14" s="19" t="s">
        <v>147</v>
      </c>
      <c r="B14" s="420">
        <f t="shared" si="0"/>
        <v>930467</v>
      </c>
      <c r="C14" s="418">
        <f>+'- 49 -'!F14</f>
        <v>663909</v>
      </c>
      <c r="D14" s="418">
        <v>266558</v>
      </c>
    </row>
    <row r="15" spans="1:5" ht="14.1" customHeight="1" x14ac:dyDescent="0.2">
      <c r="A15" s="284" t="s">
        <v>113</v>
      </c>
      <c r="B15" s="419">
        <f t="shared" si="0"/>
        <v>251187</v>
      </c>
      <c r="C15" s="417">
        <f>+'- 49 -'!F15</f>
        <v>207857</v>
      </c>
      <c r="D15" s="417">
        <v>43330</v>
      </c>
    </row>
    <row r="16" spans="1:5" ht="14.1" customHeight="1" x14ac:dyDescent="0.2">
      <c r="A16" s="19" t="s">
        <v>114</v>
      </c>
      <c r="B16" s="420">
        <f t="shared" si="0"/>
        <v>63810</v>
      </c>
      <c r="C16" s="418">
        <f>+'- 49 -'!F16</f>
        <v>56113</v>
      </c>
      <c r="D16" s="418">
        <v>7697</v>
      </c>
    </row>
    <row r="17" spans="1:4" ht="14.1" customHeight="1" x14ac:dyDescent="0.2">
      <c r="A17" s="284" t="s">
        <v>115</v>
      </c>
      <c r="B17" s="419">
        <f t="shared" si="0"/>
        <v>279464</v>
      </c>
      <c r="C17" s="417">
        <f>+'- 49 -'!F17</f>
        <v>259972</v>
      </c>
      <c r="D17" s="417">
        <v>19492</v>
      </c>
    </row>
    <row r="18" spans="1:4" ht="14.1" customHeight="1" x14ac:dyDescent="0.2">
      <c r="A18" s="19" t="s">
        <v>116</v>
      </c>
      <c r="B18" s="420">
        <f t="shared" si="0"/>
        <v>607269</v>
      </c>
      <c r="C18" s="418">
        <f>+'- 49 -'!F18</f>
        <v>179678</v>
      </c>
      <c r="D18" s="418">
        <v>427591</v>
      </c>
    </row>
    <row r="19" spans="1:4" ht="14.1" customHeight="1" x14ac:dyDescent="0.2">
      <c r="A19" s="284" t="s">
        <v>117</v>
      </c>
      <c r="B19" s="419">
        <f t="shared" si="0"/>
        <v>174338</v>
      </c>
      <c r="C19" s="417">
        <f>+'- 49 -'!F19</f>
        <v>174338</v>
      </c>
      <c r="D19" s="417">
        <v>0</v>
      </c>
    </row>
    <row r="20" spans="1:4" ht="14.1" customHeight="1" x14ac:dyDescent="0.2">
      <c r="A20" s="19" t="s">
        <v>118</v>
      </c>
      <c r="B20" s="420">
        <f t="shared" si="0"/>
        <v>507680</v>
      </c>
      <c r="C20" s="418">
        <f>+'- 49 -'!F20</f>
        <v>391941</v>
      </c>
      <c r="D20" s="418">
        <v>115739</v>
      </c>
    </row>
    <row r="21" spans="1:4" ht="14.1" customHeight="1" x14ac:dyDescent="0.2">
      <c r="A21" s="284" t="s">
        <v>119</v>
      </c>
      <c r="B21" s="419">
        <f t="shared" si="0"/>
        <v>241464</v>
      </c>
      <c r="C21" s="417">
        <f>+'- 49 -'!F21</f>
        <v>164582</v>
      </c>
      <c r="D21" s="417">
        <v>76882</v>
      </c>
    </row>
    <row r="22" spans="1:4" ht="14.1" customHeight="1" x14ac:dyDescent="0.2">
      <c r="A22" s="19" t="s">
        <v>120</v>
      </c>
      <c r="B22" s="420">
        <f t="shared" si="0"/>
        <v>331160</v>
      </c>
      <c r="C22" s="418">
        <f>+'- 49 -'!F22</f>
        <v>267118</v>
      </c>
      <c r="D22" s="418">
        <v>64042</v>
      </c>
    </row>
    <row r="23" spans="1:4" ht="14.1" customHeight="1" x14ac:dyDescent="0.2">
      <c r="A23" s="284" t="s">
        <v>121</v>
      </c>
      <c r="B23" s="419">
        <f t="shared" si="0"/>
        <v>233827</v>
      </c>
      <c r="C23" s="417">
        <f>+'- 49 -'!F23</f>
        <v>233827</v>
      </c>
      <c r="D23" s="417">
        <v>0</v>
      </c>
    </row>
    <row r="24" spans="1:4" ht="14.1" customHeight="1" x14ac:dyDescent="0.2">
      <c r="A24" s="19" t="s">
        <v>122</v>
      </c>
      <c r="B24" s="420">
        <f t="shared" si="0"/>
        <v>399276</v>
      </c>
      <c r="C24" s="418">
        <f>+'- 49 -'!F24</f>
        <v>333117</v>
      </c>
      <c r="D24" s="418">
        <v>66159</v>
      </c>
    </row>
    <row r="25" spans="1:4" ht="14.1" customHeight="1" x14ac:dyDescent="0.2">
      <c r="A25" s="284" t="s">
        <v>123</v>
      </c>
      <c r="B25" s="419">
        <f t="shared" si="0"/>
        <v>1733046</v>
      </c>
      <c r="C25" s="417">
        <f>+'- 49 -'!F25</f>
        <v>1028757</v>
      </c>
      <c r="D25" s="417">
        <v>704289</v>
      </c>
    </row>
    <row r="26" spans="1:4" ht="14.1" customHeight="1" x14ac:dyDescent="0.2">
      <c r="A26" s="19" t="s">
        <v>124</v>
      </c>
      <c r="B26" s="420">
        <f t="shared" si="0"/>
        <v>465999</v>
      </c>
      <c r="C26" s="418">
        <f>+'- 49 -'!F26</f>
        <v>469614</v>
      </c>
      <c r="D26" s="418">
        <v>-3615</v>
      </c>
    </row>
    <row r="27" spans="1:4" ht="14.1" customHeight="1" x14ac:dyDescent="0.2">
      <c r="A27" s="284" t="s">
        <v>125</v>
      </c>
      <c r="B27" s="419">
        <f t="shared" si="0"/>
        <v>453514</v>
      </c>
      <c r="C27" s="417">
        <f>+'- 49 -'!F27</f>
        <v>154129</v>
      </c>
      <c r="D27" s="417">
        <v>299385</v>
      </c>
    </row>
    <row r="28" spans="1:4" ht="14.1" customHeight="1" x14ac:dyDescent="0.2">
      <c r="A28" s="19" t="s">
        <v>126</v>
      </c>
      <c r="B28" s="420">
        <f t="shared" si="0"/>
        <v>401345</v>
      </c>
      <c r="C28" s="418">
        <f>+'- 49 -'!F28</f>
        <v>401345</v>
      </c>
      <c r="D28" s="418">
        <v>0</v>
      </c>
    </row>
    <row r="29" spans="1:4" ht="14.1" customHeight="1" x14ac:dyDescent="0.2">
      <c r="A29" s="284" t="s">
        <v>127</v>
      </c>
      <c r="B29" s="419">
        <f t="shared" si="0"/>
        <v>1736733</v>
      </c>
      <c r="C29" s="417">
        <f>+'- 49 -'!F29</f>
        <v>475410</v>
      </c>
      <c r="D29" s="417">
        <v>1261323</v>
      </c>
    </row>
    <row r="30" spans="1:4" ht="14.1" customHeight="1" x14ac:dyDescent="0.2">
      <c r="A30" s="19" t="s">
        <v>128</v>
      </c>
      <c r="B30" s="420">
        <f t="shared" si="0"/>
        <v>52728</v>
      </c>
      <c r="C30" s="418">
        <f>+'- 49 -'!F30</f>
        <v>52728</v>
      </c>
      <c r="D30" s="418">
        <v>0</v>
      </c>
    </row>
    <row r="31" spans="1:4" ht="14.1" customHeight="1" x14ac:dyDescent="0.2">
      <c r="A31" s="284" t="s">
        <v>129</v>
      </c>
      <c r="B31" s="419">
        <f t="shared" si="0"/>
        <v>308848</v>
      </c>
      <c r="C31" s="417">
        <f>+'- 49 -'!F31</f>
        <v>138066</v>
      </c>
      <c r="D31" s="417">
        <v>170782</v>
      </c>
    </row>
    <row r="32" spans="1:4" ht="14.1" customHeight="1" x14ac:dyDescent="0.2">
      <c r="A32" s="19" t="s">
        <v>130</v>
      </c>
      <c r="B32" s="420">
        <f t="shared" si="0"/>
        <v>158860</v>
      </c>
      <c r="C32" s="418">
        <f>+'- 49 -'!F32</f>
        <v>127621</v>
      </c>
      <c r="D32" s="418">
        <v>31239</v>
      </c>
    </row>
    <row r="33" spans="1:4" ht="14.1" customHeight="1" x14ac:dyDescent="0.2">
      <c r="A33" s="284" t="s">
        <v>131</v>
      </c>
      <c r="B33" s="419">
        <f t="shared" si="0"/>
        <v>306993</v>
      </c>
      <c r="C33" s="417">
        <f>+'- 49 -'!F33</f>
        <v>253803</v>
      </c>
      <c r="D33" s="417">
        <v>53190</v>
      </c>
    </row>
    <row r="34" spans="1:4" ht="14.1" customHeight="1" x14ac:dyDescent="0.2">
      <c r="A34" s="19" t="s">
        <v>132</v>
      </c>
      <c r="B34" s="420">
        <f t="shared" si="0"/>
        <v>208817</v>
      </c>
      <c r="C34" s="418">
        <f>+'- 49 -'!F34</f>
        <v>166443</v>
      </c>
      <c r="D34" s="418">
        <v>42374</v>
      </c>
    </row>
    <row r="35" spans="1:4" ht="14.1" customHeight="1" x14ac:dyDescent="0.2">
      <c r="A35" s="284" t="s">
        <v>133</v>
      </c>
      <c r="B35" s="419">
        <f t="shared" si="0"/>
        <v>2036363</v>
      </c>
      <c r="C35" s="417">
        <f>+'- 49 -'!F35</f>
        <v>358027</v>
      </c>
      <c r="D35" s="417">
        <v>1678336</v>
      </c>
    </row>
    <row r="36" spans="1:4" ht="14.1" customHeight="1" x14ac:dyDescent="0.2">
      <c r="A36" s="19" t="s">
        <v>134</v>
      </c>
      <c r="B36" s="420">
        <f t="shared" si="0"/>
        <v>265535</v>
      </c>
      <c r="C36" s="418">
        <f>+'- 49 -'!F36</f>
        <v>265535</v>
      </c>
      <c r="D36" s="418">
        <v>0</v>
      </c>
    </row>
    <row r="37" spans="1:4" ht="14.1" customHeight="1" x14ac:dyDescent="0.2">
      <c r="A37" s="284" t="s">
        <v>135</v>
      </c>
      <c r="B37" s="419">
        <f t="shared" si="0"/>
        <v>320729</v>
      </c>
      <c r="C37" s="417">
        <f>+'- 49 -'!F37</f>
        <v>270055</v>
      </c>
      <c r="D37" s="417">
        <v>50674</v>
      </c>
    </row>
    <row r="38" spans="1:4" ht="14.1" customHeight="1" x14ac:dyDescent="0.2">
      <c r="A38" s="19" t="s">
        <v>136</v>
      </c>
      <c r="B38" s="420">
        <f t="shared" si="0"/>
        <v>612234</v>
      </c>
      <c r="C38" s="418">
        <f>+'- 49 -'!F38</f>
        <v>136557</v>
      </c>
      <c r="D38" s="418">
        <v>475677</v>
      </c>
    </row>
    <row r="39" spans="1:4" ht="14.1" customHeight="1" x14ac:dyDescent="0.2">
      <c r="A39" s="284" t="s">
        <v>137</v>
      </c>
      <c r="B39" s="419">
        <f t="shared" si="0"/>
        <v>213259</v>
      </c>
      <c r="C39" s="417">
        <f>+'- 49 -'!F39</f>
        <v>213259</v>
      </c>
      <c r="D39" s="417">
        <v>0</v>
      </c>
    </row>
    <row r="40" spans="1:4" ht="14.1" customHeight="1" x14ac:dyDescent="0.2">
      <c r="A40" s="19" t="s">
        <v>138</v>
      </c>
      <c r="B40" s="420">
        <f t="shared" si="0"/>
        <v>627651</v>
      </c>
      <c r="C40" s="418">
        <f>+'- 49 -'!F40</f>
        <v>440476</v>
      </c>
      <c r="D40" s="418">
        <v>187175</v>
      </c>
    </row>
    <row r="41" spans="1:4" ht="14.1" customHeight="1" x14ac:dyDescent="0.2">
      <c r="A41" s="284" t="s">
        <v>139</v>
      </c>
      <c r="B41" s="419">
        <f t="shared" si="0"/>
        <v>503627</v>
      </c>
      <c r="C41" s="417">
        <f>+'- 49 -'!F41</f>
        <v>452084</v>
      </c>
      <c r="D41" s="417">
        <v>51543</v>
      </c>
    </row>
    <row r="42" spans="1:4" ht="14.1" customHeight="1" x14ac:dyDescent="0.2">
      <c r="A42" s="19" t="s">
        <v>140</v>
      </c>
      <c r="B42" s="420">
        <f t="shared" si="0"/>
        <v>219777</v>
      </c>
      <c r="C42" s="418">
        <f>+'- 49 -'!F42</f>
        <v>219777</v>
      </c>
      <c r="D42" s="418">
        <v>0</v>
      </c>
    </row>
    <row r="43" spans="1:4" ht="14.1" customHeight="1" x14ac:dyDescent="0.2">
      <c r="A43" s="284" t="s">
        <v>141</v>
      </c>
      <c r="B43" s="419">
        <f t="shared" si="0"/>
        <v>155072</v>
      </c>
      <c r="C43" s="417">
        <f>+'- 49 -'!F43</f>
        <v>62997</v>
      </c>
      <c r="D43" s="417">
        <v>92075</v>
      </c>
    </row>
    <row r="44" spans="1:4" ht="14.1" customHeight="1" x14ac:dyDescent="0.2">
      <c r="A44" s="19" t="s">
        <v>142</v>
      </c>
      <c r="B44" s="420">
        <f t="shared" si="0"/>
        <v>131523</v>
      </c>
      <c r="C44" s="418">
        <f>+'- 49 -'!F44</f>
        <v>131523</v>
      </c>
      <c r="D44" s="418">
        <v>0</v>
      </c>
    </row>
    <row r="45" spans="1:4" ht="14.1" customHeight="1" x14ac:dyDescent="0.2">
      <c r="A45" s="284" t="s">
        <v>143</v>
      </c>
      <c r="B45" s="419">
        <f t="shared" si="0"/>
        <v>103812</v>
      </c>
      <c r="C45" s="417">
        <f>+'- 49 -'!F45</f>
        <v>94007</v>
      </c>
      <c r="D45" s="417">
        <v>9805</v>
      </c>
    </row>
    <row r="46" spans="1:4" ht="14.1" customHeight="1" x14ac:dyDescent="0.2">
      <c r="A46" s="19" t="s">
        <v>144</v>
      </c>
      <c r="B46" s="420">
        <f t="shared" si="0"/>
        <v>2902798</v>
      </c>
      <c r="C46" s="418">
        <f>+'- 49 -'!F46</f>
        <v>-64404</v>
      </c>
      <c r="D46" s="418">
        <v>2967202</v>
      </c>
    </row>
    <row r="47" spans="1:4" ht="5.0999999999999996" customHeight="1" x14ac:dyDescent="0.2">
      <c r="A47" s="21"/>
      <c r="B47" s="22"/>
      <c r="C47" s="22"/>
      <c r="D47" s="22"/>
    </row>
    <row r="48" spans="1:4" ht="14.1" customHeight="1" x14ac:dyDescent="0.2">
      <c r="A48" s="286" t="s">
        <v>145</v>
      </c>
      <c r="B48" s="422">
        <f>SUM(B11:B46)</f>
        <v>19706197</v>
      </c>
      <c r="C48" s="421">
        <f>SUM(C11:C46)</f>
        <v>10329679</v>
      </c>
      <c r="D48" s="421">
        <f>SUM(D11:D46)</f>
        <v>9376518</v>
      </c>
    </row>
    <row r="49" spans="1:5" ht="5.0999999999999996" customHeight="1" x14ac:dyDescent="0.2">
      <c r="A49" s="21" t="s">
        <v>7</v>
      </c>
      <c r="B49" s="22"/>
      <c r="C49" s="22"/>
      <c r="D49" s="22"/>
    </row>
    <row r="50" spans="1:5" ht="14.1" customHeight="1" x14ac:dyDescent="0.2">
      <c r="A50" s="19" t="s">
        <v>146</v>
      </c>
      <c r="B50" s="420">
        <f>C50+D50</f>
        <v>13124</v>
      </c>
      <c r="C50" s="418">
        <f>+'- 49 -'!F50</f>
        <v>13124</v>
      </c>
      <c r="D50" s="418">
        <v>0</v>
      </c>
    </row>
    <row r="51" spans="1:5" ht="14.1" customHeight="1" x14ac:dyDescent="0.2">
      <c r="A51" s="284" t="s">
        <v>607</v>
      </c>
      <c r="B51" s="419">
        <f>C51+D51</f>
        <v>0</v>
      </c>
      <c r="C51" s="417">
        <f>+'- 49 -'!F51</f>
        <v>0</v>
      </c>
      <c r="D51" s="417">
        <v>0</v>
      </c>
    </row>
    <row r="52" spans="1:5" ht="50.1" customHeight="1" x14ac:dyDescent="0.2">
      <c r="A52" s="23"/>
      <c r="B52" s="23"/>
      <c r="C52" s="433"/>
      <c r="D52" s="23"/>
      <c r="E52" s="23"/>
    </row>
    <row r="53" spans="1:5" ht="15.75" customHeight="1" x14ac:dyDescent="0.2">
      <c r="A53" s="743" t="s">
        <v>553</v>
      </c>
      <c r="B53" s="743"/>
      <c r="C53" s="743"/>
      <c r="D53" s="743"/>
      <c r="E53" s="743"/>
    </row>
    <row r="54" spans="1:5" x14ac:dyDescent="0.2">
      <c r="A54" s="744"/>
      <c r="B54" s="744"/>
      <c r="C54" s="744"/>
      <c r="D54" s="744"/>
      <c r="E54" s="744"/>
    </row>
    <row r="55" spans="1:5" x14ac:dyDescent="0.2">
      <c r="A55" s="744" t="s">
        <v>554</v>
      </c>
      <c r="B55" s="744"/>
      <c r="C55" s="744"/>
      <c r="D55" s="744"/>
      <c r="E55" s="744"/>
    </row>
    <row r="56" spans="1:5" x14ac:dyDescent="0.2">
      <c r="A56" s="744"/>
      <c r="B56" s="744"/>
      <c r="C56" s="744"/>
      <c r="D56" s="744"/>
      <c r="E56" s="744"/>
    </row>
  </sheetData>
  <mergeCells count="8">
    <mergeCell ref="A53:E54"/>
    <mergeCell ref="A55:E56"/>
    <mergeCell ref="A2:E2"/>
    <mergeCell ref="A3:E3"/>
    <mergeCell ref="C7:D7"/>
    <mergeCell ref="B8:B9"/>
    <mergeCell ref="C8:C9"/>
    <mergeCell ref="D8:D9"/>
  </mergeCells>
  <pageMargins left="0.5" right="0.5" top="0.6" bottom="0.2" header="0.3" footer="0.5"/>
  <pageSetup scale="88" orientation="portrait" r:id="rId1"/>
  <headerFooter alignWithMargins="0">
    <oddHeader>&amp;C&amp;"Arial,Regular"&amp;11&amp;A</oddHead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D59"/>
  <sheetViews>
    <sheetView showGridLines="0" showZeros="0" workbookViewId="0"/>
  </sheetViews>
  <sheetFormatPr defaultColWidth="15.83203125" defaultRowHeight="12" x14ac:dyDescent="0.2"/>
  <cols>
    <col min="1" max="1" width="35.83203125" style="2" customWidth="1"/>
    <col min="2" max="3" width="25.83203125" style="2" customWidth="1"/>
    <col min="4" max="4" width="45.83203125" style="2" customWidth="1"/>
    <col min="5" max="16384" width="15.83203125" style="2"/>
  </cols>
  <sheetData>
    <row r="1" spans="1:4" ht="6.95" customHeight="1" x14ac:dyDescent="0.2">
      <c r="A1" s="7"/>
    </row>
    <row r="2" spans="1:4" ht="17.100000000000001" customHeight="1" x14ac:dyDescent="0.2">
      <c r="A2" s="228"/>
      <c r="B2" s="229" t="s">
        <v>364</v>
      </c>
      <c r="C2" s="158"/>
      <c r="D2" s="153"/>
    </row>
    <row r="3" spans="1:4" ht="15" customHeight="1" x14ac:dyDescent="0.2">
      <c r="A3" s="540"/>
      <c r="B3" s="233" t="s">
        <v>639</v>
      </c>
      <c r="C3" s="159"/>
      <c r="D3" s="230"/>
    </row>
    <row r="4" spans="1:4" ht="15.95" customHeight="1" x14ac:dyDescent="0.2">
      <c r="A4" s="133"/>
      <c r="B4" s="8"/>
      <c r="C4" s="43"/>
    </row>
    <row r="5" spans="1:4" ht="15.95" customHeight="1" x14ac:dyDescent="0.2">
      <c r="A5" s="2" t="str">
        <f>REPLACE(A4,5,5,"")</f>
        <v/>
      </c>
      <c r="B5" s="8"/>
      <c r="C5" s="8"/>
    </row>
    <row r="6" spans="1:4" ht="15.95" customHeight="1" x14ac:dyDescent="0.2">
      <c r="B6"/>
      <c r="C6"/>
    </row>
    <row r="7" spans="1:4" ht="15.95" customHeight="1" x14ac:dyDescent="0.2">
      <c r="B7" s="770" t="s">
        <v>556</v>
      </c>
      <c r="C7" s="564"/>
    </row>
    <row r="8" spans="1:4" ht="15.95" customHeight="1" x14ac:dyDescent="0.2">
      <c r="A8" s="403"/>
      <c r="B8" s="771"/>
      <c r="C8" s="768" t="s">
        <v>555</v>
      </c>
    </row>
    <row r="9" spans="1:4" ht="15.95" customHeight="1" x14ac:dyDescent="0.2">
      <c r="A9" s="404" t="s">
        <v>42</v>
      </c>
      <c r="B9" s="772"/>
      <c r="C9" s="769"/>
    </row>
    <row r="10" spans="1:4" ht="5.0999999999999996" customHeight="1" x14ac:dyDescent="0.2">
      <c r="A10" s="6"/>
      <c r="B10" s="207"/>
      <c r="C10" s="222">
        <v>1.0500000000000001E-2</v>
      </c>
    </row>
    <row r="11" spans="1:4" ht="14.1" customHeight="1" x14ac:dyDescent="0.2">
      <c r="A11" s="284" t="s">
        <v>110</v>
      </c>
      <c r="B11" s="285">
        <f>'- 53 -'!D11</f>
        <v>150835410</v>
      </c>
      <c r="C11" s="285">
        <f t="shared" ref="C11:C46" si="0">B11*C$10</f>
        <v>1583771.8050000002</v>
      </c>
    </row>
    <row r="12" spans="1:4" ht="14.1" customHeight="1" x14ac:dyDescent="0.2">
      <c r="A12" s="19" t="s">
        <v>111</v>
      </c>
      <c r="B12" s="20">
        <f>'- 53 -'!D12</f>
        <v>206168980</v>
      </c>
      <c r="C12" s="20">
        <f t="shared" si="0"/>
        <v>2164774.29</v>
      </c>
    </row>
    <row r="13" spans="1:4" ht="14.1" customHeight="1" x14ac:dyDescent="0.2">
      <c r="A13" s="284" t="s">
        <v>112</v>
      </c>
      <c r="B13" s="285">
        <f>'- 53 -'!D13</f>
        <v>905533120</v>
      </c>
      <c r="C13" s="285">
        <f t="shared" si="0"/>
        <v>9508097.7599999998</v>
      </c>
    </row>
    <row r="14" spans="1:4" ht="14.1" customHeight="1" x14ac:dyDescent="0.2">
      <c r="A14" s="19" t="s">
        <v>359</v>
      </c>
      <c r="B14" s="20">
        <f>'- 53 -'!D14</f>
        <v>0</v>
      </c>
      <c r="C14" s="20">
        <f t="shared" si="0"/>
        <v>0</v>
      </c>
    </row>
    <row r="15" spans="1:4" ht="14.1" customHeight="1" x14ac:dyDescent="0.2">
      <c r="A15" s="284" t="s">
        <v>113</v>
      </c>
      <c r="B15" s="285">
        <f>'- 53 -'!D15</f>
        <v>122537140</v>
      </c>
      <c r="C15" s="285">
        <f t="shared" si="0"/>
        <v>1286639.97</v>
      </c>
    </row>
    <row r="16" spans="1:4" ht="14.1" customHeight="1" x14ac:dyDescent="0.2">
      <c r="A16" s="19" t="s">
        <v>114</v>
      </c>
      <c r="B16" s="20">
        <f>'- 53 -'!D16</f>
        <v>35034770</v>
      </c>
      <c r="C16" s="20">
        <f t="shared" si="0"/>
        <v>367865.08500000002</v>
      </c>
    </row>
    <row r="17" spans="1:3" ht="14.1" customHeight="1" x14ac:dyDescent="0.2">
      <c r="A17" s="284" t="s">
        <v>115</v>
      </c>
      <c r="B17" s="285">
        <f>'- 53 -'!D17</f>
        <v>592361650</v>
      </c>
      <c r="C17" s="285">
        <f t="shared" si="0"/>
        <v>6219797.3250000002</v>
      </c>
    </row>
    <row r="18" spans="1:3" ht="14.1" customHeight="1" x14ac:dyDescent="0.2">
      <c r="A18" s="19" t="s">
        <v>116</v>
      </c>
      <c r="B18" s="20">
        <f>'- 53 -'!D18</f>
        <v>73759320</v>
      </c>
      <c r="C18" s="20">
        <f t="shared" si="0"/>
        <v>774472.8600000001</v>
      </c>
    </row>
    <row r="19" spans="1:3" ht="14.1" customHeight="1" x14ac:dyDescent="0.2">
      <c r="A19" s="284" t="s">
        <v>117</v>
      </c>
      <c r="B19" s="285">
        <f>'- 53 -'!D19</f>
        <v>307954040</v>
      </c>
      <c r="C19" s="285">
        <f t="shared" si="0"/>
        <v>3233517.4200000004</v>
      </c>
    </row>
    <row r="20" spans="1:3" ht="14.1" customHeight="1" x14ac:dyDescent="0.2">
      <c r="A20" s="19" t="s">
        <v>118</v>
      </c>
      <c r="B20" s="20">
        <f>'- 53 -'!D20</f>
        <v>416756990</v>
      </c>
      <c r="C20" s="20">
        <f t="shared" si="0"/>
        <v>4375948.3950000005</v>
      </c>
    </row>
    <row r="21" spans="1:3" ht="14.1" customHeight="1" x14ac:dyDescent="0.2">
      <c r="A21" s="284" t="s">
        <v>119</v>
      </c>
      <c r="B21" s="285">
        <f>'- 53 -'!D21</f>
        <v>277990420</v>
      </c>
      <c r="C21" s="285">
        <f t="shared" si="0"/>
        <v>2918899.41</v>
      </c>
    </row>
    <row r="22" spans="1:3" ht="14.1" customHeight="1" x14ac:dyDescent="0.2">
      <c r="A22" s="19" t="s">
        <v>120</v>
      </c>
      <c r="B22" s="20">
        <f>'- 53 -'!D22</f>
        <v>66771960</v>
      </c>
      <c r="C22" s="20">
        <f t="shared" si="0"/>
        <v>701105.58000000007</v>
      </c>
    </row>
    <row r="23" spans="1:3" ht="14.1" customHeight="1" x14ac:dyDescent="0.2">
      <c r="A23" s="284" t="s">
        <v>121</v>
      </c>
      <c r="B23" s="285">
        <f>'- 53 -'!D23</f>
        <v>33976370</v>
      </c>
      <c r="C23" s="285">
        <f t="shared" si="0"/>
        <v>356751.88500000001</v>
      </c>
    </row>
    <row r="24" spans="1:3" ht="14.1" customHeight="1" x14ac:dyDescent="0.2">
      <c r="A24" s="19" t="s">
        <v>122</v>
      </c>
      <c r="B24" s="20">
        <f>'- 53 -'!D24</f>
        <v>253050010</v>
      </c>
      <c r="C24" s="20">
        <f t="shared" si="0"/>
        <v>2657025.105</v>
      </c>
    </row>
    <row r="25" spans="1:3" ht="14.1" customHeight="1" x14ac:dyDescent="0.2">
      <c r="A25" s="284" t="s">
        <v>123</v>
      </c>
      <c r="B25" s="285">
        <f>'- 53 -'!D25</f>
        <v>1346983270</v>
      </c>
      <c r="C25" s="285">
        <f t="shared" si="0"/>
        <v>14143324.335000001</v>
      </c>
    </row>
    <row r="26" spans="1:3" ht="14.1" customHeight="1" x14ac:dyDescent="0.2">
      <c r="A26" s="19" t="s">
        <v>124</v>
      </c>
      <c r="B26" s="20">
        <f>'- 53 -'!D26</f>
        <v>139360080</v>
      </c>
      <c r="C26" s="20">
        <f t="shared" si="0"/>
        <v>1463280.84</v>
      </c>
    </row>
    <row r="27" spans="1:3" ht="14.1" customHeight="1" x14ac:dyDescent="0.2">
      <c r="A27" s="284" t="s">
        <v>125</v>
      </c>
      <c r="B27" s="285">
        <f>'- 53 -'!D27</f>
        <v>141679740</v>
      </c>
      <c r="C27" s="285">
        <f t="shared" si="0"/>
        <v>1487637.27</v>
      </c>
    </row>
    <row r="28" spans="1:3" ht="14.1" customHeight="1" x14ac:dyDescent="0.2">
      <c r="A28" s="19" t="s">
        <v>126</v>
      </c>
      <c r="B28" s="20">
        <f>'- 53 -'!D28</f>
        <v>196343170</v>
      </c>
      <c r="C28" s="20">
        <f t="shared" si="0"/>
        <v>2061603.2850000001</v>
      </c>
    </row>
    <row r="29" spans="1:3" ht="14.1" customHeight="1" x14ac:dyDescent="0.2">
      <c r="A29" s="284" t="s">
        <v>127</v>
      </c>
      <c r="B29" s="285">
        <f>'- 53 -'!D29</f>
        <v>1418113270</v>
      </c>
      <c r="C29" s="285">
        <f t="shared" si="0"/>
        <v>14890189.335000001</v>
      </c>
    </row>
    <row r="30" spans="1:3" ht="14.1" customHeight="1" x14ac:dyDescent="0.2">
      <c r="A30" s="19" t="s">
        <v>128</v>
      </c>
      <c r="B30" s="20">
        <f>'- 53 -'!D30</f>
        <v>104440780</v>
      </c>
      <c r="C30" s="20">
        <f t="shared" si="0"/>
        <v>1096628.1900000002</v>
      </c>
    </row>
    <row r="31" spans="1:3" ht="14.1" customHeight="1" x14ac:dyDescent="0.2">
      <c r="A31" s="284" t="s">
        <v>129</v>
      </c>
      <c r="B31" s="285">
        <f>'- 53 -'!D31</f>
        <v>354299980</v>
      </c>
      <c r="C31" s="285">
        <f t="shared" si="0"/>
        <v>3720149.79</v>
      </c>
    </row>
    <row r="32" spans="1:3" ht="14.1" customHeight="1" x14ac:dyDescent="0.2">
      <c r="A32" s="19" t="s">
        <v>130</v>
      </c>
      <c r="B32" s="20">
        <f>'- 53 -'!D32</f>
        <v>151347330</v>
      </c>
      <c r="C32" s="20">
        <f t="shared" si="0"/>
        <v>1589146.9650000001</v>
      </c>
    </row>
    <row r="33" spans="1:3" ht="14.1" customHeight="1" x14ac:dyDescent="0.2">
      <c r="A33" s="284" t="s">
        <v>131</v>
      </c>
      <c r="B33" s="285">
        <f>'- 53 -'!D33</f>
        <v>177767580</v>
      </c>
      <c r="C33" s="285">
        <f t="shared" si="0"/>
        <v>1866559.59</v>
      </c>
    </row>
    <row r="34" spans="1:3" ht="14.1" customHeight="1" x14ac:dyDescent="0.2">
      <c r="A34" s="19" t="s">
        <v>132</v>
      </c>
      <c r="B34" s="20">
        <f>'- 53 -'!D34</f>
        <v>281777360</v>
      </c>
      <c r="C34" s="20">
        <f t="shared" si="0"/>
        <v>2958662.2800000003</v>
      </c>
    </row>
    <row r="35" spans="1:3" ht="14.1" customHeight="1" x14ac:dyDescent="0.2">
      <c r="A35" s="284" t="s">
        <v>133</v>
      </c>
      <c r="B35" s="285">
        <f>'- 53 -'!D35</f>
        <v>1037017770</v>
      </c>
      <c r="C35" s="285">
        <f t="shared" si="0"/>
        <v>10888686.585000001</v>
      </c>
    </row>
    <row r="36" spans="1:3" ht="14.1" customHeight="1" x14ac:dyDescent="0.2">
      <c r="A36" s="19" t="s">
        <v>134</v>
      </c>
      <c r="B36" s="20">
        <f>'- 53 -'!D36</f>
        <v>178437850</v>
      </c>
      <c r="C36" s="20">
        <f t="shared" si="0"/>
        <v>1873597.425</v>
      </c>
    </row>
    <row r="37" spans="1:3" ht="14.1" customHeight="1" x14ac:dyDescent="0.2">
      <c r="A37" s="284" t="s">
        <v>135</v>
      </c>
      <c r="B37" s="285">
        <f>'- 53 -'!D37</f>
        <v>189819940</v>
      </c>
      <c r="C37" s="285">
        <f t="shared" si="0"/>
        <v>1993109.37</v>
      </c>
    </row>
    <row r="38" spans="1:3" ht="14.1" customHeight="1" x14ac:dyDescent="0.2">
      <c r="A38" s="19" t="s">
        <v>136</v>
      </c>
      <c r="B38" s="20">
        <f>'- 53 -'!D38</f>
        <v>377332040</v>
      </c>
      <c r="C38" s="20">
        <f t="shared" si="0"/>
        <v>3961986.4200000004</v>
      </c>
    </row>
    <row r="39" spans="1:3" ht="14.1" customHeight="1" x14ac:dyDescent="0.2">
      <c r="A39" s="284" t="s">
        <v>137</v>
      </c>
      <c r="B39" s="285">
        <f>'- 53 -'!D39</f>
        <v>403552910</v>
      </c>
      <c r="C39" s="285">
        <f t="shared" si="0"/>
        <v>4237305.5550000006</v>
      </c>
    </row>
    <row r="40" spans="1:3" ht="14.1" customHeight="1" x14ac:dyDescent="0.2">
      <c r="A40" s="19" t="s">
        <v>138</v>
      </c>
      <c r="B40" s="20">
        <f>'- 53 -'!D40</f>
        <v>1561926310</v>
      </c>
      <c r="C40" s="20">
        <f t="shared" si="0"/>
        <v>16400226.255000001</v>
      </c>
    </row>
    <row r="41" spans="1:3" ht="14.1" customHeight="1" x14ac:dyDescent="0.2">
      <c r="A41" s="284" t="s">
        <v>139</v>
      </c>
      <c r="B41" s="285">
        <f>'- 53 -'!D41</f>
        <v>443715340</v>
      </c>
      <c r="C41" s="285">
        <f t="shared" si="0"/>
        <v>4659011.07</v>
      </c>
    </row>
    <row r="42" spans="1:3" ht="14.1" customHeight="1" x14ac:dyDescent="0.2">
      <c r="A42" s="19" t="s">
        <v>140</v>
      </c>
      <c r="B42" s="20">
        <f>'- 53 -'!D42</f>
        <v>83217570</v>
      </c>
      <c r="C42" s="20">
        <f t="shared" si="0"/>
        <v>873784.4850000001</v>
      </c>
    </row>
    <row r="43" spans="1:3" ht="14.1" customHeight="1" x14ac:dyDescent="0.2">
      <c r="A43" s="284" t="s">
        <v>141</v>
      </c>
      <c r="B43" s="285">
        <f>'- 53 -'!D43</f>
        <v>65900690</v>
      </c>
      <c r="C43" s="285">
        <f t="shared" si="0"/>
        <v>691957.245</v>
      </c>
    </row>
    <row r="44" spans="1:3" ht="14.1" customHeight="1" x14ac:dyDescent="0.2">
      <c r="A44" s="19" t="s">
        <v>142</v>
      </c>
      <c r="B44" s="20">
        <f>'- 53 -'!D44</f>
        <v>13733610</v>
      </c>
      <c r="C44" s="20">
        <f t="shared" si="0"/>
        <v>144202.905</v>
      </c>
    </row>
    <row r="45" spans="1:3" ht="14.1" customHeight="1" x14ac:dyDescent="0.2">
      <c r="A45" s="284" t="s">
        <v>143</v>
      </c>
      <c r="B45" s="285">
        <f>'- 53 -'!D45</f>
        <v>100210140</v>
      </c>
      <c r="C45" s="285">
        <f t="shared" si="0"/>
        <v>1052206.47</v>
      </c>
    </row>
    <row r="46" spans="1:3" ht="14.1" customHeight="1" x14ac:dyDescent="0.2">
      <c r="A46" s="19" t="s">
        <v>144</v>
      </c>
      <c r="B46" s="20">
        <f>'- 53 -'!D46</f>
        <v>4703746830</v>
      </c>
      <c r="C46" s="20">
        <f t="shared" si="0"/>
        <v>49389341.715000004</v>
      </c>
    </row>
    <row r="47" spans="1:3" ht="6" customHeight="1" x14ac:dyDescent="0.2">
      <c r="A47" s="21"/>
      <c r="B47" s="22"/>
      <c r="C47" s="22"/>
    </row>
    <row r="48" spans="1:3" ht="14.1" customHeight="1" x14ac:dyDescent="0.2">
      <c r="A48" s="286" t="s">
        <v>228</v>
      </c>
      <c r="B48" s="287">
        <f>SUM(B11:B46)</f>
        <v>16913453740</v>
      </c>
      <c r="C48" s="287">
        <f>SUM(C11:C46)</f>
        <v>177591264.27000004</v>
      </c>
    </row>
    <row r="49" spans="1:4" ht="6" customHeight="1" x14ac:dyDescent="0.2">
      <c r="A49" s="21"/>
      <c r="B49" s="22"/>
      <c r="C49" s="22"/>
    </row>
    <row r="50" spans="1:4" ht="14.1" customHeight="1" x14ac:dyDescent="0.2">
      <c r="A50" s="19" t="s">
        <v>229</v>
      </c>
      <c r="B50" s="20">
        <f>'- 53 -'!D50</f>
        <v>4051520</v>
      </c>
      <c r="C50" s="20">
        <v>0</v>
      </c>
    </row>
    <row r="51" spans="1:4" ht="14.1" customHeight="1" x14ac:dyDescent="0.2">
      <c r="A51" s="284" t="s">
        <v>230</v>
      </c>
      <c r="B51" s="285">
        <f>'- 53 -'!D51</f>
        <v>54039260</v>
      </c>
      <c r="C51" s="285">
        <f>B51*C$10</f>
        <v>567412.23</v>
      </c>
    </row>
    <row r="52" spans="1:4" ht="6" customHeight="1" x14ac:dyDescent="0.2">
      <c r="A52" s="130"/>
      <c r="B52" s="152"/>
      <c r="C52" s="152"/>
    </row>
    <row r="53" spans="1:4" ht="14.45" customHeight="1" x14ac:dyDescent="0.2">
      <c r="A53" s="396" t="s">
        <v>145</v>
      </c>
      <c r="B53" s="397">
        <f>SUM(B48,B50:B51)</f>
        <v>16971544520</v>
      </c>
      <c r="C53" s="397">
        <f>SUM(C48,C50:C51)</f>
        <v>178158676.50000003</v>
      </c>
      <c r="D53" s="184"/>
    </row>
    <row r="54" spans="1:4" ht="50.1" customHeight="1" x14ac:dyDescent="0.2">
      <c r="A54" s="223"/>
      <c r="B54" s="223"/>
      <c r="C54" s="223"/>
      <c r="D54" s="23"/>
    </row>
    <row r="55" spans="1:4" ht="14.45" customHeight="1" x14ac:dyDescent="0.2">
      <c r="A55" s="414" t="s">
        <v>638</v>
      </c>
      <c r="B55" s="38"/>
      <c r="C55" s="38"/>
      <c r="D55" s="38"/>
    </row>
    <row r="56" spans="1:4" ht="14.45" customHeight="1" x14ac:dyDescent="0.2">
      <c r="A56" s="25"/>
      <c r="B56" s="38"/>
      <c r="C56" s="38"/>
      <c r="D56" s="38"/>
    </row>
    <row r="57" spans="1:4" ht="14.45" customHeight="1" x14ac:dyDescent="0.2">
      <c r="A57" s="26"/>
      <c r="B57" s="38"/>
      <c r="C57" s="38"/>
      <c r="D57" s="38"/>
    </row>
    <row r="58" spans="1:4" ht="14.45" customHeight="1" x14ac:dyDescent="0.2">
      <c r="B58" s="80"/>
      <c r="C58" s="80"/>
    </row>
    <row r="59" spans="1:4" ht="14.45" customHeight="1" x14ac:dyDescent="0.2"/>
  </sheetData>
  <mergeCells count="2">
    <mergeCell ref="C8:C9"/>
    <mergeCell ref="B7:B9"/>
  </mergeCells>
  <phoneticPr fontId="0" type="noConversion"/>
  <pageMargins left="0.5" right="0.5" top="0.6" bottom="0.2" header="0.3" footer="0.5"/>
  <pageSetup scale="88" orientation="portrait" r:id="rId1"/>
  <headerFooter alignWithMargins="0">
    <oddHeader>&amp;C&amp;"Arial,Regular"&amp;11&amp;A</oddHeader>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2"/>
  <dimension ref="A1:M57"/>
  <sheetViews>
    <sheetView showGridLines="0" showZeros="0" workbookViewId="0"/>
  </sheetViews>
  <sheetFormatPr defaultColWidth="15.83203125" defaultRowHeight="12" x14ac:dyDescent="0.2"/>
  <cols>
    <col min="1" max="1" width="30" style="2" customWidth="1"/>
    <col min="2" max="2" width="17.1640625" style="2" customWidth="1"/>
    <col min="3" max="3" width="16.33203125" style="2" customWidth="1"/>
    <col min="4" max="4" width="17" style="2" customWidth="1"/>
    <col min="5" max="5" width="16.1640625" style="2" bestFit="1" customWidth="1"/>
    <col min="6" max="6" width="15.1640625" style="2" customWidth="1"/>
    <col min="7" max="7" width="15.33203125" style="2" customWidth="1"/>
    <col min="8" max="8" width="15.83203125" style="2"/>
    <col min="9" max="9" width="21" style="2" customWidth="1"/>
    <col min="10" max="16384" width="15.83203125" style="2"/>
  </cols>
  <sheetData>
    <row r="1" spans="1:13" ht="6.95" customHeight="1" x14ac:dyDescent="0.2">
      <c r="A1" s="7"/>
    </row>
    <row r="2" spans="1:13" ht="15.95" customHeight="1" x14ac:dyDescent="0.2">
      <c r="A2" s="208" t="s">
        <v>48</v>
      </c>
      <c r="B2" s="224"/>
      <c r="C2" s="224"/>
      <c r="D2" s="224"/>
      <c r="E2" s="224"/>
      <c r="F2" s="224"/>
      <c r="G2" s="224"/>
    </row>
    <row r="3" spans="1:13" ht="15.95" customHeight="1" x14ac:dyDescent="0.2">
      <c r="A3" s="233" t="str">
        <f>TAXYEAR</f>
        <v>FOR THE 2017 TAXATION YEAR</v>
      </c>
      <c r="B3" s="225"/>
      <c r="C3" s="225"/>
      <c r="D3" s="225"/>
      <c r="E3" s="235"/>
      <c r="F3" s="235"/>
      <c r="G3" s="225"/>
    </row>
    <row r="4" spans="1:13" ht="15.95" customHeight="1" x14ac:dyDescent="0.2">
      <c r="B4" s="8"/>
      <c r="C4" s="8"/>
      <c r="D4" s="8"/>
      <c r="E4" s="43"/>
      <c r="F4" s="43"/>
      <c r="G4" s="43"/>
    </row>
    <row r="5" spans="1:13" ht="15.95" customHeight="1" x14ac:dyDescent="0.2">
      <c r="B5" s="8"/>
      <c r="C5" s="8"/>
      <c r="D5" s="8"/>
      <c r="E5" s="8"/>
      <c r="F5" s="8"/>
      <c r="G5" s="8"/>
      <c r="M5" s="133"/>
    </row>
    <row r="6" spans="1:13" ht="15.95" customHeight="1" x14ac:dyDescent="0.2">
      <c r="B6" s="206" t="s">
        <v>55</v>
      </c>
      <c r="C6" s="172"/>
      <c r="D6" s="172"/>
      <c r="E6" s="170"/>
      <c r="F6" s="8"/>
      <c r="G6" s="8"/>
      <c r="H6" s="4" t="s">
        <v>64</v>
      </c>
    </row>
    <row r="7" spans="1:13" ht="15.95" customHeight="1" x14ac:dyDescent="0.2">
      <c r="B7" s="773" t="s">
        <v>560</v>
      </c>
      <c r="C7" s="773" t="s">
        <v>559</v>
      </c>
      <c r="D7" s="346"/>
      <c r="E7" s="303"/>
      <c r="F7" s="347"/>
      <c r="G7" s="629" t="s">
        <v>558</v>
      </c>
      <c r="H7" s="4" t="s">
        <v>62</v>
      </c>
    </row>
    <row r="8" spans="1:13" ht="15.95" customHeight="1" x14ac:dyDescent="0.2">
      <c r="A8" s="33"/>
      <c r="B8" s="774"/>
      <c r="C8" s="774"/>
      <c r="D8" s="348" t="s">
        <v>7</v>
      </c>
      <c r="E8" s="349"/>
      <c r="F8" s="727" t="s">
        <v>557</v>
      </c>
      <c r="G8" s="727"/>
      <c r="H8" s="4" t="s">
        <v>104</v>
      </c>
    </row>
    <row r="9" spans="1:13" ht="15.95" customHeight="1" x14ac:dyDescent="0.2">
      <c r="A9" s="236" t="s">
        <v>42</v>
      </c>
      <c r="B9" s="775"/>
      <c r="C9" s="775"/>
      <c r="D9" s="351" t="s">
        <v>68</v>
      </c>
      <c r="E9" s="307" t="s">
        <v>31</v>
      </c>
      <c r="F9" s="630"/>
      <c r="G9" s="728"/>
      <c r="H9" s="4" t="s">
        <v>105</v>
      </c>
    </row>
    <row r="10" spans="1:13" ht="5.0999999999999996" customHeight="1" x14ac:dyDescent="0.2">
      <c r="A10" s="18"/>
      <c r="B10" s="207"/>
      <c r="C10" s="7"/>
      <c r="D10" s="207"/>
      <c r="E10" s="207"/>
      <c r="F10" s="7"/>
      <c r="G10" s="7"/>
    </row>
    <row r="11" spans="1:13" ht="14.1" customHeight="1" x14ac:dyDescent="0.2">
      <c r="A11" s="354" t="s">
        <v>110</v>
      </c>
      <c r="B11" s="352">
        <v>301205100</v>
      </c>
      <c r="C11" s="352">
        <v>272297530</v>
      </c>
      <c r="D11" s="352">
        <v>150835410</v>
      </c>
      <c r="E11" s="352">
        <f t="shared" ref="E11:E46" si="0">SUM(B11:D11)</f>
        <v>724338040</v>
      </c>
      <c r="F11" s="352">
        <f>'- 55 -'!C11</f>
        <v>8610948</v>
      </c>
      <c r="G11" s="353">
        <f>F11/E11*1000</f>
        <v>11.888023994984442</v>
      </c>
      <c r="I11" s="234" t="str">
        <f>A11</f>
        <v xml:space="preserve"> BEAUTIFUL PLAINS</v>
      </c>
      <c r="J11" s="5">
        <f>G11</f>
        <v>11.888023994984442</v>
      </c>
      <c r="M11" s="510"/>
    </row>
    <row r="12" spans="1:13" ht="14.1" customHeight="1" x14ac:dyDescent="0.2">
      <c r="A12" s="237" t="s">
        <v>111</v>
      </c>
      <c r="B12" s="151">
        <v>340048670</v>
      </c>
      <c r="C12" s="151">
        <v>360715230</v>
      </c>
      <c r="D12" s="151">
        <v>206168980</v>
      </c>
      <c r="E12" s="151">
        <f t="shared" si="0"/>
        <v>906932880</v>
      </c>
      <c r="F12" s="151">
        <f>'- 55 -'!C12</f>
        <v>15324712</v>
      </c>
      <c r="G12" s="238">
        <f>F12/E12*1000</f>
        <v>16.89729453848889</v>
      </c>
      <c r="I12" s="234" t="str">
        <f>A12</f>
        <v xml:space="preserve"> BORDER LAND</v>
      </c>
      <c r="J12" s="5">
        <f>G12</f>
        <v>16.89729453848889</v>
      </c>
      <c r="M12" s="510"/>
    </row>
    <row r="13" spans="1:13" ht="14.1" customHeight="1" x14ac:dyDescent="0.2">
      <c r="A13" s="354" t="s">
        <v>112</v>
      </c>
      <c r="B13" s="352">
        <v>2098790440</v>
      </c>
      <c r="C13" s="352">
        <v>87250490</v>
      </c>
      <c r="D13" s="352">
        <v>905533120</v>
      </c>
      <c r="E13" s="352">
        <f t="shared" si="0"/>
        <v>3091574050</v>
      </c>
      <c r="F13" s="352">
        <f>'- 55 -'!C13</f>
        <v>46094010</v>
      </c>
      <c r="G13" s="353">
        <f>F13/E13*1000</f>
        <v>14.909560390442531</v>
      </c>
      <c r="I13" s="234" t="str">
        <f>A13</f>
        <v xml:space="preserve"> BRANDON</v>
      </c>
      <c r="J13" s="5">
        <f>G13</f>
        <v>14.909560390442531</v>
      </c>
      <c r="M13" s="510"/>
    </row>
    <row r="14" spans="1:13" ht="14.1" customHeight="1" x14ac:dyDescent="0.2">
      <c r="A14" s="237" t="s">
        <v>359</v>
      </c>
      <c r="B14" s="151"/>
      <c r="C14" s="151"/>
      <c r="D14" s="151"/>
      <c r="E14" s="151">
        <f t="shared" si="0"/>
        <v>0</v>
      </c>
      <c r="F14" s="151"/>
      <c r="G14" s="238"/>
      <c r="I14" s="234" t="str">
        <f>A15</f>
        <v xml:space="preserve"> EVERGREEN</v>
      </c>
      <c r="J14" s="5">
        <f>G15</f>
        <v>10.944426401436637</v>
      </c>
      <c r="M14" s="510"/>
    </row>
    <row r="15" spans="1:13" ht="14.1" customHeight="1" x14ac:dyDescent="0.2">
      <c r="A15" s="354" t="s">
        <v>113</v>
      </c>
      <c r="B15" s="352">
        <v>743717650</v>
      </c>
      <c r="C15" s="352">
        <v>94505200</v>
      </c>
      <c r="D15" s="352">
        <v>122537140</v>
      </c>
      <c r="E15" s="352">
        <f t="shared" si="0"/>
        <v>960759990</v>
      </c>
      <c r="F15" s="352">
        <f>'- 55 -'!C15</f>
        <v>10514967</v>
      </c>
      <c r="G15" s="353">
        <f>F15/E15*1000</f>
        <v>10.944426401436637</v>
      </c>
      <c r="I15" s="234" t="str">
        <f t="shared" ref="I15:I44" si="1">A16</f>
        <v xml:space="preserve"> FLIN FLON</v>
      </c>
      <c r="J15" s="5">
        <f t="shared" ref="J15:J44" si="2">G16</f>
        <v>20.706451376073211</v>
      </c>
      <c r="M15" s="510"/>
    </row>
    <row r="16" spans="1:13" ht="14.1" customHeight="1" x14ac:dyDescent="0.2">
      <c r="A16" s="237" t="s">
        <v>114</v>
      </c>
      <c r="B16" s="151">
        <v>100628070</v>
      </c>
      <c r="C16" s="151">
        <v>0</v>
      </c>
      <c r="D16" s="151">
        <v>35034770</v>
      </c>
      <c r="E16" s="151">
        <f t="shared" si="0"/>
        <v>135662840</v>
      </c>
      <c r="F16" s="151">
        <f>'- 55 -'!C16</f>
        <v>4321000</v>
      </c>
      <c r="G16" s="238">
        <f>(F16-H16)/E16*1000</f>
        <v>20.706451376073211</v>
      </c>
      <c r="H16" s="587">
        <v>1511904</v>
      </c>
      <c r="I16" s="234" t="str">
        <f t="shared" si="1"/>
        <v xml:space="preserve"> FORT LA BOSSE</v>
      </c>
      <c r="J16" s="5">
        <f t="shared" si="2"/>
        <v>7.8996980158645282</v>
      </c>
      <c r="M16" s="510"/>
    </row>
    <row r="17" spans="1:13" ht="14.1" customHeight="1" x14ac:dyDescent="0.2">
      <c r="A17" s="354" t="s">
        <v>115</v>
      </c>
      <c r="B17" s="352">
        <v>338627810</v>
      </c>
      <c r="C17" s="352">
        <v>205997420</v>
      </c>
      <c r="D17" s="352">
        <v>592361650</v>
      </c>
      <c r="E17" s="352">
        <f t="shared" si="0"/>
        <v>1136986880</v>
      </c>
      <c r="F17" s="352">
        <f>'- 55 -'!C17</f>
        <v>8981853</v>
      </c>
      <c r="G17" s="353">
        <f>F17/E17*1000</f>
        <v>7.8996980158645282</v>
      </c>
      <c r="H17" s="443"/>
      <c r="I17" s="234" t="str">
        <f t="shared" si="1"/>
        <v xml:space="preserve"> FRONTIER</v>
      </c>
      <c r="J17" s="5">
        <f t="shared" si="2"/>
        <v>13.499995315651919</v>
      </c>
      <c r="M17" s="510"/>
    </row>
    <row r="18" spans="1:13" ht="14.1" customHeight="1" x14ac:dyDescent="0.2">
      <c r="A18" s="237" t="s">
        <v>116</v>
      </c>
      <c r="B18" s="151">
        <v>147623770</v>
      </c>
      <c r="C18" s="151">
        <v>21980550</v>
      </c>
      <c r="D18" s="151">
        <v>73759320</v>
      </c>
      <c r="E18" s="151">
        <f t="shared" si="0"/>
        <v>243363640</v>
      </c>
      <c r="F18" s="151">
        <f>'- 55 -'!C18</f>
        <v>3285408</v>
      </c>
      <c r="G18" s="238">
        <f>(F18-H18)/E18*1000</f>
        <v>13.499995315651919</v>
      </c>
      <c r="I18" s="234" t="str">
        <f t="shared" si="1"/>
        <v xml:space="preserve"> GARDEN VALLEY</v>
      </c>
      <c r="J18" s="5">
        <f t="shared" si="2"/>
        <v>15.990820281699635</v>
      </c>
      <c r="M18" s="510"/>
    </row>
    <row r="19" spans="1:13" ht="14.1" customHeight="1" x14ac:dyDescent="0.2">
      <c r="A19" s="354" t="s">
        <v>117</v>
      </c>
      <c r="B19" s="352">
        <v>617217370</v>
      </c>
      <c r="C19" s="352">
        <v>229378180</v>
      </c>
      <c r="D19" s="352">
        <v>307954040</v>
      </c>
      <c r="E19" s="352">
        <f t="shared" si="0"/>
        <v>1154549590</v>
      </c>
      <c r="F19" s="352">
        <f>'- 55 -'!C19</f>
        <v>18462195</v>
      </c>
      <c r="G19" s="353">
        <f t="shared" ref="G19:G26" si="3">F19/E19*1000</f>
        <v>15.990820281699635</v>
      </c>
      <c r="I19" s="234" t="str">
        <f t="shared" si="1"/>
        <v xml:space="preserve"> HANOVER</v>
      </c>
      <c r="J19" s="5">
        <f t="shared" si="2"/>
        <v>15.294547408361383</v>
      </c>
      <c r="M19" s="510"/>
    </row>
    <row r="20" spans="1:13" ht="14.1" customHeight="1" x14ac:dyDescent="0.2">
      <c r="A20" s="237" t="s">
        <v>118</v>
      </c>
      <c r="B20" s="151">
        <v>1505831540</v>
      </c>
      <c r="C20" s="151">
        <v>201627580</v>
      </c>
      <c r="D20" s="151">
        <v>416756990</v>
      </c>
      <c r="E20" s="151">
        <f t="shared" si="0"/>
        <v>2124216110</v>
      </c>
      <c r="F20" s="151">
        <f>'- 55 -'!C20</f>
        <v>32488924</v>
      </c>
      <c r="G20" s="238">
        <f t="shared" si="3"/>
        <v>15.294547408361383</v>
      </c>
      <c r="I20" s="234" t="str">
        <f t="shared" si="1"/>
        <v xml:space="preserve"> INTERLAKE</v>
      </c>
      <c r="J20" s="5">
        <f t="shared" si="2"/>
        <v>13.732616919080982</v>
      </c>
      <c r="M20" s="510"/>
    </row>
    <row r="21" spans="1:13" ht="14.1" customHeight="1" x14ac:dyDescent="0.2">
      <c r="A21" s="354" t="s">
        <v>119</v>
      </c>
      <c r="B21" s="352">
        <v>823354360</v>
      </c>
      <c r="C21" s="352">
        <v>214294410</v>
      </c>
      <c r="D21" s="352">
        <v>277990420</v>
      </c>
      <c r="E21" s="352">
        <f t="shared" si="0"/>
        <v>1315639190</v>
      </c>
      <c r="F21" s="352">
        <f>'- 55 -'!C21</f>
        <v>18067169</v>
      </c>
      <c r="G21" s="353">
        <f t="shared" si="3"/>
        <v>13.732616919080982</v>
      </c>
      <c r="I21" s="234" t="str">
        <f t="shared" si="1"/>
        <v xml:space="preserve"> KELSEY</v>
      </c>
      <c r="J21" s="5">
        <f t="shared" si="2"/>
        <v>17.321164680864037</v>
      </c>
      <c r="M21" s="510"/>
    </row>
    <row r="22" spans="1:13" ht="14.1" customHeight="1" x14ac:dyDescent="0.2">
      <c r="A22" s="237" t="s">
        <v>120</v>
      </c>
      <c r="B22" s="151">
        <v>177570810</v>
      </c>
      <c r="C22" s="151">
        <v>18739770</v>
      </c>
      <c r="D22" s="151">
        <v>66771960</v>
      </c>
      <c r="E22" s="151">
        <f t="shared" si="0"/>
        <v>263082540</v>
      </c>
      <c r="F22" s="151">
        <f>'- 55 -'!C22</f>
        <v>4556896</v>
      </c>
      <c r="G22" s="238">
        <f t="shared" si="3"/>
        <v>17.321164680864037</v>
      </c>
      <c r="I22" s="234" t="str">
        <f t="shared" si="1"/>
        <v xml:space="preserve"> LAKESHORE</v>
      </c>
      <c r="J22" s="5">
        <f t="shared" si="2"/>
        <v>16.195092096437396</v>
      </c>
      <c r="M22" s="510"/>
    </row>
    <row r="23" spans="1:13" ht="14.1" customHeight="1" x14ac:dyDescent="0.2">
      <c r="A23" s="354" t="s">
        <v>121</v>
      </c>
      <c r="B23" s="352">
        <v>152242370</v>
      </c>
      <c r="C23" s="352">
        <v>102365170</v>
      </c>
      <c r="D23" s="352">
        <v>33976370</v>
      </c>
      <c r="E23" s="352">
        <f t="shared" si="0"/>
        <v>288583910</v>
      </c>
      <c r="F23" s="352">
        <f>'- 55 -'!C23</f>
        <v>4673643</v>
      </c>
      <c r="G23" s="353">
        <f t="shared" si="3"/>
        <v>16.195092096437396</v>
      </c>
      <c r="H23" s="239"/>
      <c r="I23" s="234" t="str">
        <f t="shared" si="1"/>
        <v xml:space="preserve"> LORD SELKIRK</v>
      </c>
      <c r="J23" s="5">
        <f t="shared" si="2"/>
        <v>14.306008715611425</v>
      </c>
      <c r="M23" s="510"/>
    </row>
    <row r="24" spans="1:13" ht="14.1" customHeight="1" x14ac:dyDescent="0.2">
      <c r="A24" s="237" t="s">
        <v>122</v>
      </c>
      <c r="B24" s="151">
        <v>1736431580</v>
      </c>
      <c r="C24" s="151">
        <v>71879240</v>
      </c>
      <c r="D24" s="151">
        <v>253050010</v>
      </c>
      <c r="E24" s="151">
        <f t="shared" si="0"/>
        <v>2061360830</v>
      </c>
      <c r="F24" s="151">
        <f>'- 55 -'!C24</f>
        <v>29489846</v>
      </c>
      <c r="G24" s="238">
        <f t="shared" si="3"/>
        <v>14.306008715611425</v>
      </c>
      <c r="I24" s="234" t="str">
        <f t="shared" si="1"/>
        <v xml:space="preserve"> LOUIS RIEL</v>
      </c>
      <c r="J24" s="5">
        <f t="shared" si="2"/>
        <v>13.260228145370151</v>
      </c>
      <c r="M24" s="510"/>
    </row>
    <row r="25" spans="1:13" ht="14.1" customHeight="1" x14ac:dyDescent="0.2">
      <c r="A25" s="354" t="s">
        <v>123</v>
      </c>
      <c r="B25" s="352">
        <v>6311707410</v>
      </c>
      <c r="C25" s="352">
        <v>18601210</v>
      </c>
      <c r="D25" s="352">
        <v>1346983270</v>
      </c>
      <c r="E25" s="352">
        <f t="shared" si="0"/>
        <v>7677291890</v>
      </c>
      <c r="F25" s="352">
        <f>'- 55 -'!C25</f>
        <v>101802642</v>
      </c>
      <c r="G25" s="353">
        <f t="shared" si="3"/>
        <v>13.260228145370151</v>
      </c>
      <c r="I25" s="234" t="str">
        <f t="shared" si="1"/>
        <v xml:space="preserve"> MOUNTAIN VIEW</v>
      </c>
      <c r="J25" s="5">
        <f t="shared" si="2"/>
        <v>15.651645161689501</v>
      </c>
      <c r="M25" s="510"/>
    </row>
    <row r="26" spans="1:13" ht="14.1" customHeight="1" x14ac:dyDescent="0.2">
      <c r="A26" s="237" t="s">
        <v>124</v>
      </c>
      <c r="B26" s="151">
        <v>531421480</v>
      </c>
      <c r="C26" s="151">
        <v>345821860</v>
      </c>
      <c r="D26" s="151">
        <v>139360080</v>
      </c>
      <c r="E26" s="151">
        <f t="shared" si="0"/>
        <v>1016603420</v>
      </c>
      <c r="F26" s="151">
        <f>'- 55 -'!C26</f>
        <v>15911516</v>
      </c>
      <c r="G26" s="238">
        <f t="shared" si="3"/>
        <v>15.651645161689501</v>
      </c>
      <c r="I26" s="234" t="str">
        <f t="shared" si="1"/>
        <v xml:space="preserve"> MYSTERY LAKE</v>
      </c>
      <c r="J26" s="5">
        <f t="shared" si="2"/>
        <v>18.577838958886439</v>
      </c>
      <c r="M26" s="510"/>
    </row>
    <row r="27" spans="1:13" ht="14.1" customHeight="1" x14ac:dyDescent="0.2">
      <c r="A27" s="354" t="s">
        <v>125</v>
      </c>
      <c r="B27" s="352">
        <v>326511260</v>
      </c>
      <c r="C27" s="352">
        <v>0</v>
      </c>
      <c r="D27" s="352">
        <v>141679740</v>
      </c>
      <c r="E27" s="352">
        <f t="shared" si="0"/>
        <v>468191000</v>
      </c>
      <c r="F27" s="352">
        <f>'- 55 -'!C27</f>
        <v>8697977</v>
      </c>
      <c r="G27" s="353">
        <f t="shared" ref="G27:G34" si="4">F27/E27*1000</f>
        <v>18.577838958886439</v>
      </c>
      <c r="I27" s="234" t="str">
        <f t="shared" si="1"/>
        <v xml:space="preserve"> PARK WEST</v>
      </c>
      <c r="J27" s="5">
        <f t="shared" si="2"/>
        <v>11.28979402252317</v>
      </c>
      <c r="M27" s="510"/>
    </row>
    <row r="28" spans="1:13" ht="14.1" customHeight="1" x14ac:dyDescent="0.2">
      <c r="A28" s="237" t="s">
        <v>126</v>
      </c>
      <c r="B28" s="151">
        <v>271180310</v>
      </c>
      <c r="C28" s="151">
        <v>378020910</v>
      </c>
      <c r="D28" s="151">
        <v>196343170</v>
      </c>
      <c r="E28" s="151">
        <f t="shared" si="0"/>
        <v>845544390</v>
      </c>
      <c r="F28" s="151">
        <f>'- 55 -'!C28</f>
        <v>9546022</v>
      </c>
      <c r="G28" s="238">
        <f t="shared" si="4"/>
        <v>11.28979402252317</v>
      </c>
      <c r="I28" s="234" t="str">
        <f t="shared" si="1"/>
        <v xml:space="preserve"> PEMBINA TRAILS</v>
      </c>
      <c r="J28" s="5">
        <f t="shared" si="2"/>
        <v>12.482952404756249</v>
      </c>
      <c r="M28" s="510"/>
    </row>
    <row r="29" spans="1:13" ht="14.1" customHeight="1" x14ac:dyDescent="0.2">
      <c r="A29" s="354" t="s">
        <v>127</v>
      </c>
      <c r="B29" s="352">
        <v>6551061520</v>
      </c>
      <c r="C29" s="352">
        <v>19642580</v>
      </c>
      <c r="D29" s="352">
        <v>1418113270</v>
      </c>
      <c r="E29" s="352">
        <f t="shared" si="0"/>
        <v>7988817370</v>
      </c>
      <c r="F29" s="352">
        <f>'- 55 -'!C29</f>
        <v>99724027</v>
      </c>
      <c r="G29" s="353">
        <f t="shared" si="4"/>
        <v>12.482952404756249</v>
      </c>
      <c r="I29" s="234" t="str">
        <f t="shared" si="1"/>
        <v xml:space="preserve"> PINE CREEK</v>
      </c>
      <c r="J29" s="5">
        <f t="shared" si="2"/>
        <v>14.806834922234753</v>
      </c>
      <c r="M29" s="510"/>
    </row>
    <row r="30" spans="1:13" ht="14.1" customHeight="1" x14ac:dyDescent="0.2">
      <c r="A30" s="237" t="s">
        <v>128</v>
      </c>
      <c r="B30" s="151">
        <v>155252300</v>
      </c>
      <c r="C30" s="151">
        <v>222142980</v>
      </c>
      <c r="D30" s="151">
        <v>104440780</v>
      </c>
      <c r="E30" s="151">
        <f t="shared" si="0"/>
        <v>481836060</v>
      </c>
      <c r="F30" s="151">
        <f>'- 55 -'!C30</f>
        <v>7134467</v>
      </c>
      <c r="G30" s="238">
        <f t="shared" si="4"/>
        <v>14.806834922234753</v>
      </c>
      <c r="I30" s="234" t="str">
        <f t="shared" si="1"/>
        <v xml:space="preserve"> PORTAGE LA PRAIRIE</v>
      </c>
      <c r="J30" s="5">
        <f t="shared" si="2"/>
        <v>13.894999987753902</v>
      </c>
      <c r="M30" s="510"/>
    </row>
    <row r="31" spans="1:13" ht="14.1" customHeight="1" x14ac:dyDescent="0.2">
      <c r="A31" s="354" t="s">
        <v>129</v>
      </c>
      <c r="B31" s="352">
        <v>593616310</v>
      </c>
      <c r="C31" s="352">
        <v>325958990</v>
      </c>
      <c r="D31" s="352">
        <v>354299980</v>
      </c>
      <c r="E31" s="352">
        <f t="shared" si="0"/>
        <v>1273875280</v>
      </c>
      <c r="F31" s="352">
        <f>'- 55 -'!C31</f>
        <v>17700497</v>
      </c>
      <c r="G31" s="353">
        <f t="shared" si="4"/>
        <v>13.894999987753902</v>
      </c>
      <c r="I31" s="234" t="str">
        <f t="shared" si="1"/>
        <v xml:space="preserve"> PRAIRIE ROSE</v>
      </c>
      <c r="J31" s="5">
        <f t="shared" si="2"/>
        <v>12.374335186899202</v>
      </c>
      <c r="M31" s="510"/>
    </row>
    <row r="32" spans="1:13" ht="14.1" customHeight="1" x14ac:dyDescent="0.2">
      <c r="A32" s="237" t="s">
        <v>130</v>
      </c>
      <c r="B32" s="151">
        <v>513127170</v>
      </c>
      <c r="C32" s="151">
        <v>663475790</v>
      </c>
      <c r="D32" s="151">
        <v>151347330</v>
      </c>
      <c r="E32" s="151">
        <f t="shared" si="0"/>
        <v>1327950290</v>
      </c>
      <c r="F32" s="151">
        <f>'- 55 -'!C32</f>
        <v>16432502</v>
      </c>
      <c r="G32" s="238">
        <f t="shared" si="4"/>
        <v>12.374335186899202</v>
      </c>
      <c r="I32" s="234" t="str">
        <f t="shared" si="1"/>
        <v xml:space="preserve"> PRAIRIE SPIRIT</v>
      </c>
      <c r="J32" s="5">
        <f t="shared" si="2"/>
        <v>10.83516010129939</v>
      </c>
      <c r="M32" s="510"/>
    </row>
    <row r="33" spans="1:13" ht="14.1" customHeight="1" x14ac:dyDescent="0.2">
      <c r="A33" s="354" t="s">
        <v>131</v>
      </c>
      <c r="B33" s="352">
        <v>326750850</v>
      </c>
      <c r="C33" s="352">
        <v>801850730</v>
      </c>
      <c r="D33" s="352">
        <v>177767580</v>
      </c>
      <c r="E33" s="352">
        <f t="shared" si="0"/>
        <v>1306369160</v>
      </c>
      <c r="F33" s="352">
        <f>'- 55 -'!C33</f>
        <v>14154719</v>
      </c>
      <c r="G33" s="353">
        <f t="shared" si="4"/>
        <v>10.83516010129939</v>
      </c>
      <c r="I33" s="234" t="str">
        <f t="shared" si="1"/>
        <v xml:space="preserve"> RED RIVER VALLEY</v>
      </c>
      <c r="J33" s="5">
        <f t="shared" si="2"/>
        <v>14.065536861120943</v>
      </c>
      <c r="M33" s="510"/>
    </row>
    <row r="34" spans="1:13" ht="14.1" customHeight="1" x14ac:dyDescent="0.2">
      <c r="A34" s="237" t="s">
        <v>132</v>
      </c>
      <c r="B34" s="151">
        <v>533458880</v>
      </c>
      <c r="C34" s="151">
        <v>573224520</v>
      </c>
      <c r="D34" s="151">
        <v>281777360</v>
      </c>
      <c r="E34" s="151">
        <f t="shared" si="0"/>
        <v>1388460760</v>
      </c>
      <c r="F34" s="151">
        <f>'- 55 -'!C34</f>
        <v>19529446</v>
      </c>
      <c r="G34" s="238">
        <f t="shared" si="4"/>
        <v>14.065536861120943</v>
      </c>
      <c r="I34" s="234" t="str">
        <f t="shared" si="1"/>
        <v xml:space="preserve"> RIVER EAST TRANSCONA</v>
      </c>
      <c r="J34" s="5">
        <f t="shared" si="2"/>
        <v>13.359953121750669</v>
      </c>
      <c r="M34" s="510"/>
    </row>
    <row r="35" spans="1:13" ht="14.1" customHeight="1" x14ac:dyDescent="0.2">
      <c r="A35" s="354" t="s">
        <v>133</v>
      </c>
      <c r="B35" s="352">
        <v>5528699790</v>
      </c>
      <c r="C35" s="352">
        <v>15927540</v>
      </c>
      <c r="D35" s="352">
        <v>1037017770</v>
      </c>
      <c r="E35" s="352">
        <f t="shared" si="0"/>
        <v>6581645100</v>
      </c>
      <c r="F35" s="352">
        <f>'- 55 -'!C35</f>
        <v>87930470</v>
      </c>
      <c r="G35" s="353">
        <f t="shared" ref="G35:G46" si="5">F35/E35*1000</f>
        <v>13.359953121750669</v>
      </c>
      <c r="I35" s="234" t="str">
        <f t="shared" si="1"/>
        <v xml:space="preserve"> ROLLING RIVER</v>
      </c>
      <c r="J35" s="5">
        <f t="shared" si="2"/>
        <v>11.969495353960687</v>
      </c>
      <c r="M35" s="510"/>
    </row>
    <row r="36" spans="1:13" ht="14.1" customHeight="1" x14ac:dyDescent="0.2">
      <c r="A36" s="237" t="s">
        <v>134</v>
      </c>
      <c r="B36" s="151">
        <v>495108220</v>
      </c>
      <c r="C36" s="151">
        <v>267593190</v>
      </c>
      <c r="D36" s="151">
        <v>178437850</v>
      </c>
      <c r="E36" s="151">
        <f t="shared" si="0"/>
        <v>941139260</v>
      </c>
      <c r="F36" s="151">
        <f>'- 55 -'!C36</f>
        <v>11264962</v>
      </c>
      <c r="G36" s="238">
        <f t="shared" si="5"/>
        <v>11.969495353960687</v>
      </c>
      <c r="I36" s="234" t="str">
        <f t="shared" si="1"/>
        <v xml:space="preserve"> SEINE RIVER</v>
      </c>
      <c r="J36" s="5">
        <f t="shared" si="2"/>
        <v>14.453544902793038</v>
      </c>
      <c r="M36" s="510"/>
    </row>
    <row r="37" spans="1:13" ht="14.1" customHeight="1" x14ac:dyDescent="0.2">
      <c r="A37" s="354" t="s">
        <v>135</v>
      </c>
      <c r="B37" s="352">
        <v>1408967290</v>
      </c>
      <c r="C37" s="352">
        <v>140742980</v>
      </c>
      <c r="D37" s="352">
        <v>189819940</v>
      </c>
      <c r="E37" s="352">
        <f t="shared" si="0"/>
        <v>1739530210</v>
      </c>
      <c r="F37" s="352">
        <f>'- 55 -'!C37</f>
        <v>25142378</v>
      </c>
      <c r="G37" s="353">
        <f t="shared" si="5"/>
        <v>14.453544902793038</v>
      </c>
      <c r="I37" s="234" t="str">
        <f t="shared" si="1"/>
        <v xml:space="preserve"> SEVEN OAKS</v>
      </c>
      <c r="J37" s="5">
        <f t="shared" si="2"/>
        <v>16.163825222442334</v>
      </c>
      <c r="M37" s="510"/>
    </row>
    <row r="38" spans="1:13" ht="14.1" customHeight="1" x14ac:dyDescent="0.2">
      <c r="A38" s="237" t="s">
        <v>136</v>
      </c>
      <c r="B38" s="151">
        <v>2965398160</v>
      </c>
      <c r="C38" s="151">
        <v>14599470</v>
      </c>
      <c r="D38" s="151">
        <v>377332040</v>
      </c>
      <c r="E38" s="151">
        <f t="shared" si="0"/>
        <v>3357329670</v>
      </c>
      <c r="F38" s="151">
        <f>'- 55 -'!C38</f>
        <v>54267290</v>
      </c>
      <c r="G38" s="238">
        <f t="shared" si="5"/>
        <v>16.163825222442334</v>
      </c>
      <c r="I38" s="234" t="str">
        <f t="shared" si="1"/>
        <v xml:space="preserve"> SOUTHWEST HORIZON</v>
      </c>
      <c r="J38" s="5">
        <f t="shared" si="2"/>
        <v>10.552386038590681</v>
      </c>
      <c r="M38" s="510"/>
    </row>
    <row r="39" spans="1:13" ht="14.1" customHeight="1" x14ac:dyDescent="0.2">
      <c r="A39" s="354" t="s">
        <v>137</v>
      </c>
      <c r="B39" s="352">
        <v>337294500</v>
      </c>
      <c r="C39" s="352">
        <v>472667330</v>
      </c>
      <c r="D39" s="352">
        <v>403552910</v>
      </c>
      <c r="E39" s="352">
        <f t="shared" si="0"/>
        <v>1213514740</v>
      </c>
      <c r="F39" s="352">
        <f>'- 55 -'!C39</f>
        <v>12805476</v>
      </c>
      <c r="G39" s="353">
        <f t="shared" si="5"/>
        <v>10.552386038590681</v>
      </c>
      <c r="I39" s="234" t="str">
        <f t="shared" si="1"/>
        <v xml:space="preserve"> ST. JAMES-ASSINIBOIA</v>
      </c>
      <c r="J39" s="5">
        <f t="shared" si="2"/>
        <v>13.098715885464619</v>
      </c>
      <c r="M39" s="510"/>
    </row>
    <row r="40" spans="1:13" ht="14.1" customHeight="1" x14ac:dyDescent="0.2">
      <c r="A40" s="237" t="s">
        <v>138</v>
      </c>
      <c r="B40" s="151">
        <v>2966910130</v>
      </c>
      <c r="C40" s="151">
        <v>21843300</v>
      </c>
      <c r="D40" s="151">
        <v>1561926310</v>
      </c>
      <c r="E40" s="151">
        <f t="shared" si="0"/>
        <v>4550679740</v>
      </c>
      <c r="F40" s="151">
        <f>'- 55 -'!C40</f>
        <v>59608061</v>
      </c>
      <c r="G40" s="238">
        <f t="shared" si="5"/>
        <v>13.098715885464619</v>
      </c>
      <c r="I40" s="234" t="str">
        <f t="shared" si="1"/>
        <v xml:space="preserve"> SUNRISE</v>
      </c>
      <c r="J40" s="5">
        <f t="shared" si="2"/>
        <v>13.718101059710044</v>
      </c>
      <c r="M40" s="510"/>
    </row>
    <row r="41" spans="1:13" ht="14.1" customHeight="1" x14ac:dyDescent="0.2">
      <c r="A41" s="354" t="s">
        <v>139</v>
      </c>
      <c r="B41" s="352">
        <v>1884777430</v>
      </c>
      <c r="C41" s="352">
        <v>240907240</v>
      </c>
      <c r="D41" s="352">
        <v>443715340</v>
      </c>
      <c r="E41" s="352">
        <f t="shared" si="0"/>
        <v>2569400010</v>
      </c>
      <c r="F41" s="352">
        <f>'- 55 -'!C41</f>
        <v>35247289</v>
      </c>
      <c r="G41" s="353">
        <f t="shared" si="5"/>
        <v>13.718101059710044</v>
      </c>
      <c r="I41" s="234" t="str">
        <f t="shared" si="1"/>
        <v xml:space="preserve"> SWAN VALLEY</v>
      </c>
      <c r="J41" s="5">
        <f t="shared" si="2"/>
        <v>14.03955062695027</v>
      </c>
      <c r="M41" s="510"/>
    </row>
    <row r="42" spans="1:13" ht="14.1" customHeight="1" x14ac:dyDescent="0.2">
      <c r="A42" s="237" t="s">
        <v>140</v>
      </c>
      <c r="B42" s="151">
        <v>227536540</v>
      </c>
      <c r="C42" s="151">
        <v>224963820</v>
      </c>
      <c r="D42" s="151">
        <v>83217570</v>
      </c>
      <c r="E42" s="151">
        <f t="shared" si="0"/>
        <v>535717930</v>
      </c>
      <c r="F42" s="151">
        <f>'- 55 -'!C42</f>
        <v>7521239</v>
      </c>
      <c r="G42" s="238">
        <f t="shared" si="5"/>
        <v>14.03955062695027</v>
      </c>
      <c r="I42" s="234" t="str">
        <f t="shared" si="1"/>
        <v xml:space="preserve"> TURTLE MOUNTAIN</v>
      </c>
      <c r="J42" s="5">
        <f t="shared" si="2"/>
        <v>12.025742958250314</v>
      </c>
      <c r="M42" s="510"/>
    </row>
    <row r="43" spans="1:13" ht="14.1" customHeight="1" x14ac:dyDescent="0.2">
      <c r="A43" s="354" t="s">
        <v>141</v>
      </c>
      <c r="B43" s="352">
        <v>241639700</v>
      </c>
      <c r="C43" s="352">
        <v>277969630</v>
      </c>
      <c r="D43" s="352">
        <v>65900690</v>
      </c>
      <c r="E43" s="352">
        <f t="shared" si="0"/>
        <v>585510020</v>
      </c>
      <c r="F43" s="352">
        <f>'- 55 -'!C43</f>
        <v>7041193</v>
      </c>
      <c r="G43" s="353">
        <f t="shared" si="5"/>
        <v>12.025742958250314</v>
      </c>
      <c r="I43" s="234" t="str">
        <f t="shared" si="1"/>
        <v xml:space="preserve"> TURTLE RIVER</v>
      </c>
      <c r="J43" s="5">
        <f t="shared" si="2"/>
        <v>16.431144694325873</v>
      </c>
      <c r="M43" s="510"/>
    </row>
    <row r="44" spans="1:13" ht="14.1" customHeight="1" x14ac:dyDescent="0.2">
      <c r="A44" s="237" t="s">
        <v>142</v>
      </c>
      <c r="B44" s="151">
        <v>97068930</v>
      </c>
      <c r="C44" s="151">
        <v>93054590</v>
      </c>
      <c r="D44" s="151">
        <v>13733610</v>
      </c>
      <c r="E44" s="151">
        <f t="shared" si="0"/>
        <v>203857130</v>
      </c>
      <c r="F44" s="151">
        <f>'- 55 -'!C44</f>
        <v>3349606</v>
      </c>
      <c r="G44" s="238">
        <f t="shared" si="5"/>
        <v>16.431144694325873</v>
      </c>
      <c r="I44" s="234" t="str">
        <f t="shared" si="1"/>
        <v xml:space="preserve"> WESTERN</v>
      </c>
      <c r="J44" s="5">
        <f t="shared" si="2"/>
        <v>16.605961149875736</v>
      </c>
      <c r="M44" s="510"/>
    </row>
    <row r="45" spans="1:13" ht="14.1" customHeight="1" x14ac:dyDescent="0.2">
      <c r="A45" s="354" t="s">
        <v>143</v>
      </c>
      <c r="B45" s="352">
        <v>343279420</v>
      </c>
      <c r="C45" s="352">
        <v>92126230</v>
      </c>
      <c r="D45" s="352">
        <v>100210140</v>
      </c>
      <c r="E45" s="352">
        <f t="shared" si="0"/>
        <v>535615790</v>
      </c>
      <c r="F45" s="352">
        <f>'- 55 -'!C45</f>
        <v>8894415</v>
      </c>
      <c r="G45" s="353">
        <f t="shared" si="5"/>
        <v>16.605961149875736</v>
      </c>
      <c r="I45" s="234" t="str">
        <f>A46</f>
        <v xml:space="preserve"> WINNIPEG</v>
      </c>
      <c r="J45" s="5">
        <f>G46</f>
        <v>15.031143382924444</v>
      </c>
      <c r="M45" s="510"/>
    </row>
    <row r="46" spans="1:13" ht="14.1" customHeight="1" x14ac:dyDescent="0.2">
      <c r="A46" s="237" t="s">
        <v>144</v>
      </c>
      <c r="B46" s="151">
        <v>7158088140</v>
      </c>
      <c r="C46" s="151">
        <v>4770880</v>
      </c>
      <c r="D46" s="151">
        <v>4703746830</v>
      </c>
      <c r="E46" s="151">
        <f t="shared" si="0"/>
        <v>11866605850</v>
      </c>
      <c r="F46" s="151">
        <f>'- 55 -'!C46</f>
        <v>178368654</v>
      </c>
      <c r="G46" s="238">
        <f t="shared" si="5"/>
        <v>15.031143382924444</v>
      </c>
      <c r="M46" s="510"/>
    </row>
    <row r="47" spans="1:13" ht="5.0999999999999996" customHeight="1" x14ac:dyDescent="0.2">
      <c r="A47" s="130"/>
      <c r="B47" s="152"/>
      <c r="C47" s="152"/>
      <c r="D47" s="152"/>
      <c r="E47" s="152"/>
      <c r="F47" s="152"/>
      <c r="G47" s="240"/>
      <c r="M47" s="510"/>
    </row>
    <row r="48" spans="1:13" ht="14.1" customHeight="1" x14ac:dyDescent="0.2">
      <c r="A48" s="355" t="s">
        <v>228</v>
      </c>
      <c r="B48" s="356">
        <f>SUM(B11:B46)</f>
        <v>48852145280</v>
      </c>
      <c r="C48" s="356">
        <f>SUM(C11:C46)</f>
        <v>7096936540</v>
      </c>
      <c r="D48" s="356">
        <f>SUM(D11:D46)</f>
        <v>16913453740</v>
      </c>
      <c r="E48" s="356">
        <f>SUM(E11:E46)</f>
        <v>72862535560</v>
      </c>
      <c r="F48" s="356">
        <f>SUM(F11:F46)</f>
        <v>1006946419</v>
      </c>
      <c r="G48" s="357">
        <f>F48/E48*1000</f>
        <v>13.819810294287814</v>
      </c>
      <c r="M48" s="510"/>
    </row>
    <row r="49" spans="1:10" ht="5.0999999999999996" customHeight="1" x14ac:dyDescent="0.2">
      <c r="A49" s="130"/>
      <c r="B49" s="152"/>
      <c r="C49" s="152"/>
      <c r="D49" s="152"/>
      <c r="E49" s="152"/>
      <c r="F49" s="152"/>
      <c r="G49" s="152"/>
    </row>
    <row r="50" spans="1:10" ht="14.1" customHeight="1" x14ac:dyDescent="0.2">
      <c r="A50" s="237" t="s">
        <v>229</v>
      </c>
      <c r="B50" s="151">
        <v>65272350</v>
      </c>
      <c r="C50" s="151">
        <v>383760</v>
      </c>
      <c r="D50" s="151">
        <v>4051520</v>
      </c>
      <c r="E50" s="151">
        <f>SUM(B50:D50)</f>
        <v>69707630</v>
      </c>
      <c r="F50" s="152"/>
      <c r="G50" s="152"/>
    </row>
    <row r="51" spans="1:10" ht="14.1" customHeight="1" x14ac:dyDescent="0.2">
      <c r="A51" s="354" t="s">
        <v>230</v>
      </c>
      <c r="B51" s="352">
        <v>19136540</v>
      </c>
      <c r="C51" s="352">
        <v>15114140</v>
      </c>
      <c r="D51" s="352">
        <v>54039260</v>
      </c>
      <c r="E51" s="352">
        <f>SUM(B51:D51)</f>
        <v>88289940</v>
      </c>
      <c r="F51" s="152"/>
      <c r="G51" s="241"/>
    </row>
    <row r="52" spans="1:10" ht="5.0999999999999996" customHeight="1" x14ac:dyDescent="0.2">
      <c r="A52" s="130"/>
      <c r="B52" s="152"/>
      <c r="C52" s="152"/>
      <c r="D52" s="152"/>
      <c r="E52" s="152"/>
      <c r="F52" s="152"/>
      <c r="G52" s="152"/>
    </row>
    <row r="53" spans="1:10" ht="14.1" customHeight="1" x14ac:dyDescent="0.2">
      <c r="A53" s="355" t="s">
        <v>145</v>
      </c>
      <c r="B53" s="356">
        <f>SUM(B48,B50:B51)</f>
        <v>48936554170</v>
      </c>
      <c r="C53" s="356">
        <f>SUM(C48,C50:C51)</f>
        <v>7112434440</v>
      </c>
      <c r="D53" s="356">
        <f>SUM(D48,D50:D51)</f>
        <v>16971544520</v>
      </c>
      <c r="E53" s="356">
        <f>SUM(E48,E50:E51)</f>
        <v>73020533130</v>
      </c>
      <c r="F53" s="152"/>
      <c r="G53" s="241"/>
    </row>
    <row r="54" spans="1:10" ht="50.1" customHeight="1" x14ac:dyDescent="0.2">
      <c r="A54" s="23"/>
      <c r="B54" s="23"/>
      <c r="C54" s="23"/>
      <c r="D54" s="23"/>
      <c r="E54" s="23"/>
      <c r="F54" s="23"/>
      <c r="G54" s="23"/>
    </row>
    <row r="55" spans="1:10" ht="15" customHeight="1" x14ac:dyDescent="0.2">
      <c r="A55" s="614" t="s">
        <v>649</v>
      </c>
      <c r="B55" s="614"/>
      <c r="C55" s="614"/>
      <c r="D55" s="614"/>
      <c r="E55" s="614"/>
      <c r="F55" s="614"/>
      <c r="G55" s="614"/>
      <c r="H55" s="38"/>
      <c r="I55" s="38"/>
      <c r="J55" s="38"/>
    </row>
    <row r="56" spans="1:10" ht="12" customHeight="1" x14ac:dyDescent="0.2">
      <c r="A56" s="615"/>
      <c r="B56" s="615"/>
      <c r="C56" s="615"/>
      <c r="D56" s="615"/>
      <c r="E56" s="615"/>
      <c r="F56" s="615"/>
      <c r="G56" s="615"/>
      <c r="H56" s="38"/>
      <c r="I56" s="38"/>
      <c r="J56" s="38"/>
    </row>
    <row r="57" spans="1:10" ht="12" customHeight="1" x14ac:dyDescent="0.2">
      <c r="A57" s="2" t="s">
        <v>356</v>
      </c>
      <c r="B57" s="38"/>
      <c r="C57" s="38"/>
      <c r="D57" s="38"/>
      <c r="E57" s="38"/>
      <c r="F57" s="38"/>
      <c r="G57" s="38"/>
      <c r="H57" s="38"/>
      <c r="I57" s="38"/>
      <c r="J57" s="38"/>
    </row>
  </sheetData>
  <mergeCells count="5">
    <mergeCell ref="A55:G56"/>
    <mergeCell ref="F8:F9"/>
    <mergeCell ref="G7:G9"/>
    <mergeCell ref="C7:C9"/>
    <mergeCell ref="B7:B9"/>
  </mergeCells>
  <phoneticPr fontId="0" type="noConversion"/>
  <pageMargins left="0.51181102362204722" right="0.51181102362204722" top="0.59055118110236227" bottom="0.19685039370078741" header="0.31496062992125984" footer="0.51181102362204722"/>
  <pageSetup scale="86" orientation="portrait" r:id="rId1"/>
  <headerFooter alignWithMargins="0">
    <oddHeader>&amp;C&amp;"Arial,Regular"&amp;11&amp;A</oddHeader>
  </headerFooter>
  <legacy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pageSetUpPr fitToPage="1"/>
  </sheetPr>
  <dimension ref="A1:F58"/>
  <sheetViews>
    <sheetView showGridLines="0" showZeros="0" workbookViewId="0"/>
  </sheetViews>
  <sheetFormatPr defaultColWidth="13.6640625" defaultRowHeight="12" x14ac:dyDescent="0.2"/>
  <cols>
    <col min="1" max="1" width="37.5" style="2" customWidth="1"/>
    <col min="2" max="2" width="22" style="2" customWidth="1"/>
    <col min="3" max="4" width="22.5" style="2" customWidth="1"/>
    <col min="5" max="5" width="14.33203125" style="2" customWidth="1"/>
    <col min="6" max="6" width="19.6640625" style="2" customWidth="1"/>
    <col min="7" max="16384" width="13.6640625" style="2"/>
  </cols>
  <sheetData>
    <row r="1" spans="1:6" ht="6.95" customHeight="1" x14ac:dyDescent="0.2">
      <c r="A1" s="509"/>
      <c r="B1" s="23"/>
      <c r="C1" s="23"/>
      <c r="D1" s="23"/>
      <c r="E1" s="23"/>
      <c r="F1" s="23"/>
    </row>
    <row r="2" spans="1:6" ht="15.95" customHeight="1" x14ac:dyDescent="0.2">
      <c r="A2" s="731" t="s">
        <v>328</v>
      </c>
      <c r="B2" s="731"/>
      <c r="C2" s="731"/>
      <c r="D2" s="731"/>
      <c r="E2" s="731"/>
      <c r="F2" s="731"/>
    </row>
    <row r="3" spans="1:6" ht="21" customHeight="1" x14ac:dyDescent="0.2">
      <c r="A3" s="233" t="str">
        <f>+'- 53 -'!A3</f>
        <v>FOR THE 2017 TAXATION YEAR</v>
      </c>
      <c r="B3" s="225"/>
      <c r="C3" s="225"/>
      <c r="D3" s="225"/>
      <c r="E3" s="235"/>
      <c r="F3" s="235"/>
    </row>
    <row r="4" spans="1:6" ht="14.25" customHeight="1" x14ac:dyDescent="0.2">
      <c r="B4" s="8"/>
      <c r="C4" s="8"/>
      <c r="D4" s="8"/>
    </row>
    <row r="5" spans="1:6" ht="15.95" customHeight="1" x14ac:dyDescent="0.2">
      <c r="B5" s="8"/>
      <c r="C5" s="8"/>
      <c r="D5" s="8"/>
    </row>
    <row r="6" spans="1:6" ht="15.95" customHeight="1" x14ac:dyDescent="0.2">
      <c r="B6" s="483"/>
      <c r="C6" s="483"/>
      <c r="D6" s="483"/>
    </row>
    <row r="7" spans="1:6" ht="15.95" customHeight="1" x14ac:dyDescent="0.2">
      <c r="B7" s="485"/>
      <c r="C7" s="486"/>
      <c r="D7" s="487"/>
    </row>
    <row r="8" spans="1:6" ht="15.95" customHeight="1" x14ac:dyDescent="0.2">
      <c r="A8" s="16"/>
      <c r="B8" s="778" t="s">
        <v>563</v>
      </c>
      <c r="C8" s="776" t="s">
        <v>562</v>
      </c>
      <c r="D8" s="776" t="s">
        <v>561</v>
      </c>
    </row>
    <row r="9" spans="1:6" ht="15.95" customHeight="1" x14ac:dyDescent="0.2">
      <c r="A9" s="17" t="s">
        <v>42</v>
      </c>
      <c r="B9" s="779"/>
      <c r="C9" s="777"/>
      <c r="D9" s="777"/>
    </row>
    <row r="10" spans="1:6" ht="5.0999999999999996" customHeight="1" x14ac:dyDescent="0.2">
      <c r="A10" s="18"/>
      <c r="B10" s="207"/>
      <c r="C10" s="207"/>
      <c r="D10" s="207"/>
    </row>
    <row r="11" spans="1:6" ht="14.1" customHeight="1" x14ac:dyDescent="0.2">
      <c r="A11" s="354" t="s">
        <v>110</v>
      </c>
      <c r="B11" s="352">
        <f>+Data!Y11</f>
        <v>9115279</v>
      </c>
      <c r="C11" s="352">
        <v>504331</v>
      </c>
      <c r="D11" s="352">
        <f>+Data!Z11</f>
        <v>8610948</v>
      </c>
    </row>
    <row r="12" spans="1:6" ht="14.1" customHeight="1" x14ac:dyDescent="0.2">
      <c r="A12" s="237" t="s">
        <v>111</v>
      </c>
      <c r="B12" s="151">
        <f>+Data!Y12</f>
        <v>18061667</v>
      </c>
      <c r="C12" s="151">
        <v>2736955</v>
      </c>
      <c r="D12" s="151">
        <f>+Data!Z12</f>
        <v>15324712</v>
      </c>
    </row>
    <row r="13" spans="1:6" ht="14.1" customHeight="1" x14ac:dyDescent="0.2">
      <c r="A13" s="354" t="s">
        <v>112</v>
      </c>
      <c r="B13" s="352">
        <f>+Data!Y13</f>
        <v>47942023</v>
      </c>
      <c r="C13" s="352">
        <v>1848013</v>
      </c>
      <c r="D13" s="352">
        <f>+Data!Z13</f>
        <v>46094010</v>
      </c>
    </row>
    <row r="14" spans="1:6" ht="14.1" customHeight="1" x14ac:dyDescent="0.2">
      <c r="A14" s="237" t="s">
        <v>359</v>
      </c>
      <c r="B14" s="151">
        <f>+Data!Y14</f>
        <v>0</v>
      </c>
      <c r="C14" s="151">
        <v>0</v>
      </c>
      <c r="D14" s="151">
        <f>+Data!Z14</f>
        <v>0</v>
      </c>
    </row>
    <row r="15" spans="1:6" ht="14.1" customHeight="1" x14ac:dyDescent="0.2">
      <c r="A15" s="354" t="s">
        <v>113</v>
      </c>
      <c r="B15" s="352">
        <f>+Data!Y15</f>
        <v>12110284</v>
      </c>
      <c r="C15" s="352">
        <v>1595317</v>
      </c>
      <c r="D15" s="352">
        <f>+Data!Z15</f>
        <v>10514967</v>
      </c>
    </row>
    <row r="16" spans="1:6" ht="14.1" customHeight="1" x14ac:dyDescent="0.2">
      <c r="A16" s="237" t="s">
        <v>114</v>
      </c>
      <c r="B16" s="151">
        <f>+Data!Y16</f>
        <v>5073713</v>
      </c>
      <c r="C16" s="151">
        <v>752713</v>
      </c>
      <c r="D16" s="151">
        <f>+Data!Z16</f>
        <v>4321000</v>
      </c>
    </row>
    <row r="17" spans="1:4" ht="14.1" customHeight="1" x14ac:dyDescent="0.2">
      <c r="A17" s="354" t="s">
        <v>115</v>
      </c>
      <c r="B17" s="352">
        <f>+Data!Y17</f>
        <v>9469638</v>
      </c>
      <c r="C17" s="352">
        <v>487785</v>
      </c>
      <c r="D17" s="352">
        <f>+Data!Z17</f>
        <v>8981853</v>
      </c>
    </row>
    <row r="18" spans="1:4" ht="14.1" customHeight="1" x14ac:dyDescent="0.2">
      <c r="A18" s="237" t="s">
        <v>116</v>
      </c>
      <c r="B18" s="151">
        <f>+Data!Y18</f>
        <v>3603882</v>
      </c>
      <c r="C18" s="151">
        <v>318474</v>
      </c>
      <c r="D18" s="151">
        <f>+Data!Z18</f>
        <v>3285408</v>
      </c>
    </row>
    <row r="19" spans="1:4" ht="14.1" customHeight="1" x14ac:dyDescent="0.2">
      <c r="A19" s="354" t="s">
        <v>117</v>
      </c>
      <c r="B19" s="352">
        <f>+Data!Y19</f>
        <v>19108368</v>
      </c>
      <c r="C19" s="352">
        <v>646173</v>
      </c>
      <c r="D19" s="352">
        <f>+Data!Z19</f>
        <v>18462195</v>
      </c>
    </row>
    <row r="20" spans="1:4" ht="14.1" customHeight="1" x14ac:dyDescent="0.2">
      <c r="A20" s="237" t="s">
        <v>118</v>
      </c>
      <c r="B20" s="151">
        <f>+Data!Y20</f>
        <v>33997050</v>
      </c>
      <c r="C20" s="151">
        <v>1508126</v>
      </c>
      <c r="D20" s="151">
        <f>+Data!Z20</f>
        <v>32488924</v>
      </c>
    </row>
    <row r="21" spans="1:4" ht="14.1" customHeight="1" x14ac:dyDescent="0.2">
      <c r="A21" s="354" t="s">
        <v>119</v>
      </c>
      <c r="B21" s="352">
        <f>+Data!Y21</f>
        <v>19356720</v>
      </c>
      <c r="C21" s="352">
        <v>1289551</v>
      </c>
      <c r="D21" s="352">
        <f>+Data!Z21</f>
        <v>18067169</v>
      </c>
    </row>
    <row r="22" spans="1:4" ht="14.1" customHeight="1" x14ac:dyDescent="0.2">
      <c r="A22" s="237" t="s">
        <v>120</v>
      </c>
      <c r="B22" s="151">
        <f>+Data!Y22</f>
        <v>4866303</v>
      </c>
      <c r="C22" s="151">
        <v>309407</v>
      </c>
      <c r="D22" s="151">
        <f>+Data!Z22</f>
        <v>4556896</v>
      </c>
    </row>
    <row r="23" spans="1:4" ht="14.1" customHeight="1" x14ac:dyDescent="0.2">
      <c r="A23" s="354" t="s">
        <v>121</v>
      </c>
      <c r="B23" s="352">
        <f>+Data!Y23</f>
        <v>5113716</v>
      </c>
      <c r="C23" s="352">
        <v>440073</v>
      </c>
      <c r="D23" s="352">
        <f>+Data!Z23</f>
        <v>4673643</v>
      </c>
    </row>
    <row r="24" spans="1:4" ht="14.1" customHeight="1" x14ac:dyDescent="0.2">
      <c r="A24" s="237" t="s">
        <v>122</v>
      </c>
      <c r="B24" s="151">
        <f>+Data!Y24</f>
        <v>32182749</v>
      </c>
      <c r="C24" s="151">
        <v>2692903</v>
      </c>
      <c r="D24" s="151">
        <f>+Data!Z24</f>
        <v>29489846</v>
      </c>
    </row>
    <row r="25" spans="1:4" ht="14.1" customHeight="1" x14ac:dyDescent="0.2">
      <c r="A25" s="354" t="s">
        <v>123</v>
      </c>
      <c r="B25" s="352">
        <f>+Data!Y25</f>
        <v>108343645</v>
      </c>
      <c r="C25" s="352">
        <v>6541003</v>
      </c>
      <c r="D25" s="352">
        <f>+Data!Z25</f>
        <v>101802642</v>
      </c>
    </row>
    <row r="26" spans="1:4" ht="14.1" customHeight="1" x14ac:dyDescent="0.2">
      <c r="A26" s="237" t="s">
        <v>124</v>
      </c>
      <c r="B26" s="151">
        <f>+Data!Y26</f>
        <v>16601876</v>
      </c>
      <c r="C26" s="151">
        <v>690360</v>
      </c>
      <c r="D26" s="151">
        <f>+Data!Z26</f>
        <v>15911516</v>
      </c>
    </row>
    <row r="27" spans="1:4" ht="14.1" customHeight="1" x14ac:dyDescent="0.2">
      <c r="A27" s="354" t="s">
        <v>125</v>
      </c>
      <c r="B27" s="352">
        <f>+Data!Y27</f>
        <v>9784027</v>
      </c>
      <c r="C27" s="352">
        <v>1086050</v>
      </c>
      <c r="D27" s="352">
        <f>+Data!Z27</f>
        <v>8697977</v>
      </c>
    </row>
    <row r="28" spans="1:4" ht="14.1" customHeight="1" x14ac:dyDescent="0.2">
      <c r="A28" s="237" t="s">
        <v>126</v>
      </c>
      <c r="B28" s="151">
        <f>+Data!Y28</f>
        <v>10363375</v>
      </c>
      <c r="C28" s="151">
        <v>817353</v>
      </c>
      <c r="D28" s="151">
        <f>+Data!Z28</f>
        <v>9546022</v>
      </c>
    </row>
    <row r="29" spans="1:4" ht="14.1" customHeight="1" x14ac:dyDescent="0.2">
      <c r="A29" s="354" t="s">
        <v>127</v>
      </c>
      <c r="B29" s="352">
        <f>+Data!Y29</f>
        <v>104583716</v>
      </c>
      <c r="C29" s="352">
        <v>4859689</v>
      </c>
      <c r="D29" s="352">
        <f>+Data!Z29</f>
        <v>99724027</v>
      </c>
    </row>
    <row r="30" spans="1:4" ht="14.1" customHeight="1" x14ac:dyDescent="0.2">
      <c r="A30" s="237" t="s">
        <v>128</v>
      </c>
      <c r="B30" s="151">
        <f>+Data!Y30</f>
        <v>7466682</v>
      </c>
      <c r="C30" s="151">
        <v>332215</v>
      </c>
      <c r="D30" s="151">
        <f>+Data!Z30</f>
        <v>7134467</v>
      </c>
    </row>
    <row r="31" spans="1:4" ht="14.1" customHeight="1" x14ac:dyDescent="0.2">
      <c r="A31" s="354" t="s">
        <v>129</v>
      </c>
      <c r="B31" s="352">
        <f>+Data!Y31</f>
        <v>18223533</v>
      </c>
      <c r="C31" s="352">
        <v>523036</v>
      </c>
      <c r="D31" s="352">
        <f>+Data!Z31</f>
        <v>17700497</v>
      </c>
    </row>
    <row r="32" spans="1:4" ht="14.1" customHeight="1" x14ac:dyDescent="0.2">
      <c r="A32" s="237" t="s">
        <v>130</v>
      </c>
      <c r="B32" s="151">
        <f>+Data!Y32</f>
        <v>17585611</v>
      </c>
      <c r="C32" s="151">
        <v>1153109</v>
      </c>
      <c r="D32" s="151">
        <f>+Data!Z32</f>
        <v>16432502</v>
      </c>
    </row>
    <row r="33" spans="1:4" ht="14.1" customHeight="1" x14ac:dyDescent="0.2">
      <c r="A33" s="354" t="s">
        <v>131</v>
      </c>
      <c r="B33" s="352">
        <f>+Data!Y33</f>
        <v>15048704</v>
      </c>
      <c r="C33" s="352">
        <v>893985</v>
      </c>
      <c r="D33" s="352">
        <f>+Data!Z33</f>
        <v>14154719</v>
      </c>
    </row>
    <row r="34" spans="1:4" ht="14.1" customHeight="1" x14ac:dyDescent="0.2">
      <c r="A34" s="237" t="s">
        <v>132</v>
      </c>
      <c r="B34" s="151">
        <f>+Data!Y34</f>
        <v>20399322</v>
      </c>
      <c r="C34" s="151">
        <v>869876</v>
      </c>
      <c r="D34" s="151">
        <f>+Data!Z34</f>
        <v>19529446</v>
      </c>
    </row>
    <row r="35" spans="1:4" ht="14.1" customHeight="1" x14ac:dyDescent="0.2">
      <c r="A35" s="354" t="s">
        <v>133</v>
      </c>
      <c r="B35" s="352">
        <f>+Data!Y35</f>
        <v>89420993</v>
      </c>
      <c r="C35" s="352">
        <v>1490523</v>
      </c>
      <c r="D35" s="352">
        <f>+Data!Z35</f>
        <v>87930470</v>
      </c>
    </row>
    <row r="36" spans="1:4" ht="14.1" customHeight="1" x14ac:dyDescent="0.2">
      <c r="A36" s="237" t="s">
        <v>134</v>
      </c>
      <c r="B36" s="151">
        <f>+Data!Y36</f>
        <v>12028853</v>
      </c>
      <c r="C36" s="151">
        <v>763891</v>
      </c>
      <c r="D36" s="151">
        <f>+Data!Z36</f>
        <v>11264962</v>
      </c>
    </row>
    <row r="37" spans="1:4" ht="14.1" customHeight="1" x14ac:dyDescent="0.2">
      <c r="A37" s="354" t="s">
        <v>135</v>
      </c>
      <c r="B37" s="352">
        <f>+Data!Y37</f>
        <v>27721472</v>
      </c>
      <c r="C37" s="352">
        <v>2579094</v>
      </c>
      <c r="D37" s="352">
        <f>+Data!Z37</f>
        <v>25142378</v>
      </c>
    </row>
    <row r="38" spans="1:4" ht="14.1" customHeight="1" x14ac:dyDescent="0.2">
      <c r="A38" s="237" t="s">
        <v>136</v>
      </c>
      <c r="B38" s="151">
        <f>+Data!Y38</f>
        <v>59631124</v>
      </c>
      <c r="C38" s="151">
        <v>5363834</v>
      </c>
      <c r="D38" s="151">
        <f>+Data!Z38</f>
        <v>54267290</v>
      </c>
    </row>
    <row r="39" spans="1:4" ht="14.1" customHeight="1" x14ac:dyDescent="0.2">
      <c r="A39" s="354" t="s">
        <v>137</v>
      </c>
      <c r="B39" s="352">
        <f>+Data!Y39</f>
        <v>13563932</v>
      </c>
      <c r="C39" s="352">
        <v>758456</v>
      </c>
      <c r="D39" s="352">
        <f>+Data!Z39</f>
        <v>12805476</v>
      </c>
    </row>
    <row r="40" spans="1:4" ht="14.1" customHeight="1" x14ac:dyDescent="0.2">
      <c r="A40" s="237" t="s">
        <v>138</v>
      </c>
      <c r="B40" s="151">
        <f>+Data!Y40</f>
        <v>63088584</v>
      </c>
      <c r="C40" s="151">
        <v>3480523</v>
      </c>
      <c r="D40" s="151">
        <f>+Data!Z40</f>
        <v>59608061</v>
      </c>
    </row>
    <row r="41" spans="1:4" ht="14.1" customHeight="1" x14ac:dyDescent="0.2">
      <c r="A41" s="354" t="s">
        <v>139</v>
      </c>
      <c r="B41" s="352">
        <f>+Data!Y41</f>
        <v>38226986</v>
      </c>
      <c r="C41" s="352">
        <v>2979697</v>
      </c>
      <c r="D41" s="352">
        <f>+Data!Z41</f>
        <v>35247289</v>
      </c>
    </row>
    <row r="42" spans="1:4" ht="14.1" customHeight="1" x14ac:dyDescent="0.2">
      <c r="A42" s="237" t="s">
        <v>140</v>
      </c>
      <c r="B42" s="151">
        <f>+Data!Y42</f>
        <v>8577736</v>
      </c>
      <c r="C42" s="151">
        <v>1056497</v>
      </c>
      <c r="D42" s="151">
        <f>+Data!Z42</f>
        <v>7521239</v>
      </c>
    </row>
    <row r="43" spans="1:4" ht="14.1" customHeight="1" x14ac:dyDescent="0.2">
      <c r="A43" s="354" t="s">
        <v>141</v>
      </c>
      <c r="B43" s="352">
        <f>+Data!Y43</f>
        <v>7041193</v>
      </c>
      <c r="C43" s="352">
        <v>0</v>
      </c>
      <c r="D43" s="352">
        <f>+Data!Z43</f>
        <v>7041193</v>
      </c>
    </row>
    <row r="44" spans="1:4" ht="14.1" customHeight="1" x14ac:dyDescent="0.2">
      <c r="A44" s="237" t="s">
        <v>142</v>
      </c>
      <c r="B44" s="151">
        <f>+Data!Y44</f>
        <v>3818525</v>
      </c>
      <c r="C44" s="151">
        <v>468919</v>
      </c>
      <c r="D44" s="151">
        <f>+Data!Z44</f>
        <v>3349606</v>
      </c>
    </row>
    <row r="45" spans="1:4" ht="14.1" customHeight="1" x14ac:dyDescent="0.2">
      <c r="A45" s="354" t="s">
        <v>143</v>
      </c>
      <c r="B45" s="352">
        <f>+Data!Y45</f>
        <v>8894415</v>
      </c>
      <c r="C45" s="352">
        <v>0</v>
      </c>
      <c r="D45" s="352">
        <f>+Data!Z45</f>
        <v>8894415</v>
      </c>
    </row>
    <row r="46" spans="1:4" ht="14.1" customHeight="1" x14ac:dyDescent="0.2">
      <c r="A46" s="237" t="s">
        <v>144</v>
      </c>
      <c r="B46" s="151">
        <f>+Data!Y46</f>
        <v>187949050</v>
      </c>
      <c r="C46" s="151">
        <v>9580396</v>
      </c>
      <c r="D46" s="151">
        <f>+Data!Z46</f>
        <v>178368654</v>
      </c>
    </row>
    <row r="47" spans="1:4" ht="5.0999999999999996" customHeight="1" x14ac:dyDescent="0.2">
      <c r="A47" s="130"/>
      <c r="B47" s="152"/>
      <c r="C47" s="152"/>
      <c r="D47" s="152"/>
    </row>
    <row r="48" spans="1:4" ht="14.1" customHeight="1" x14ac:dyDescent="0.2">
      <c r="A48" s="355" t="s">
        <v>145</v>
      </c>
      <c r="B48" s="356">
        <f>SUM(B11:B47)</f>
        <v>1068364746</v>
      </c>
      <c r="C48" s="356">
        <f t="shared" ref="C48" si="0">SUM(C11:C46)</f>
        <v>61418327</v>
      </c>
      <c r="D48" s="356">
        <f>SUM(D11:D47)</f>
        <v>1006946419</v>
      </c>
    </row>
    <row r="49" spans="1:6" s="184" customFormat="1" ht="53.25" customHeight="1" x14ac:dyDescent="0.2">
      <c r="A49" s="484"/>
      <c r="B49" s="484"/>
      <c r="C49" s="484"/>
      <c r="D49" s="484"/>
      <c r="E49" s="23"/>
      <c r="F49" s="23"/>
    </row>
    <row r="50" spans="1:6" s="184" customFormat="1" ht="15" customHeight="1" x14ac:dyDescent="0.2">
      <c r="A50" s="661" t="s">
        <v>647</v>
      </c>
      <c r="B50" s="661"/>
      <c r="C50" s="661"/>
      <c r="D50" s="661"/>
      <c r="E50" s="661"/>
      <c r="F50" s="661"/>
    </row>
    <row r="51" spans="1:6" ht="12" customHeight="1" x14ac:dyDescent="0.2">
      <c r="A51" s="780"/>
      <c r="B51" s="780"/>
      <c r="C51" s="780"/>
      <c r="D51" s="780"/>
      <c r="E51" s="780"/>
      <c r="F51" s="780"/>
    </row>
    <row r="52" spans="1:6" ht="11.25" customHeight="1" x14ac:dyDescent="0.2">
      <c r="A52" s="780"/>
      <c r="B52" s="780"/>
      <c r="C52" s="780"/>
      <c r="D52" s="780"/>
      <c r="E52" s="780"/>
      <c r="F52" s="780"/>
    </row>
    <row r="53" spans="1:6" ht="14.45" customHeight="1" x14ac:dyDescent="0.2"/>
    <row r="54" spans="1:6" ht="14.45" customHeight="1" x14ac:dyDescent="0.2"/>
    <row r="55" spans="1:6" ht="14.45" customHeight="1" x14ac:dyDescent="0.2"/>
    <row r="56" spans="1:6" ht="14.45" customHeight="1" x14ac:dyDescent="0.2"/>
    <row r="57" spans="1:6" ht="14.45" customHeight="1" x14ac:dyDescent="0.2"/>
    <row r="58" spans="1:6" ht="14.45" customHeight="1" x14ac:dyDescent="0.2"/>
  </sheetData>
  <mergeCells count="5">
    <mergeCell ref="A2:F2"/>
    <mergeCell ref="D8:D9"/>
    <mergeCell ref="C8:C9"/>
    <mergeCell ref="B8:B9"/>
    <mergeCell ref="A50:F52"/>
  </mergeCells>
  <phoneticPr fontId="0" type="noConversion"/>
  <printOptions horizontalCentered="1"/>
  <pageMargins left="0.5" right="0.511811023622047" top="0.59055118110236204" bottom="0" header="0.31496062992126" footer="0"/>
  <pageSetup scale="85" orientation="portrait" r:id="rId1"/>
  <headerFooter alignWithMargins="0">
    <oddHeader>&amp;C&amp;"Arial,Regular"&amp;11 &amp;A</oddHead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F52"/>
  <sheetViews>
    <sheetView showGridLines="0" showZeros="0" workbookViewId="0"/>
  </sheetViews>
  <sheetFormatPr defaultColWidth="15.83203125" defaultRowHeight="12" x14ac:dyDescent="0.2"/>
  <cols>
    <col min="1" max="1" width="35.83203125" style="2" customWidth="1"/>
    <col min="2" max="3" width="21.83203125" style="2" customWidth="1"/>
    <col min="4" max="4" width="23.83203125" style="2" customWidth="1"/>
    <col min="5" max="5" width="2.83203125" style="2" customWidth="1"/>
    <col min="6" max="6" width="27.83203125" style="2" customWidth="1"/>
    <col min="7" max="19" width="15.83203125" style="2"/>
    <col min="20" max="20" width="21" style="2" bestFit="1" customWidth="1"/>
    <col min="21" max="21" width="15" style="2" bestFit="1" customWidth="1"/>
    <col min="22" max="16384" width="15.83203125" style="2"/>
  </cols>
  <sheetData>
    <row r="1" spans="1:6" ht="6.95" customHeight="1" x14ac:dyDescent="0.2">
      <c r="A1" s="7"/>
    </row>
    <row r="2" spans="1:6" ht="15.95" customHeight="1" x14ac:dyDescent="0.2">
      <c r="A2" s="399"/>
      <c r="B2" s="208" t="s">
        <v>225</v>
      </c>
      <c r="C2" s="209"/>
      <c r="D2" s="209"/>
      <c r="E2" s="210"/>
      <c r="F2" s="210"/>
    </row>
    <row r="3" spans="1:6" ht="15.95" customHeight="1" x14ac:dyDescent="0.2">
      <c r="A3" s="539"/>
      <c r="B3" s="391" t="str">
        <f>TAXYEAR</f>
        <v>FOR THE 2017 TAXATION YEAR</v>
      </c>
      <c r="C3" s="390"/>
      <c r="D3" s="390"/>
      <c r="E3" s="398"/>
      <c r="F3" s="398"/>
    </row>
    <row r="4" spans="1:6" ht="15.95" customHeight="1" x14ac:dyDescent="0.2">
      <c r="B4"/>
      <c r="C4" s="8"/>
      <c r="D4" s="8"/>
      <c r="E4" s="8"/>
      <c r="F4" s="8"/>
    </row>
    <row r="5" spans="1:6" ht="15.95" customHeight="1" x14ac:dyDescent="0.2">
      <c r="B5"/>
      <c r="C5" s="8"/>
      <c r="D5" s="8"/>
      <c r="E5" s="8"/>
      <c r="F5" s="8"/>
    </row>
    <row r="6" spans="1:6" ht="15.95" customHeight="1" x14ac:dyDescent="0.2">
      <c r="B6"/>
      <c r="C6" s="8"/>
      <c r="D6" s="8"/>
      <c r="E6" s="8"/>
      <c r="F6" s="8"/>
    </row>
    <row r="7" spans="1:6" ht="15.95" customHeight="1" x14ac:dyDescent="0.2">
      <c r="B7" s="758" t="s">
        <v>564</v>
      </c>
      <c r="C7" s="556"/>
      <c r="D7" s="358"/>
      <c r="E7" s="8"/>
      <c r="F7" s="629" t="s">
        <v>565</v>
      </c>
    </row>
    <row r="8" spans="1:6" ht="15.95" customHeight="1" x14ac:dyDescent="0.2">
      <c r="A8" s="566"/>
      <c r="B8" s="730"/>
      <c r="C8" s="565"/>
      <c r="D8" s="359"/>
      <c r="E8" s="8"/>
      <c r="F8" s="727"/>
    </row>
    <row r="9" spans="1:6" ht="15.95" customHeight="1" x14ac:dyDescent="0.2">
      <c r="A9" s="567" t="s">
        <v>42</v>
      </c>
      <c r="B9" s="635"/>
      <c r="C9" s="299" t="s">
        <v>69</v>
      </c>
      <c r="D9" s="307" t="s">
        <v>31</v>
      </c>
      <c r="E9" s="8"/>
      <c r="F9" s="728"/>
    </row>
    <row r="10" spans="1:6" ht="5.0999999999999996" customHeight="1" x14ac:dyDescent="0.2">
      <c r="A10" s="18"/>
      <c r="B10" s="207">
        <v>38577</v>
      </c>
      <c r="C10" s="207"/>
      <c r="D10" s="207"/>
      <c r="E10" s="207"/>
      <c r="F10" s="207"/>
    </row>
    <row r="11" spans="1:6" ht="14.1" customHeight="1" x14ac:dyDescent="0.2">
      <c r="A11" s="354" t="s">
        <v>110</v>
      </c>
      <c r="B11" s="352">
        <f>'- 51 -'!C11</f>
        <v>1583771.8050000002</v>
      </c>
      <c r="C11" s="352">
        <f>+Data!Z11</f>
        <v>8610948</v>
      </c>
      <c r="D11" s="352">
        <f t="shared" ref="D11:D46" si="0">SUM(B11,C11)</f>
        <v>10194719.805</v>
      </c>
      <c r="F11" s="352">
        <f>+Data!W11</f>
        <v>412611</v>
      </c>
    </row>
    <row r="12" spans="1:6" ht="14.1" customHeight="1" x14ac:dyDescent="0.2">
      <c r="A12" s="237" t="s">
        <v>111</v>
      </c>
      <c r="B12" s="151">
        <f>'- 51 -'!C12</f>
        <v>2164774.29</v>
      </c>
      <c r="C12" s="151">
        <f>+Data!Z12</f>
        <v>15324712</v>
      </c>
      <c r="D12" s="151">
        <f t="shared" si="0"/>
        <v>17489486.289999999</v>
      </c>
      <c r="F12" s="151">
        <f>+Data!W12</f>
        <v>440677</v>
      </c>
    </row>
    <row r="13" spans="1:6" ht="14.1" customHeight="1" x14ac:dyDescent="0.2">
      <c r="A13" s="354" t="s">
        <v>112</v>
      </c>
      <c r="B13" s="352">
        <f>'- 51 -'!C13</f>
        <v>9508097.7599999998</v>
      </c>
      <c r="C13" s="352">
        <f>+Data!Z13</f>
        <v>46094010</v>
      </c>
      <c r="D13" s="352">
        <f t="shared" si="0"/>
        <v>55602107.759999998</v>
      </c>
      <c r="F13" s="352">
        <f>+Data!W13</f>
        <v>368527</v>
      </c>
    </row>
    <row r="14" spans="1:6" ht="14.1" customHeight="1" x14ac:dyDescent="0.2">
      <c r="A14" s="237" t="s">
        <v>359</v>
      </c>
      <c r="B14" s="151">
        <f>'- 51 -'!C14</f>
        <v>0</v>
      </c>
      <c r="C14" s="151">
        <f>+Data!Z14</f>
        <v>0</v>
      </c>
      <c r="D14" s="151">
        <f t="shared" si="0"/>
        <v>0</v>
      </c>
      <c r="F14" s="151">
        <f>+Data!W14</f>
        <v>448183</v>
      </c>
    </row>
    <row r="15" spans="1:6" ht="14.1" customHeight="1" x14ac:dyDescent="0.2">
      <c r="A15" s="354" t="s">
        <v>113</v>
      </c>
      <c r="B15" s="352">
        <f>'- 51 -'!C15</f>
        <v>1286639.97</v>
      </c>
      <c r="C15" s="352">
        <f>+Data!Z15</f>
        <v>10514967</v>
      </c>
      <c r="D15" s="352">
        <f t="shared" si="0"/>
        <v>11801606.970000001</v>
      </c>
      <c r="F15" s="352">
        <f>+Data!W15</f>
        <v>678168</v>
      </c>
    </row>
    <row r="16" spans="1:6" ht="14.1" customHeight="1" x14ac:dyDescent="0.2">
      <c r="A16" s="237" t="s">
        <v>114</v>
      </c>
      <c r="B16" s="151">
        <f>'- 51 -'!C16</f>
        <v>367865.08500000002</v>
      </c>
      <c r="C16" s="151">
        <f>+Data!Z16</f>
        <v>4321000</v>
      </c>
      <c r="D16" s="151">
        <f t="shared" si="0"/>
        <v>4688865.085</v>
      </c>
      <c r="F16" s="151">
        <f>+Data!W16</f>
        <v>207103</v>
      </c>
    </row>
    <row r="17" spans="1:6" ht="14.1" customHeight="1" x14ac:dyDescent="0.2">
      <c r="A17" s="354" t="s">
        <v>115</v>
      </c>
      <c r="B17" s="352">
        <f>'- 51 -'!C17</f>
        <v>6219797.3250000002</v>
      </c>
      <c r="C17" s="352">
        <f>+Data!Z17</f>
        <v>8981853</v>
      </c>
      <c r="D17" s="352">
        <f t="shared" si="0"/>
        <v>15201650.324999999</v>
      </c>
      <c r="F17" s="352">
        <f>+Data!W17</f>
        <v>868924</v>
      </c>
    </row>
    <row r="18" spans="1:6" ht="14.1" customHeight="1" x14ac:dyDescent="0.2">
      <c r="A18" s="237" t="s">
        <v>116</v>
      </c>
      <c r="B18" s="151">
        <f>'- 51 -'!C18</f>
        <v>774472.8600000001</v>
      </c>
      <c r="C18" s="151">
        <f>+Data!Z18</f>
        <v>3285408</v>
      </c>
      <c r="D18" s="151">
        <f t="shared" si="0"/>
        <v>4059880.8600000003</v>
      </c>
      <c r="F18" s="151">
        <f>+Data!W18</f>
        <v>105285</v>
      </c>
    </row>
    <row r="19" spans="1:6" ht="14.1" customHeight="1" x14ac:dyDescent="0.2">
      <c r="A19" s="354" t="s">
        <v>117</v>
      </c>
      <c r="B19" s="352">
        <f>'- 51 -'!C19</f>
        <v>3233517.4200000004</v>
      </c>
      <c r="C19" s="352">
        <f>+Data!Z19</f>
        <v>18462195</v>
      </c>
      <c r="D19" s="352">
        <f t="shared" si="0"/>
        <v>21695712.420000002</v>
      </c>
      <c r="F19" s="352">
        <f>+Data!W19</f>
        <v>272222</v>
      </c>
    </row>
    <row r="20" spans="1:6" ht="14.1" customHeight="1" x14ac:dyDescent="0.2">
      <c r="A20" s="237" t="s">
        <v>118</v>
      </c>
      <c r="B20" s="151">
        <f>'- 51 -'!C20</f>
        <v>4375948.3950000005</v>
      </c>
      <c r="C20" s="151">
        <f>+Data!Z20</f>
        <v>32488924</v>
      </c>
      <c r="D20" s="151">
        <f t="shared" si="0"/>
        <v>36864872.395000003</v>
      </c>
      <c r="F20" s="151">
        <f>+Data!W20</f>
        <v>266510</v>
      </c>
    </row>
    <row r="21" spans="1:6" ht="14.1" customHeight="1" x14ac:dyDescent="0.2">
      <c r="A21" s="354" t="s">
        <v>119</v>
      </c>
      <c r="B21" s="352">
        <f>'- 51 -'!C21</f>
        <v>2918899.41</v>
      </c>
      <c r="C21" s="352">
        <f>+Data!Z21</f>
        <v>18067169</v>
      </c>
      <c r="D21" s="352">
        <f t="shared" si="0"/>
        <v>20986068.41</v>
      </c>
      <c r="F21" s="352">
        <f>+Data!W21</f>
        <v>467949</v>
      </c>
    </row>
    <row r="22" spans="1:6" ht="14.1" customHeight="1" x14ac:dyDescent="0.2">
      <c r="A22" s="237" t="s">
        <v>120</v>
      </c>
      <c r="B22" s="151">
        <f>'- 51 -'!C22</f>
        <v>701105.58000000007</v>
      </c>
      <c r="C22" s="151">
        <f>+Data!Z22</f>
        <v>4556896</v>
      </c>
      <c r="D22" s="151">
        <f t="shared" si="0"/>
        <v>5258001.58</v>
      </c>
      <c r="F22" s="151">
        <f>+Data!W22</f>
        <v>172842</v>
      </c>
    </row>
    <row r="23" spans="1:6" ht="14.1" customHeight="1" x14ac:dyDescent="0.2">
      <c r="A23" s="354" t="s">
        <v>121</v>
      </c>
      <c r="B23" s="352">
        <f>'- 51 -'!C23</f>
        <v>356751.88500000001</v>
      </c>
      <c r="C23" s="352">
        <f>+Data!Z23</f>
        <v>4673643</v>
      </c>
      <c r="D23" s="352">
        <f t="shared" si="0"/>
        <v>5030394.8849999998</v>
      </c>
      <c r="F23" s="352">
        <f>+Data!W23</f>
        <v>289162</v>
      </c>
    </row>
    <row r="24" spans="1:6" ht="14.1" customHeight="1" x14ac:dyDescent="0.2">
      <c r="A24" s="237" t="s">
        <v>122</v>
      </c>
      <c r="B24" s="151">
        <f>'- 51 -'!C24</f>
        <v>2657025.105</v>
      </c>
      <c r="C24" s="151">
        <f>+Data!Z24</f>
        <v>29489846</v>
      </c>
      <c r="D24" s="151">
        <f t="shared" si="0"/>
        <v>32146871.105</v>
      </c>
      <c r="F24" s="151">
        <f>+Data!W24</f>
        <v>524987</v>
      </c>
    </row>
    <row r="25" spans="1:6" ht="14.1" customHeight="1" x14ac:dyDescent="0.2">
      <c r="A25" s="354" t="s">
        <v>123</v>
      </c>
      <c r="B25" s="352">
        <f>'- 51 -'!C25</f>
        <v>14143324.335000001</v>
      </c>
      <c r="C25" s="352">
        <f>+Data!Z25</f>
        <v>101802642</v>
      </c>
      <c r="D25" s="352">
        <f t="shared" si="0"/>
        <v>115945966.33500001</v>
      </c>
      <c r="F25" s="352">
        <f>+Data!W25</f>
        <v>481407</v>
      </c>
    </row>
    <row r="26" spans="1:6" ht="14.1" customHeight="1" x14ac:dyDescent="0.2">
      <c r="A26" s="237" t="s">
        <v>124</v>
      </c>
      <c r="B26" s="151">
        <f>'- 51 -'!C26</f>
        <v>1463280.84</v>
      </c>
      <c r="C26" s="151">
        <f>+Data!Z26</f>
        <v>15911516</v>
      </c>
      <c r="D26" s="151">
        <f t="shared" si="0"/>
        <v>17374796.84</v>
      </c>
      <c r="F26" s="151">
        <f>+Data!W26</f>
        <v>357556</v>
      </c>
    </row>
    <row r="27" spans="1:6" ht="14.1" customHeight="1" x14ac:dyDescent="0.2">
      <c r="A27" s="354" t="s">
        <v>125</v>
      </c>
      <c r="B27" s="352">
        <f>'- 51 -'!C27</f>
        <v>1487637.27</v>
      </c>
      <c r="C27" s="352">
        <f>+Data!Z27</f>
        <v>8697977</v>
      </c>
      <c r="D27" s="352">
        <f t="shared" si="0"/>
        <v>10185614.27</v>
      </c>
      <c r="F27" s="352">
        <f>+Data!W27</f>
        <v>187707</v>
      </c>
    </row>
    <row r="28" spans="1:6" ht="14.1" customHeight="1" x14ac:dyDescent="0.2">
      <c r="A28" s="237" t="s">
        <v>126</v>
      </c>
      <c r="B28" s="151">
        <f>'- 51 -'!C28</f>
        <v>2061603.2850000001</v>
      </c>
      <c r="C28" s="151">
        <f>+Data!Z28</f>
        <v>9546022</v>
      </c>
      <c r="D28" s="151">
        <f t="shared" si="0"/>
        <v>11607625.285</v>
      </c>
      <c r="F28" s="151">
        <f>+Data!W28</f>
        <v>540078</v>
      </c>
    </row>
    <row r="29" spans="1:6" ht="14.1" customHeight="1" x14ac:dyDescent="0.2">
      <c r="A29" s="354" t="s">
        <v>127</v>
      </c>
      <c r="B29" s="352">
        <f>'- 51 -'!C29</f>
        <v>14890189.335000001</v>
      </c>
      <c r="C29" s="352">
        <f>+Data!Z29</f>
        <v>99724027</v>
      </c>
      <c r="D29" s="352">
        <f t="shared" si="0"/>
        <v>114614216.33500001</v>
      </c>
      <c r="F29" s="352">
        <f>+Data!W29</f>
        <v>602030</v>
      </c>
    </row>
    <row r="30" spans="1:6" ht="14.1" customHeight="1" x14ac:dyDescent="0.2">
      <c r="A30" s="237" t="s">
        <v>128</v>
      </c>
      <c r="B30" s="151">
        <f>'- 51 -'!C30</f>
        <v>1096628.1900000002</v>
      </c>
      <c r="C30" s="151">
        <f>+Data!Z30</f>
        <v>7134467</v>
      </c>
      <c r="D30" s="151">
        <f t="shared" si="0"/>
        <v>8231095.1900000004</v>
      </c>
      <c r="F30" s="151">
        <f>+Data!W30</f>
        <v>473896</v>
      </c>
    </row>
    <row r="31" spans="1:6" ht="14.1" customHeight="1" x14ac:dyDescent="0.2">
      <c r="A31" s="354" t="s">
        <v>129</v>
      </c>
      <c r="B31" s="352">
        <f>'- 51 -'!C31</f>
        <v>3720149.79</v>
      </c>
      <c r="C31" s="352">
        <f>+Data!Z31</f>
        <v>17700497</v>
      </c>
      <c r="D31" s="352">
        <f t="shared" si="0"/>
        <v>21420646.789999999</v>
      </c>
      <c r="F31" s="352">
        <f>+Data!W31</f>
        <v>407771</v>
      </c>
    </row>
    <row r="32" spans="1:6" ht="14.1" customHeight="1" x14ac:dyDescent="0.2">
      <c r="A32" s="237" t="s">
        <v>130</v>
      </c>
      <c r="B32" s="151">
        <f>'- 51 -'!C32</f>
        <v>1589146.9650000001</v>
      </c>
      <c r="C32" s="151">
        <f>+Data!Z32</f>
        <v>16432502</v>
      </c>
      <c r="D32" s="151">
        <f t="shared" si="0"/>
        <v>18021648.965</v>
      </c>
      <c r="F32" s="151">
        <f>+Data!W32</f>
        <v>574746</v>
      </c>
    </row>
    <row r="33" spans="1:6" ht="14.1" customHeight="1" x14ac:dyDescent="0.2">
      <c r="A33" s="354" t="s">
        <v>131</v>
      </c>
      <c r="B33" s="352">
        <f>'- 51 -'!C33</f>
        <v>1866559.59</v>
      </c>
      <c r="C33" s="352">
        <f>+Data!Z33</f>
        <v>14154719</v>
      </c>
      <c r="D33" s="352">
        <f t="shared" si="0"/>
        <v>16021278.59</v>
      </c>
      <c r="F33" s="352">
        <f>+Data!W33</f>
        <v>591795</v>
      </c>
    </row>
    <row r="34" spans="1:6" ht="14.1" customHeight="1" x14ac:dyDescent="0.2">
      <c r="A34" s="237" t="s">
        <v>132</v>
      </c>
      <c r="B34" s="151">
        <f>'- 51 -'!C34</f>
        <v>2958662.2800000003</v>
      </c>
      <c r="C34" s="151">
        <f>+Data!Z34</f>
        <v>19529446</v>
      </c>
      <c r="D34" s="151">
        <f t="shared" si="0"/>
        <v>22488108.280000001</v>
      </c>
      <c r="F34" s="151">
        <f>+Data!W34</f>
        <v>617094</v>
      </c>
    </row>
    <row r="35" spans="1:6" ht="14.1" customHeight="1" x14ac:dyDescent="0.2">
      <c r="A35" s="354" t="s">
        <v>133</v>
      </c>
      <c r="B35" s="352">
        <f>'- 51 -'!C35</f>
        <v>10888686.585000001</v>
      </c>
      <c r="C35" s="352">
        <f>+Data!Z35</f>
        <v>87930470</v>
      </c>
      <c r="D35" s="352">
        <f t="shared" si="0"/>
        <v>98819156.585000008</v>
      </c>
      <c r="F35" s="352">
        <f>+Data!W35</f>
        <v>419815</v>
      </c>
    </row>
    <row r="36" spans="1:6" ht="14.1" customHeight="1" x14ac:dyDescent="0.2">
      <c r="A36" s="237" t="s">
        <v>134</v>
      </c>
      <c r="B36" s="151">
        <f>'- 51 -'!C36</f>
        <v>1873597.425</v>
      </c>
      <c r="C36" s="151">
        <f>+Data!Z36</f>
        <v>11264962</v>
      </c>
      <c r="D36" s="151">
        <f t="shared" si="0"/>
        <v>13138559.425000001</v>
      </c>
      <c r="F36" s="151">
        <f>+Data!W36</f>
        <v>589649</v>
      </c>
    </row>
    <row r="37" spans="1:6" ht="14.1" customHeight="1" x14ac:dyDescent="0.2">
      <c r="A37" s="354" t="s">
        <v>135</v>
      </c>
      <c r="B37" s="352">
        <f>'- 51 -'!C37</f>
        <v>1993109.37</v>
      </c>
      <c r="C37" s="352">
        <f>+Data!Z37</f>
        <v>25142378</v>
      </c>
      <c r="D37" s="352">
        <f t="shared" si="0"/>
        <v>27135487.370000001</v>
      </c>
      <c r="F37" s="352">
        <f>+Data!W37</f>
        <v>317664</v>
      </c>
    </row>
    <row r="38" spans="1:6" ht="14.1" customHeight="1" x14ac:dyDescent="0.2">
      <c r="A38" s="237" t="s">
        <v>136</v>
      </c>
      <c r="B38" s="151">
        <f>'- 51 -'!C38</f>
        <v>3961986.4200000004</v>
      </c>
      <c r="C38" s="151">
        <f>+Data!Z38</f>
        <v>54267290</v>
      </c>
      <c r="D38" s="151">
        <f t="shared" si="0"/>
        <v>58229276.420000002</v>
      </c>
      <c r="F38" s="151">
        <f>+Data!W38</f>
        <v>319411</v>
      </c>
    </row>
    <row r="39" spans="1:6" ht="14.1" customHeight="1" x14ac:dyDescent="0.2">
      <c r="A39" s="354" t="s">
        <v>137</v>
      </c>
      <c r="B39" s="352">
        <f>'- 51 -'!C39</f>
        <v>4237305.5550000006</v>
      </c>
      <c r="C39" s="352">
        <f>+Data!Z39</f>
        <v>12805476</v>
      </c>
      <c r="D39" s="352">
        <f t="shared" si="0"/>
        <v>17042781.555</v>
      </c>
      <c r="F39" s="352">
        <f>+Data!W39</f>
        <v>789792</v>
      </c>
    </row>
    <row r="40" spans="1:6" ht="14.1" customHeight="1" x14ac:dyDescent="0.2">
      <c r="A40" s="237" t="s">
        <v>138</v>
      </c>
      <c r="B40" s="151">
        <f>'- 51 -'!C40</f>
        <v>16400226.255000001</v>
      </c>
      <c r="C40" s="151">
        <f>+Data!Z40</f>
        <v>59608061</v>
      </c>
      <c r="D40" s="151">
        <f t="shared" si="0"/>
        <v>76008287.254999995</v>
      </c>
      <c r="F40" s="151">
        <f>+Data!W40</f>
        <v>573170</v>
      </c>
    </row>
    <row r="41" spans="1:6" ht="14.1" customHeight="1" x14ac:dyDescent="0.2">
      <c r="A41" s="354" t="s">
        <v>139</v>
      </c>
      <c r="B41" s="352">
        <f>'- 51 -'!C41</f>
        <v>4659011.07</v>
      </c>
      <c r="C41" s="352">
        <f>+Data!Z41</f>
        <v>35247289</v>
      </c>
      <c r="D41" s="352">
        <f t="shared" si="0"/>
        <v>39906300.07</v>
      </c>
      <c r="F41" s="352">
        <f>+Data!W41</f>
        <v>544768</v>
      </c>
    </row>
    <row r="42" spans="1:6" ht="14.1" customHeight="1" x14ac:dyDescent="0.2">
      <c r="A42" s="237" t="s">
        <v>140</v>
      </c>
      <c r="B42" s="151">
        <f>'- 51 -'!C42</f>
        <v>873784.4850000001</v>
      </c>
      <c r="C42" s="151">
        <f>+Data!Z42</f>
        <v>7521239</v>
      </c>
      <c r="D42" s="151">
        <f t="shared" si="0"/>
        <v>8395023.4849999994</v>
      </c>
      <c r="F42" s="151">
        <f>+Data!W42</f>
        <v>400267</v>
      </c>
    </row>
    <row r="43" spans="1:6" ht="14.1" customHeight="1" x14ac:dyDescent="0.2">
      <c r="A43" s="354" t="s">
        <v>141</v>
      </c>
      <c r="B43" s="352">
        <f>'- 51 -'!C43</f>
        <v>691957.245</v>
      </c>
      <c r="C43" s="352">
        <f>+Data!Z43</f>
        <v>7041193</v>
      </c>
      <c r="D43" s="352">
        <f t="shared" si="0"/>
        <v>7733150.2450000001</v>
      </c>
      <c r="F43" s="352">
        <f>+Data!W43</f>
        <v>612522</v>
      </c>
    </row>
    <row r="44" spans="1:6" ht="14.1" customHeight="1" x14ac:dyDescent="0.2">
      <c r="A44" s="237" t="s">
        <v>142</v>
      </c>
      <c r="B44" s="151">
        <f>'- 51 -'!C44</f>
        <v>144202.905</v>
      </c>
      <c r="C44" s="151">
        <f>+Data!Z44</f>
        <v>3349606</v>
      </c>
      <c r="D44" s="151">
        <f t="shared" si="0"/>
        <v>3493808.9049999998</v>
      </c>
      <c r="F44" s="151">
        <f>+Data!W44</f>
        <v>269085</v>
      </c>
    </row>
    <row r="45" spans="1:6" ht="14.1" customHeight="1" x14ac:dyDescent="0.2">
      <c r="A45" s="354" t="s">
        <v>143</v>
      </c>
      <c r="B45" s="352">
        <f>'- 51 -'!C45</f>
        <v>1052206.47</v>
      </c>
      <c r="C45" s="352">
        <f>+Data!Z45</f>
        <v>8894415</v>
      </c>
      <c r="D45" s="352">
        <f t="shared" si="0"/>
        <v>9946621.4700000007</v>
      </c>
      <c r="F45" s="352">
        <f>+Data!W45</f>
        <v>327895</v>
      </c>
    </row>
    <row r="46" spans="1:6" ht="14.1" customHeight="1" x14ac:dyDescent="0.2">
      <c r="A46" s="237" t="s">
        <v>144</v>
      </c>
      <c r="B46" s="151">
        <f>'- 51 -'!C46</f>
        <v>49389341.715000004</v>
      </c>
      <c r="C46" s="151">
        <f>+Data!Z46</f>
        <v>178368654</v>
      </c>
      <c r="D46" s="151">
        <f t="shared" si="0"/>
        <v>227757995.715</v>
      </c>
      <c r="F46" s="151">
        <f>+Data!W46</f>
        <v>408977</v>
      </c>
    </row>
    <row r="47" spans="1:6" ht="5.0999999999999996" customHeight="1" x14ac:dyDescent="0.2">
      <c r="A47" s="130"/>
      <c r="B47" s="152"/>
      <c r="C47" s="152"/>
      <c r="D47" s="152"/>
      <c r="F47" s="152"/>
    </row>
    <row r="48" spans="1:6" ht="14.1" customHeight="1" x14ac:dyDescent="0.2">
      <c r="A48" s="355" t="s">
        <v>145</v>
      </c>
      <c r="B48" s="356">
        <f>SUM(B11:B46)</f>
        <v>177591264.27000004</v>
      </c>
      <c r="C48" s="356">
        <f>+Data!Z48</f>
        <v>1006946419</v>
      </c>
      <c r="D48" s="356">
        <f>SUM(D11:D46)</f>
        <v>1184537683.27</v>
      </c>
      <c r="F48" s="356">
        <f>+Data!W48</f>
        <v>433460.34210356022</v>
      </c>
    </row>
    <row r="49" spans="1:6" ht="50.1" customHeight="1" x14ac:dyDescent="0.2">
      <c r="A49" s="244" t="s">
        <v>7</v>
      </c>
      <c r="B49" s="23"/>
      <c r="C49" s="23"/>
      <c r="D49" s="23"/>
      <c r="E49" s="23"/>
      <c r="F49" s="23"/>
    </row>
    <row r="50" spans="1:6" ht="15" customHeight="1" x14ac:dyDescent="0.2">
      <c r="A50" s="602" t="s">
        <v>566</v>
      </c>
      <c r="B50" s="602"/>
      <c r="C50" s="602"/>
      <c r="D50" s="602"/>
      <c r="E50" s="602"/>
      <c r="F50" s="602"/>
    </row>
    <row r="51" spans="1:6" ht="12" customHeight="1" x14ac:dyDescent="0.2">
      <c r="A51" s="603"/>
      <c r="B51" s="603"/>
      <c r="C51" s="603"/>
      <c r="D51" s="603"/>
      <c r="E51" s="603"/>
      <c r="F51" s="603"/>
    </row>
    <row r="52" spans="1:6" ht="12" customHeight="1" x14ac:dyDescent="0.2">
      <c r="A52" s="603"/>
      <c r="B52" s="603"/>
      <c r="C52" s="603"/>
      <c r="D52" s="603"/>
      <c r="E52" s="603"/>
      <c r="F52" s="603"/>
    </row>
  </sheetData>
  <mergeCells count="3">
    <mergeCell ref="B7:B9"/>
    <mergeCell ref="F7:F9"/>
    <mergeCell ref="A50:F52"/>
  </mergeCells>
  <phoneticPr fontId="0" type="noConversion"/>
  <pageMargins left="0.5" right="0.5" top="0.6" bottom="0.2" header="0.3" footer="0.5"/>
  <pageSetup scale="88" orientation="portrait" r:id="rId1"/>
  <headerFooter alignWithMargins="0">
    <oddHeader>&amp;C&amp;"Arial,Regular"&amp;11&amp;A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55"/>
  <sheetViews>
    <sheetView showGridLines="0" showZeros="0" workbookViewId="0"/>
  </sheetViews>
  <sheetFormatPr defaultColWidth="15.83203125" defaultRowHeight="12" x14ac:dyDescent="0.2"/>
  <cols>
    <col min="1" max="1" width="34.83203125" style="2" customWidth="1"/>
    <col min="2" max="3" width="18.83203125" style="2" customWidth="1"/>
    <col min="4" max="4" width="1.83203125" style="2" customWidth="1"/>
    <col min="5" max="6" width="18.83203125" style="2" customWidth="1"/>
    <col min="7" max="7" width="21.1640625" style="2" customWidth="1"/>
    <col min="8" max="16384" width="15.83203125" style="2"/>
  </cols>
  <sheetData>
    <row r="1" spans="1:7" ht="6.95" customHeight="1" x14ac:dyDescent="0.2">
      <c r="A1" s="7"/>
      <c r="B1" s="7"/>
      <c r="C1" s="7"/>
      <c r="D1" s="8"/>
      <c r="E1" s="8"/>
    </row>
    <row r="2" spans="1:7" ht="15.95" customHeight="1" x14ac:dyDescent="0.2">
      <c r="A2" s="63"/>
      <c r="B2" s="9" t="s">
        <v>10</v>
      </c>
      <c r="C2" s="10"/>
      <c r="D2" s="10"/>
      <c r="E2" s="73"/>
      <c r="F2" s="81"/>
      <c r="G2" s="81" t="s">
        <v>12</v>
      </c>
    </row>
    <row r="3" spans="1:7" ht="15.95" customHeight="1" x14ac:dyDescent="0.2">
      <c r="A3" s="542"/>
      <c r="B3" s="11" t="str">
        <f>STATDATE</f>
        <v>ACTUAL SEPTEMBER 30, 2017</v>
      </c>
      <c r="C3" s="12"/>
      <c r="D3" s="12"/>
      <c r="E3" s="75"/>
      <c r="F3" s="75"/>
      <c r="G3" s="75"/>
    </row>
    <row r="4" spans="1:7" ht="15.95" customHeight="1" x14ac:dyDescent="0.2">
      <c r="D4" s="8"/>
      <c r="E4" s="8"/>
    </row>
    <row r="5" spans="1:7" ht="15.95" customHeight="1" x14ac:dyDescent="0.2"/>
    <row r="6" spans="1:7" ht="15.95" customHeight="1" x14ac:dyDescent="0.2">
      <c r="B6" s="492"/>
      <c r="C6" s="585"/>
      <c r="D6" s="184"/>
      <c r="E6" s="412"/>
    </row>
    <row r="7" spans="1:7" ht="15.95" customHeight="1" x14ac:dyDescent="0.2">
      <c r="B7" s="493" t="s">
        <v>334</v>
      </c>
      <c r="C7" s="494"/>
      <c r="D7" s="184"/>
      <c r="E7" s="413" t="s">
        <v>31</v>
      </c>
    </row>
    <row r="8" spans="1:7" ht="15.95" customHeight="1" x14ac:dyDescent="0.2">
      <c r="A8" s="33"/>
      <c r="B8" s="613" t="s">
        <v>454</v>
      </c>
      <c r="C8" s="138"/>
      <c r="D8" s="15"/>
      <c r="E8" s="612" t="s">
        <v>453</v>
      </c>
    </row>
    <row r="9" spans="1:7" ht="15.95" customHeight="1" x14ac:dyDescent="0.2">
      <c r="A9" s="82" t="s">
        <v>42</v>
      </c>
      <c r="B9" s="598"/>
      <c r="C9" s="78" t="s">
        <v>31</v>
      </c>
      <c r="D9" s="84"/>
      <c r="E9" s="593"/>
    </row>
    <row r="10" spans="1:7" ht="5.0999999999999996" customHeight="1" x14ac:dyDescent="0.2">
      <c r="A10" s="6"/>
      <c r="B10" s="85"/>
      <c r="C10" s="6"/>
      <c r="D10" s="86"/>
    </row>
    <row r="11" spans="1:7" ht="14.1" customHeight="1" x14ac:dyDescent="0.2">
      <c r="A11" s="284" t="s">
        <v>110</v>
      </c>
      <c r="B11" s="291">
        <v>0</v>
      </c>
      <c r="C11" s="291">
        <f>SUM('- 6 -'!B11:H11,B11)</f>
        <v>1798.2</v>
      </c>
      <c r="D11" s="87"/>
      <c r="E11" s="291">
        <f>C11</f>
        <v>1798.2</v>
      </c>
      <c r="G11" s="131"/>
    </row>
    <row r="12" spans="1:7" ht="14.1" customHeight="1" x14ac:dyDescent="0.2">
      <c r="A12" s="19" t="s">
        <v>111</v>
      </c>
      <c r="B12" s="70">
        <v>181.84</v>
      </c>
      <c r="C12" s="70">
        <f>SUM('- 6 -'!B12:H12,B12)</f>
        <v>2070.5</v>
      </c>
      <c r="D12" s="87"/>
      <c r="E12" s="70">
        <f t="shared" ref="E12:E46" si="0">C12</f>
        <v>2070.5</v>
      </c>
      <c r="G12" s="131"/>
    </row>
    <row r="13" spans="1:7" ht="14.1" customHeight="1" x14ac:dyDescent="0.2">
      <c r="A13" s="284" t="s">
        <v>112</v>
      </c>
      <c r="B13" s="291">
        <v>444.42857142857144</v>
      </c>
      <c r="C13" s="291">
        <f>SUM('- 6 -'!B13:H13,B13)</f>
        <v>8432.528571428571</v>
      </c>
      <c r="D13" s="87"/>
      <c r="E13" s="291">
        <f t="shared" si="0"/>
        <v>8432.528571428571</v>
      </c>
      <c r="G13" s="131"/>
    </row>
    <row r="14" spans="1:7" ht="14.1" customHeight="1" x14ac:dyDescent="0.2">
      <c r="A14" s="19" t="s">
        <v>359</v>
      </c>
      <c r="B14" s="70">
        <v>17.619999999999997</v>
      </c>
      <c r="C14" s="70">
        <f>SUM('- 6 -'!B14:H14,B14)</f>
        <v>5607.62</v>
      </c>
      <c r="D14" s="87"/>
      <c r="E14" s="70">
        <f t="shared" si="0"/>
        <v>5607.62</v>
      </c>
      <c r="G14" s="131"/>
    </row>
    <row r="15" spans="1:7" ht="14.1" customHeight="1" x14ac:dyDescent="0.2">
      <c r="A15" s="284" t="s">
        <v>113</v>
      </c>
      <c r="B15" s="291">
        <v>20</v>
      </c>
      <c r="C15" s="291">
        <f>SUM('- 6 -'!B15:H15,B15)</f>
        <v>1379.8</v>
      </c>
      <c r="D15" s="87"/>
      <c r="E15" s="291">
        <f t="shared" si="0"/>
        <v>1379.8</v>
      </c>
      <c r="G15" s="131"/>
    </row>
    <row r="16" spans="1:7" ht="14.1" customHeight="1" x14ac:dyDescent="0.2">
      <c r="A16" s="19" t="s">
        <v>114</v>
      </c>
      <c r="B16" s="70">
        <v>0</v>
      </c>
      <c r="C16" s="70">
        <f>SUM('- 6 -'!B16:H16,B16)</f>
        <v>912.9</v>
      </c>
      <c r="D16" s="87"/>
      <c r="E16" s="70">
        <f t="shared" si="0"/>
        <v>912.9</v>
      </c>
      <c r="G16" s="131"/>
    </row>
    <row r="17" spans="1:7" ht="14.1" customHeight="1" x14ac:dyDescent="0.2">
      <c r="A17" s="284" t="s">
        <v>115</v>
      </c>
      <c r="B17" s="291">
        <v>22.285714285714285</v>
      </c>
      <c r="C17" s="291">
        <f>SUM('- 6 -'!B17:H17,B17)</f>
        <v>1396.7857142857142</v>
      </c>
      <c r="D17" s="87"/>
      <c r="E17" s="291">
        <f t="shared" si="0"/>
        <v>1396.7857142857142</v>
      </c>
      <c r="G17" s="131"/>
    </row>
    <row r="18" spans="1:7" ht="14.1" customHeight="1" x14ac:dyDescent="0.2">
      <c r="A18" s="19" t="s">
        <v>116</v>
      </c>
      <c r="B18" s="70">
        <v>48.75</v>
      </c>
      <c r="C18" s="70">
        <f>SUM('- 6 -'!B18:H18,B18)</f>
        <v>6092.1</v>
      </c>
      <c r="D18" s="87"/>
      <c r="E18" s="70">
        <f t="shared" si="0"/>
        <v>6092.1</v>
      </c>
      <c r="G18" s="131"/>
    </row>
    <row r="19" spans="1:7" ht="14.1" customHeight="1" x14ac:dyDescent="0.2">
      <c r="A19" s="284" t="s">
        <v>117</v>
      </c>
      <c r="B19" s="291">
        <v>130</v>
      </c>
      <c r="C19" s="291">
        <f>SUM('- 6 -'!B19:H19,B19)</f>
        <v>4433.6000000000004</v>
      </c>
      <c r="D19" s="87"/>
      <c r="E19" s="291">
        <f t="shared" si="0"/>
        <v>4433.6000000000004</v>
      </c>
      <c r="G19" s="131"/>
    </row>
    <row r="20" spans="1:7" ht="14.1" customHeight="1" x14ac:dyDescent="0.2">
      <c r="A20" s="19" t="s">
        <v>118</v>
      </c>
      <c r="B20" s="70">
        <v>384</v>
      </c>
      <c r="C20" s="70">
        <f>SUM('- 6 -'!B20:H20,B20)</f>
        <v>7793</v>
      </c>
      <c r="D20" s="87"/>
      <c r="E20" s="70">
        <f t="shared" si="0"/>
        <v>7793</v>
      </c>
      <c r="G20" s="131"/>
    </row>
    <row r="21" spans="1:7" ht="14.1" customHeight="1" x14ac:dyDescent="0.2">
      <c r="A21" s="284" t="s">
        <v>119</v>
      </c>
      <c r="B21" s="291">
        <v>0</v>
      </c>
      <c r="C21" s="291">
        <f>SUM('- 6 -'!B21:H21,B21)</f>
        <v>2782.2</v>
      </c>
      <c r="D21" s="87"/>
      <c r="E21" s="291">
        <f t="shared" si="0"/>
        <v>2782.2</v>
      </c>
      <c r="G21" s="131"/>
    </row>
    <row r="22" spans="1:7" ht="14.1" customHeight="1" x14ac:dyDescent="0.2">
      <c r="A22" s="19" t="s">
        <v>120</v>
      </c>
      <c r="B22" s="70">
        <v>0</v>
      </c>
      <c r="C22" s="70">
        <f>SUM('- 6 -'!B22:H22,B22)</f>
        <v>1493.4</v>
      </c>
      <c r="D22" s="87"/>
      <c r="E22" s="70">
        <f t="shared" si="0"/>
        <v>1493.4</v>
      </c>
      <c r="G22" s="131"/>
    </row>
    <row r="23" spans="1:7" ht="14.1" customHeight="1" x14ac:dyDescent="0.2">
      <c r="A23" s="284" t="s">
        <v>121</v>
      </c>
      <c r="B23" s="291">
        <v>14</v>
      </c>
      <c r="C23" s="291">
        <f>SUM('- 6 -'!B23:H23,B23)</f>
        <v>1042.5</v>
      </c>
      <c r="D23" s="87"/>
      <c r="E23" s="291">
        <f t="shared" si="0"/>
        <v>1042.5</v>
      </c>
      <c r="G23" s="131"/>
    </row>
    <row r="24" spans="1:7" ht="14.1" customHeight="1" x14ac:dyDescent="0.2">
      <c r="A24" s="19" t="s">
        <v>122</v>
      </c>
      <c r="B24" s="70">
        <v>248</v>
      </c>
      <c r="C24" s="70">
        <f>SUM('- 6 -'!B24:H24,B24)</f>
        <v>3891.3</v>
      </c>
      <c r="D24" s="87"/>
      <c r="E24" s="70">
        <f t="shared" si="0"/>
        <v>3891.3</v>
      </c>
      <c r="G24" s="131"/>
    </row>
    <row r="25" spans="1:7" ht="14.1" customHeight="1" x14ac:dyDescent="0.2">
      <c r="A25" s="284" t="s">
        <v>123</v>
      </c>
      <c r="B25" s="291">
        <v>83.3</v>
      </c>
      <c r="C25" s="291">
        <f>SUM('- 6 -'!B25:H25,B25)</f>
        <v>14626.699999999999</v>
      </c>
      <c r="D25" s="87"/>
      <c r="E25" s="291">
        <f t="shared" si="0"/>
        <v>14626.699999999999</v>
      </c>
      <c r="G25" s="131"/>
    </row>
    <row r="26" spans="1:7" ht="14.1" customHeight="1" x14ac:dyDescent="0.2">
      <c r="A26" s="19" t="s">
        <v>124</v>
      </c>
      <c r="B26" s="70">
        <v>152.69999999999999</v>
      </c>
      <c r="C26" s="70">
        <f>SUM('- 6 -'!B26:H26,B26)</f>
        <v>2955</v>
      </c>
      <c r="D26" s="87"/>
      <c r="E26" s="70">
        <f t="shared" si="0"/>
        <v>2955</v>
      </c>
      <c r="G26" s="131"/>
    </row>
    <row r="27" spans="1:7" ht="14.1" customHeight="1" x14ac:dyDescent="0.2">
      <c r="A27" s="284" t="s">
        <v>125</v>
      </c>
      <c r="B27" s="291">
        <v>187</v>
      </c>
      <c r="C27" s="291">
        <f>SUM('- 6 -'!B27:H27,B27)</f>
        <v>3030.9</v>
      </c>
      <c r="D27" s="87"/>
      <c r="E27" s="291">
        <f t="shared" si="0"/>
        <v>3030.9</v>
      </c>
      <c r="G27" s="131"/>
    </row>
    <row r="28" spans="1:7" ht="14.1" customHeight="1" x14ac:dyDescent="0.2">
      <c r="A28" s="19" t="s">
        <v>126</v>
      </c>
      <c r="B28" s="70">
        <v>0</v>
      </c>
      <c r="C28" s="70">
        <f>SUM('- 6 -'!B28:H28,B28)</f>
        <v>1949.5</v>
      </c>
      <c r="D28" s="87"/>
      <c r="E28" s="70">
        <f t="shared" si="0"/>
        <v>1949.5</v>
      </c>
      <c r="G28" s="131"/>
    </row>
    <row r="29" spans="1:7" ht="14.1" customHeight="1" x14ac:dyDescent="0.2">
      <c r="A29" s="284" t="s">
        <v>127</v>
      </c>
      <c r="B29" s="291">
        <v>0</v>
      </c>
      <c r="C29" s="291">
        <f>SUM('- 6 -'!B29:H29,B29)</f>
        <v>13392.9</v>
      </c>
      <c r="D29" s="87"/>
      <c r="E29" s="291">
        <f t="shared" si="0"/>
        <v>13392.9</v>
      </c>
      <c r="G29" s="131"/>
    </row>
    <row r="30" spans="1:7" ht="14.1" customHeight="1" x14ac:dyDescent="0.2">
      <c r="A30" s="19" t="s">
        <v>128</v>
      </c>
      <c r="B30" s="70">
        <v>0</v>
      </c>
      <c r="C30" s="70">
        <f>SUM('- 6 -'!B30:H30,B30)</f>
        <v>1007.2</v>
      </c>
      <c r="D30" s="87"/>
      <c r="E30" s="70">
        <f t="shared" si="0"/>
        <v>1007.2</v>
      </c>
      <c r="G30" s="131"/>
    </row>
    <row r="31" spans="1:7" ht="14.1" customHeight="1" x14ac:dyDescent="0.2">
      <c r="A31" s="284" t="s">
        <v>129</v>
      </c>
      <c r="B31" s="291">
        <v>113</v>
      </c>
      <c r="C31" s="291">
        <f>SUM('- 6 -'!B31:H31,B31)</f>
        <v>3310.4</v>
      </c>
      <c r="D31" s="87"/>
      <c r="E31" s="291">
        <f t="shared" si="0"/>
        <v>3310.4</v>
      </c>
      <c r="G31" s="131"/>
    </row>
    <row r="32" spans="1:7" ht="14.1" customHeight="1" x14ac:dyDescent="0.2">
      <c r="A32" s="19" t="s">
        <v>130</v>
      </c>
      <c r="B32" s="70">
        <v>0</v>
      </c>
      <c r="C32" s="70">
        <f>SUM('- 6 -'!B32:H32,B32)</f>
        <v>2186.5</v>
      </c>
      <c r="D32" s="87"/>
      <c r="E32" s="70">
        <f t="shared" si="0"/>
        <v>2186.5</v>
      </c>
      <c r="G32" s="131"/>
    </row>
    <row r="33" spans="1:7" ht="14.1" customHeight="1" x14ac:dyDescent="0.2">
      <c r="A33" s="284" t="s">
        <v>131</v>
      </c>
      <c r="B33" s="291">
        <v>0</v>
      </c>
      <c r="C33" s="291">
        <f>SUM('- 6 -'!B33:H33,B33)</f>
        <v>2094.6</v>
      </c>
      <c r="D33" s="87"/>
      <c r="E33" s="291">
        <f t="shared" si="0"/>
        <v>2094.6</v>
      </c>
      <c r="G33" s="131"/>
    </row>
    <row r="34" spans="1:7" ht="14.1" customHeight="1" x14ac:dyDescent="0.2">
      <c r="A34" s="19" t="s">
        <v>132</v>
      </c>
      <c r="B34" s="70">
        <v>25.32</v>
      </c>
      <c r="C34" s="70">
        <f>SUM('- 6 -'!B34:H34,B34)</f>
        <v>2097.02</v>
      </c>
      <c r="D34" s="87"/>
      <c r="E34" s="70">
        <f t="shared" si="0"/>
        <v>2097.02</v>
      </c>
      <c r="G34" s="131"/>
    </row>
    <row r="35" spans="1:7" ht="14.1" customHeight="1" x14ac:dyDescent="0.2">
      <c r="A35" s="284" t="s">
        <v>133</v>
      </c>
      <c r="B35" s="291">
        <v>665</v>
      </c>
      <c r="C35" s="291">
        <f>SUM('- 6 -'!B35:H35,B35)</f>
        <v>15859</v>
      </c>
      <c r="D35" s="87"/>
      <c r="E35" s="291">
        <f t="shared" si="0"/>
        <v>15859</v>
      </c>
      <c r="G35" s="131"/>
    </row>
    <row r="36" spans="1:7" ht="14.1" customHeight="1" x14ac:dyDescent="0.2">
      <c r="A36" s="19" t="s">
        <v>134</v>
      </c>
      <c r="B36" s="70">
        <v>6.3</v>
      </c>
      <c r="C36" s="70">
        <f>SUM('- 6 -'!B36:H36,B36)</f>
        <v>1690.8</v>
      </c>
      <c r="D36" s="87"/>
      <c r="E36" s="70">
        <f t="shared" si="0"/>
        <v>1690.8</v>
      </c>
      <c r="G36" s="131"/>
    </row>
    <row r="37" spans="1:7" ht="14.1" customHeight="1" x14ac:dyDescent="0.2">
      <c r="A37" s="284" t="s">
        <v>135</v>
      </c>
      <c r="B37" s="291">
        <v>0</v>
      </c>
      <c r="C37" s="291">
        <f>SUM('- 6 -'!B37:H37,B37)</f>
        <v>4195</v>
      </c>
      <c r="D37" s="87"/>
      <c r="E37" s="291">
        <f t="shared" si="0"/>
        <v>4195</v>
      </c>
      <c r="G37" s="131"/>
    </row>
    <row r="38" spans="1:7" ht="14.1" customHeight="1" x14ac:dyDescent="0.2">
      <c r="A38" s="19" t="s">
        <v>136</v>
      </c>
      <c r="B38" s="70">
        <v>200</v>
      </c>
      <c r="C38" s="70">
        <f>SUM('- 6 -'!B38:H38,B38)</f>
        <v>11069.2</v>
      </c>
      <c r="D38" s="87"/>
      <c r="E38" s="70">
        <f t="shared" si="0"/>
        <v>11069.2</v>
      </c>
      <c r="G38" s="131"/>
    </row>
    <row r="39" spans="1:7" ht="14.1" customHeight="1" x14ac:dyDescent="0.2">
      <c r="A39" s="284" t="s">
        <v>137</v>
      </c>
      <c r="B39" s="291">
        <v>0</v>
      </c>
      <c r="C39" s="291">
        <f>SUM('- 6 -'!B39:H39,B39)</f>
        <v>1513</v>
      </c>
      <c r="D39" s="87"/>
      <c r="E39" s="291">
        <f t="shared" si="0"/>
        <v>1513</v>
      </c>
      <c r="G39" s="131"/>
    </row>
    <row r="40" spans="1:7" ht="14.1" customHeight="1" x14ac:dyDescent="0.2">
      <c r="A40" s="19" t="s">
        <v>138</v>
      </c>
      <c r="B40" s="70">
        <v>260.89999999999998</v>
      </c>
      <c r="C40" s="70">
        <f>SUM('- 6 -'!B40:H40,B40)</f>
        <v>8127.0999999999995</v>
      </c>
      <c r="D40" s="87"/>
      <c r="E40" s="70">
        <f t="shared" si="0"/>
        <v>8127.0999999999995</v>
      </c>
      <c r="G40" s="131"/>
    </row>
    <row r="41" spans="1:7" ht="14.1" customHeight="1" x14ac:dyDescent="0.2">
      <c r="A41" s="284" t="s">
        <v>139</v>
      </c>
      <c r="B41" s="291">
        <v>0</v>
      </c>
      <c r="C41" s="291">
        <f>SUM('- 6 -'!B41:H41,B41)</f>
        <v>4445.5</v>
      </c>
      <c r="D41" s="87"/>
      <c r="E41" s="291">
        <f t="shared" si="0"/>
        <v>4445.5</v>
      </c>
      <c r="G41" s="131"/>
    </row>
    <row r="42" spans="1:7" ht="14.1" customHeight="1" x14ac:dyDescent="0.2">
      <c r="A42" s="19" t="s">
        <v>140</v>
      </c>
      <c r="B42" s="70">
        <v>115.1</v>
      </c>
      <c r="C42" s="70">
        <f>SUM('- 6 -'!B42:H42,B42)</f>
        <v>1412</v>
      </c>
      <c r="D42" s="87"/>
      <c r="E42" s="70">
        <f t="shared" si="0"/>
        <v>1412</v>
      </c>
      <c r="G42" s="131"/>
    </row>
    <row r="43" spans="1:7" ht="14.1" customHeight="1" x14ac:dyDescent="0.2">
      <c r="A43" s="284" t="s">
        <v>141</v>
      </c>
      <c r="B43" s="291">
        <v>14</v>
      </c>
      <c r="C43" s="291">
        <f>SUM('- 6 -'!B43:H43,B43)</f>
        <v>969</v>
      </c>
      <c r="D43" s="87"/>
      <c r="E43" s="291">
        <f t="shared" si="0"/>
        <v>969</v>
      </c>
      <c r="G43" s="131"/>
    </row>
    <row r="44" spans="1:7" ht="14.1" customHeight="1" x14ac:dyDescent="0.2">
      <c r="A44" s="19" t="s">
        <v>142</v>
      </c>
      <c r="B44" s="70">
        <v>0</v>
      </c>
      <c r="C44" s="70">
        <f>SUM('- 6 -'!B44:H44,B44)</f>
        <v>694</v>
      </c>
      <c r="D44" s="87"/>
      <c r="E44" s="70">
        <f t="shared" si="0"/>
        <v>694</v>
      </c>
      <c r="G44" s="131"/>
    </row>
    <row r="45" spans="1:7" ht="14.1" customHeight="1" x14ac:dyDescent="0.2">
      <c r="A45" s="284" t="s">
        <v>143</v>
      </c>
      <c r="B45" s="291">
        <v>40</v>
      </c>
      <c r="C45" s="291">
        <f>SUM('- 6 -'!B45:H45,B45)</f>
        <v>1728</v>
      </c>
      <c r="D45" s="87"/>
      <c r="E45" s="291">
        <f t="shared" si="0"/>
        <v>1728</v>
      </c>
      <c r="G45" s="131"/>
    </row>
    <row r="46" spans="1:7" ht="14.1" customHeight="1" x14ac:dyDescent="0.2">
      <c r="A46" s="19" t="s">
        <v>144</v>
      </c>
      <c r="B46" s="70">
        <v>651.1</v>
      </c>
      <c r="C46" s="70">
        <f>SUM('- 6 -'!B46:H46,B46)</f>
        <v>29899.1</v>
      </c>
      <c r="D46" s="87"/>
      <c r="E46" s="70">
        <f t="shared" si="0"/>
        <v>29899.1</v>
      </c>
      <c r="G46" s="131"/>
    </row>
    <row r="47" spans="1:7" ht="5.0999999999999996" customHeight="1" x14ac:dyDescent="0.2">
      <c r="A47"/>
      <c r="B47"/>
      <c r="C47"/>
      <c r="D47"/>
      <c r="E47"/>
      <c r="F47"/>
      <c r="G47" s="131"/>
    </row>
    <row r="48" spans="1:7" ht="14.1" customHeight="1" x14ac:dyDescent="0.2">
      <c r="A48" s="286" t="s">
        <v>145</v>
      </c>
      <c r="B48" s="294">
        <f>SUM(B11:B46)</f>
        <v>4024.6442857142861</v>
      </c>
      <c r="C48" s="294">
        <f>SUM(C11:C46)</f>
        <v>177378.85428571427</v>
      </c>
      <c r="D48" s="88"/>
      <c r="E48" s="294">
        <f>SUM(E11:E46)</f>
        <v>177378.85428571427</v>
      </c>
      <c r="G48" s="131"/>
    </row>
    <row r="49" spans="1:7" ht="5.0999999999999996" customHeight="1" x14ac:dyDescent="0.2">
      <c r="A49" s="21" t="s">
        <v>7</v>
      </c>
      <c r="B49" s="71"/>
      <c r="C49" s="71"/>
      <c r="D49" s="86"/>
      <c r="E49" s="71"/>
      <c r="G49" s="131"/>
    </row>
    <row r="50" spans="1:7" ht="14.1" customHeight="1" x14ac:dyDescent="0.2">
      <c r="A50" s="19" t="s">
        <v>146</v>
      </c>
      <c r="B50" s="70">
        <v>0</v>
      </c>
      <c r="C50" s="70">
        <f>SUM('- 6 -'!B50:H50,B50)</f>
        <v>164</v>
      </c>
      <c r="D50" s="87"/>
      <c r="E50" s="70">
        <f>C50</f>
        <v>164</v>
      </c>
      <c r="G50" s="131"/>
    </row>
    <row r="51" spans="1:7" ht="14.1" customHeight="1" x14ac:dyDescent="0.2">
      <c r="A51" s="284" t="s">
        <v>607</v>
      </c>
      <c r="B51" s="291">
        <v>963</v>
      </c>
      <c r="C51" s="291">
        <f>SUM('- 6 -'!B51:H51,B51)</f>
        <v>1088</v>
      </c>
      <c r="D51" s="87"/>
      <c r="E51" s="291">
        <f>C51</f>
        <v>1088</v>
      </c>
      <c r="G51" s="131"/>
    </row>
    <row r="52" spans="1:7" ht="50.1" customHeight="1" x14ac:dyDescent="0.2">
      <c r="A52" s="433"/>
      <c r="B52" s="433"/>
      <c r="C52" s="433"/>
      <c r="D52" s="433"/>
      <c r="E52" s="433"/>
      <c r="F52" s="433"/>
      <c r="G52" s="433"/>
    </row>
    <row r="53" spans="1:7" x14ac:dyDescent="0.2">
      <c r="A53" s="614" t="s">
        <v>455</v>
      </c>
      <c r="B53" s="614"/>
      <c r="C53" s="614"/>
      <c r="D53" s="614"/>
      <c r="E53" s="614"/>
      <c r="F53" s="614"/>
      <c r="G53" s="614"/>
    </row>
    <row r="54" spans="1:7" x14ac:dyDescent="0.2">
      <c r="A54" s="615"/>
      <c r="B54" s="615"/>
      <c r="C54" s="615"/>
      <c r="D54" s="615"/>
      <c r="E54" s="615"/>
      <c r="F54" s="615"/>
      <c r="G54" s="615"/>
    </row>
    <row r="55" spans="1:7" x14ac:dyDescent="0.2">
      <c r="A55" s="25"/>
    </row>
  </sheetData>
  <mergeCells count="3">
    <mergeCell ref="E8:E9"/>
    <mergeCell ref="B8:B9"/>
    <mergeCell ref="A53:G54"/>
  </mergeCells>
  <phoneticPr fontId="6" type="noConversion"/>
  <pageMargins left="0.51181102362204722" right="0.51181102362204722" top="0.59055118110236227" bottom="0.19685039370078741" header="0.31496062992125984" footer="0.51181102362204722"/>
  <pageSetup scale="88" orientation="portrait" r:id="rId1"/>
  <headerFooter alignWithMargins="0">
    <oddHeader>&amp;C&amp;"Arial,Regular"&amp;11&amp;A</oddHead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G54"/>
  <sheetViews>
    <sheetView showGridLines="0" showZeros="0" workbookViewId="0"/>
  </sheetViews>
  <sheetFormatPr defaultColWidth="19.83203125" defaultRowHeight="12" x14ac:dyDescent="0.2"/>
  <cols>
    <col min="1" max="1" width="32.83203125" style="2" customWidth="1"/>
    <col min="2" max="2" width="18.1640625" style="2" customWidth="1"/>
    <col min="3" max="3" width="19.33203125" style="2" customWidth="1"/>
    <col min="4" max="4" width="15" style="2" customWidth="1"/>
    <col min="5" max="6" width="16" style="2" customWidth="1"/>
    <col min="7" max="7" width="15.6640625" style="2" customWidth="1"/>
    <col min="8" max="16384" width="19.83203125" style="2"/>
  </cols>
  <sheetData>
    <row r="1" spans="1:7" ht="6.95" customHeight="1" x14ac:dyDescent="0.2">
      <c r="A1" s="7"/>
      <c r="B1" s="7"/>
      <c r="C1" s="7"/>
      <c r="D1" s="7"/>
      <c r="E1" s="7"/>
      <c r="F1" s="7"/>
      <c r="G1" s="7"/>
    </row>
    <row r="2" spans="1:7" ht="15.95" customHeight="1" x14ac:dyDescent="0.2">
      <c r="A2" s="261"/>
      <c r="B2" s="266" t="str">
        <f>REVYEAR</f>
        <v>ANALYSIS OF OPERATING FUND REVENUE: 2017/2018 ACTUAL</v>
      </c>
      <c r="C2" s="266"/>
      <c r="D2" s="267"/>
      <c r="E2" s="264"/>
      <c r="F2" s="264"/>
      <c r="G2" s="215" t="s">
        <v>98</v>
      </c>
    </row>
    <row r="3" spans="1:7" ht="9.75" customHeight="1" x14ac:dyDescent="0.2">
      <c r="A3" s="537"/>
      <c r="B3" s="7"/>
      <c r="C3" s="7"/>
      <c r="D3" s="7"/>
      <c r="E3" s="7"/>
      <c r="F3" s="7"/>
      <c r="G3" s="7"/>
    </row>
    <row r="4" spans="1:7" ht="15.95" customHeight="1" x14ac:dyDescent="0.2">
      <c r="B4" s="784" t="s">
        <v>571</v>
      </c>
      <c r="C4" s="785"/>
      <c r="D4" s="785"/>
      <c r="E4" s="785"/>
      <c r="F4" s="785"/>
      <c r="G4" s="786"/>
    </row>
    <row r="5" spans="1:7" ht="15.95" customHeight="1" x14ac:dyDescent="0.2">
      <c r="B5" s="787"/>
      <c r="C5" s="788"/>
      <c r="D5" s="788"/>
      <c r="E5" s="788"/>
      <c r="F5" s="788"/>
      <c r="G5" s="789"/>
    </row>
    <row r="6" spans="1:7" ht="15.95" customHeight="1" x14ac:dyDescent="0.2">
      <c r="B6" s="781" t="s">
        <v>51</v>
      </c>
      <c r="C6" s="782"/>
      <c r="D6" s="782"/>
      <c r="E6" s="782"/>
      <c r="F6" s="782"/>
      <c r="G6" s="783"/>
    </row>
    <row r="7" spans="1:7" ht="15.95" customHeight="1" x14ac:dyDescent="0.2">
      <c r="B7" s="220"/>
      <c r="C7" s="790" t="s">
        <v>365</v>
      </c>
      <c r="D7" s="33"/>
      <c r="E7" s="33"/>
      <c r="F7" s="33"/>
      <c r="G7" s="33"/>
    </row>
    <row r="8" spans="1:7" ht="20.25" customHeight="1" x14ac:dyDescent="0.2">
      <c r="A8" s="67"/>
      <c r="B8" s="793" t="s">
        <v>567</v>
      </c>
      <c r="C8" s="791"/>
      <c r="D8" s="533"/>
      <c r="E8" s="795" t="s">
        <v>568</v>
      </c>
      <c r="F8" s="795" t="s">
        <v>569</v>
      </c>
      <c r="G8" s="795" t="s">
        <v>570</v>
      </c>
    </row>
    <row r="9" spans="1:7" ht="13.5" x14ac:dyDescent="0.2">
      <c r="A9" s="35" t="s">
        <v>42</v>
      </c>
      <c r="B9" s="794"/>
      <c r="C9" s="792"/>
      <c r="D9" s="534" t="s">
        <v>388</v>
      </c>
      <c r="E9" s="796"/>
      <c r="F9" s="796"/>
      <c r="G9" s="796"/>
    </row>
    <row r="10" spans="1:7" ht="5.0999999999999996" customHeight="1" x14ac:dyDescent="0.2">
      <c r="A10" s="6"/>
      <c r="E10" s="7"/>
      <c r="F10" s="7"/>
      <c r="G10" s="7"/>
    </row>
    <row r="11" spans="1:7" ht="14.1" customHeight="1" x14ac:dyDescent="0.2">
      <c r="A11" s="354" t="s">
        <v>110</v>
      </c>
      <c r="B11" s="352">
        <v>3383812</v>
      </c>
      <c r="C11" s="352">
        <v>101584</v>
      </c>
      <c r="D11" s="352">
        <v>188583</v>
      </c>
      <c r="E11" s="352">
        <v>105360</v>
      </c>
      <c r="F11" s="352">
        <v>108872</v>
      </c>
      <c r="G11" s="352">
        <v>161552</v>
      </c>
    </row>
    <row r="12" spans="1:7" ht="14.1" customHeight="1" x14ac:dyDescent="0.2">
      <c r="A12" s="237" t="s">
        <v>111</v>
      </c>
      <c r="B12" s="151">
        <v>3824550</v>
      </c>
      <c r="C12" s="151">
        <v>0</v>
      </c>
      <c r="D12" s="151">
        <v>388291</v>
      </c>
      <c r="E12" s="151">
        <v>119088</v>
      </c>
      <c r="F12" s="151">
        <v>123058</v>
      </c>
      <c r="G12" s="151">
        <v>182602</v>
      </c>
    </row>
    <row r="13" spans="1:7" ht="14.1" customHeight="1" x14ac:dyDescent="0.2">
      <c r="A13" s="354" t="s">
        <v>112</v>
      </c>
      <c r="B13" s="352">
        <v>16037076</v>
      </c>
      <c r="C13" s="352">
        <v>0</v>
      </c>
      <c r="D13" s="352">
        <v>125980</v>
      </c>
      <c r="E13" s="352">
        <v>494847</v>
      </c>
      <c r="F13" s="352">
        <v>515984</v>
      </c>
      <c r="G13" s="352">
        <v>765650</v>
      </c>
    </row>
    <row r="14" spans="1:7" ht="14.1" customHeight="1" x14ac:dyDescent="0.2">
      <c r="A14" s="237" t="s">
        <v>359</v>
      </c>
      <c r="B14" s="151">
        <v>10019437</v>
      </c>
      <c r="C14" s="151">
        <v>25904</v>
      </c>
      <c r="D14" s="151">
        <v>774132</v>
      </c>
      <c r="E14" s="151">
        <v>311970</v>
      </c>
      <c r="F14" s="151">
        <v>322369</v>
      </c>
      <c r="G14" s="151">
        <v>478354</v>
      </c>
    </row>
    <row r="15" spans="1:7" ht="14.1" customHeight="1" x14ac:dyDescent="0.2">
      <c r="A15" s="354" t="s">
        <v>113</v>
      </c>
      <c r="B15" s="352">
        <v>2661572</v>
      </c>
      <c r="C15" s="352">
        <v>0</v>
      </c>
      <c r="D15" s="352">
        <v>233917</v>
      </c>
      <c r="E15" s="352">
        <v>82872</v>
      </c>
      <c r="F15" s="352">
        <v>85634</v>
      </c>
      <c r="G15" s="352">
        <v>127070</v>
      </c>
    </row>
    <row r="16" spans="1:7" ht="14.1" customHeight="1" x14ac:dyDescent="0.2">
      <c r="A16" s="237" t="s">
        <v>114</v>
      </c>
      <c r="B16" s="151">
        <v>1706937</v>
      </c>
      <c r="C16" s="151">
        <v>33082</v>
      </c>
      <c r="D16" s="151">
        <v>0</v>
      </c>
      <c r="E16" s="151">
        <v>53148</v>
      </c>
      <c r="F16" s="151">
        <v>54920</v>
      </c>
      <c r="G16" s="151">
        <v>81494</v>
      </c>
    </row>
    <row r="17" spans="1:7" ht="14.1" customHeight="1" x14ac:dyDescent="0.2">
      <c r="A17" s="354" t="s">
        <v>115</v>
      </c>
      <c r="B17" s="352">
        <v>2544604</v>
      </c>
      <c r="C17" s="352">
        <v>37610</v>
      </c>
      <c r="D17" s="352">
        <v>277629</v>
      </c>
      <c r="E17" s="352">
        <v>79230</v>
      </c>
      <c r="F17" s="352">
        <v>81871</v>
      </c>
      <c r="G17" s="352">
        <v>121486</v>
      </c>
    </row>
    <row r="18" spans="1:7" ht="14.1" customHeight="1" x14ac:dyDescent="0.2">
      <c r="A18" s="237" t="s">
        <v>116</v>
      </c>
      <c r="B18" s="151">
        <v>4348276</v>
      </c>
      <c r="C18" s="151">
        <v>0</v>
      </c>
      <c r="D18" s="151">
        <v>986164</v>
      </c>
      <c r="E18" s="151">
        <v>135390</v>
      </c>
      <c r="F18" s="151">
        <v>139903</v>
      </c>
      <c r="G18" s="151">
        <v>207598</v>
      </c>
    </row>
    <row r="19" spans="1:7" ht="14.1" customHeight="1" x14ac:dyDescent="0.2">
      <c r="A19" s="354" t="s">
        <v>117</v>
      </c>
      <c r="B19" s="352">
        <v>8218462</v>
      </c>
      <c r="C19" s="352">
        <v>0</v>
      </c>
      <c r="D19" s="352">
        <v>195214</v>
      </c>
      <c r="E19" s="352">
        <v>255894</v>
      </c>
      <c r="F19" s="352">
        <v>264424</v>
      </c>
      <c r="G19" s="352">
        <v>392371</v>
      </c>
    </row>
    <row r="20" spans="1:7" ht="14.1" customHeight="1" x14ac:dyDescent="0.2">
      <c r="A20" s="237" t="s">
        <v>118</v>
      </c>
      <c r="B20" s="151">
        <v>14703395</v>
      </c>
      <c r="C20" s="151">
        <v>0</v>
      </c>
      <c r="D20" s="151">
        <v>239720</v>
      </c>
      <c r="E20" s="151">
        <v>457812</v>
      </c>
      <c r="F20" s="151">
        <v>473072</v>
      </c>
      <c r="G20" s="151">
        <v>701978</v>
      </c>
    </row>
    <row r="21" spans="1:7" ht="14.1" customHeight="1" x14ac:dyDescent="0.2">
      <c r="A21" s="354" t="s">
        <v>119</v>
      </c>
      <c r="B21" s="352">
        <v>5284027</v>
      </c>
      <c r="C21" s="352">
        <v>46272</v>
      </c>
      <c r="D21" s="352">
        <v>472036</v>
      </c>
      <c r="E21" s="352">
        <v>195318</v>
      </c>
      <c r="F21" s="352">
        <v>170010</v>
      </c>
      <c r="G21" s="352">
        <v>252273</v>
      </c>
    </row>
    <row r="22" spans="1:7" ht="14.1" customHeight="1" x14ac:dyDescent="0.2">
      <c r="A22" s="237" t="s">
        <v>120</v>
      </c>
      <c r="B22" s="151">
        <v>2935977</v>
      </c>
      <c r="C22" s="151">
        <v>14954</v>
      </c>
      <c r="D22" s="151">
        <v>21404</v>
      </c>
      <c r="E22" s="151">
        <v>91416</v>
      </c>
      <c r="F22" s="151">
        <v>94463</v>
      </c>
      <c r="G22" s="151">
        <v>140171</v>
      </c>
    </row>
    <row r="23" spans="1:7" ht="14.1" customHeight="1" x14ac:dyDescent="0.2">
      <c r="A23" s="354" t="s">
        <v>121</v>
      </c>
      <c r="B23" s="352">
        <v>1909272</v>
      </c>
      <c r="C23" s="352">
        <v>23802</v>
      </c>
      <c r="D23" s="352">
        <v>366907</v>
      </c>
      <c r="E23" s="352">
        <v>59448</v>
      </c>
      <c r="F23" s="352">
        <v>61430</v>
      </c>
      <c r="G23" s="352">
        <v>91154</v>
      </c>
    </row>
    <row r="24" spans="1:7" ht="14.1" customHeight="1" x14ac:dyDescent="0.2">
      <c r="A24" s="237" t="s">
        <v>122</v>
      </c>
      <c r="B24" s="151">
        <v>7445542</v>
      </c>
      <c r="C24" s="151">
        <v>0</v>
      </c>
      <c r="D24" s="151">
        <v>350181</v>
      </c>
      <c r="E24" s="151">
        <v>231828</v>
      </c>
      <c r="F24" s="151">
        <v>239556</v>
      </c>
      <c r="G24" s="151">
        <v>355470</v>
      </c>
    </row>
    <row r="25" spans="1:7" ht="14.1" customHeight="1" x14ac:dyDescent="0.2">
      <c r="A25" s="354" t="s">
        <v>123</v>
      </c>
      <c r="B25" s="352">
        <v>27071460</v>
      </c>
      <c r="C25" s="352">
        <v>9573</v>
      </c>
      <c r="D25" s="352">
        <v>0</v>
      </c>
      <c r="E25" s="352">
        <v>842910</v>
      </c>
      <c r="F25" s="352">
        <v>871007</v>
      </c>
      <c r="G25" s="352">
        <v>1292462</v>
      </c>
    </row>
    <row r="26" spans="1:7" ht="14.1" customHeight="1" x14ac:dyDescent="0.2">
      <c r="A26" s="237" t="s">
        <v>124</v>
      </c>
      <c r="B26" s="151">
        <v>5594466</v>
      </c>
      <c r="C26" s="151">
        <v>0</v>
      </c>
      <c r="D26" s="151">
        <v>575685</v>
      </c>
      <c r="E26" s="151">
        <v>174192</v>
      </c>
      <c r="F26" s="151">
        <v>179998</v>
      </c>
      <c r="G26" s="151">
        <v>267094</v>
      </c>
    </row>
    <row r="27" spans="1:7" ht="14.1" customHeight="1" x14ac:dyDescent="0.2">
      <c r="A27" s="354" t="s">
        <v>125</v>
      </c>
      <c r="B27" s="352">
        <v>5638017</v>
      </c>
      <c r="C27" s="352">
        <v>0</v>
      </c>
      <c r="D27" s="352">
        <v>0</v>
      </c>
      <c r="E27" s="352">
        <v>175548</v>
      </c>
      <c r="F27" s="352">
        <v>181400</v>
      </c>
      <c r="G27" s="352">
        <v>269174</v>
      </c>
    </row>
    <row r="28" spans="1:7" ht="14.1" customHeight="1" x14ac:dyDescent="0.2">
      <c r="A28" s="237" t="s">
        <v>126</v>
      </c>
      <c r="B28" s="151">
        <v>2872194</v>
      </c>
      <c r="C28" s="151">
        <v>25779</v>
      </c>
      <c r="D28" s="151">
        <v>514330</v>
      </c>
      <c r="E28" s="151">
        <v>89430</v>
      </c>
      <c r="F28" s="151">
        <v>92411</v>
      </c>
      <c r="G28" s="151">
        <v>137126</v>
      </c>
    </row>
    <row r="29" spans="1:7" ht="14.1" customHeight="1" x14ac:dyDescent="0.2">
      <c r="A29" s="354" t="s">
        <v>127</v>
      </c>
      <c r="B29" s="352">
        <v>24864274</v>
      </c>
      <c r="C29" s="352">
        <v>56206</v>
      </c>
      <c r="D29" s="352">
        <v>0</v>
      </c>
      <c r="E29" s="352">
        <v>774186</v>
      </c>
      <c r="F29" s="352">
        <v>799992</v>
      </c>
      <c r="G29" s="352">
        <v>1187085</v>
      </c>
    </row>
    <row r="30" spans="1:7" ht="14.1" customHeight="1" x14ac:dyDescent="0.2">
      <c r="A30" s="237" t="s">
        <v>128</v>
      </c>
      <c r="B30" s="151">
        <v>1907730</v>
      </c>
      <c r="C30" s="151">
        <v>23795</v>
      </c>
      <c r="D30" s="151">
        <v>325612</v>
      </c>
      <c r="E30" s="151">
        <v>57186</v>
      </c>
      <c r="F30" s="151">
        <v>61380</v>
      </c>
      <c r="G30" s="151">
        <v>91080</v>
      </c>
    </row>
    <row r="31" spans="1:7" ht="14.1" customHeight="1" x14ac:dyDescent="0.2">
      <c r="A31" s="354" t="s">
        <v>129</v>
      </c>
      <c r="B31" s="352">
        <v>6013204</v>
      </c>
      <c r="C31" s="352">
        <v>0</v>
      </c>
      <c r="D31" s="352">
        <v>197573</v>
      </c>
      <c r="E31" s="352">
        <v>137209</v>
      </c>
      <c r="F31" s="352">
        <v>193471</v>
      </c>
      <c r="G31" s="352">
        <v>287086</v>
      </c>
    </row>
    <row r="32" spans="1:7" ht="14.1" customHeight="1" x14ac:dyDescent="0.2">
      <c r="A32" s="237" t="s">
        <v>130</v>
      </c>
      <c r="B32" s="151">
        <v>4149216</v>
      </c>
      <c r="C32" s="151">
        <v>0</v>
      </c>
      <c r="D32" s="151">
        <v>622271</v>
      </c>
      <c r="E32" s="151">
        <v>129192</v>
      </c>
      <c r="F32" s="151">
        <v>133498</v>
      </c>
      <c r="G32" s="151">
        <v>198094</v>
      </c>
    </row>
    <row r="33" spans="1:7" ht="14.1" customHeight="1" x14ac:dyDescent="0.2">
      <c r="A33" s="354" t="s">
        <v>131</v>
      </c>
      <c r="B33" s="352">
        <v>3836850</v>
      </c>
      <c r="C33" s="352">
        <v>39806</v>
      </c>
      <c r="D33" s="352">
        <v>805573</v>
      </c>
      <c r="E33" s="352">
        <v>119466</v>
      </c>
      <c r="F33" s="352">
        <v>123448</v>
      </c>
      <c r="G33" s="352">
        <v>183181</v>
      </c>
    </row>
    <row r="34" spans="1:7" ht="14.1" customHeight="1" x14ac:dyDescent="0.2">
      <c r="A34" s="237" t="s">
        <v>132</v>
      </c>
      <c r="B34" s="151">
        <v>3932814</v>
      </c>
      <c r="C34" s="151">
        <v>82018</v>
      </c>
      <c r="D34" s="151">
        <v>602154</v>
      </c>
      <c r="E34" s="151">
        <v>122613</v>
      </c>
      <c r="F34" s="151">
        <v>126536</v>
      </c>
      <c r="G34" s="151">
        <v>187763</v>
      </c>
    </row>
    <row r="35" spans="1:7" ht="14.1" customHeight="1" x14ac:dyDescent="0.2">
      <c r="A35" s="354" t="s">
        <v>133</v>
      </c>
      <c r="B35" s="352">
        <v>29853084</v>
      </c>
      <c r="C35" s="352">
        <v>0</v>
      </c>
      <c r="D35" s="352">
        <v>0</v>
      </c>
      <c r="E35" s="352">
        <v>907511</v>
      </c>
      <c r="F35" s="352">
        <v>960504</v>
      </c>
      <c r="G35" s="352">
        <v>1425264</v>
      </c>
    </row>
    <row r="36" spans="1:7" ht="14.1" customHeight="1" x14ac:dyDescent="0.2">
      <c r="A36" s="237" t="s">
        <v>134</v>
      </c>
      <c r="B36" s="151">
        <v>2991860</v>
      </c>
      <c r="C36" s="151">
        <v>66608</v>
      </c>
      <c r="D36" s="151">
        <v>462045</v>
      </c>
      <c r="E36" s="151">
        <v>93156</v>
      </c>
      <c r="F36" s="151">
        <v>96261</v>
      </c>
      <c r="G36" s="151">
        <v>142839</v>
      </c>
    </row>
    <row r="37" spans="1:7" ht="14.1" customHeight="1" x14ac:dyDescent="0.2">
      <c r="A37" s="354" t="s">
        <v>135</v>
      </c>
      <c r="B37" s="352">
        <v>8061990</v>
      </c>
      <c r="C37" s="352">
        <v>0</v>
      </c>
      <c r="D37" s="352">
        <v>452380</v>
      </c>
      <c r="E37" s="352">
        <v>269370</v>
      </c>
      <c r="F37" s="352">
        <v>259389</v>
      </c>
      <c r="G37" s="352">
        <v>384900</v>
      </c>
    </row>
    <row r="38" spans="1:7" ht="14.1" customHeight="1" x14ac:dyDescent="0.2">
      <c r="A38" s="237" t="s">
        <v>136</v>
      </c>
      <c r="B38" s="151">
        <v>20982718</v>
      </c>
      <c r="C38" s="151">
        <v>0</v>
      </c>
      <c r="D38" s="151">
        <v>0</v>
      </c>
      <c r="E38" s="151">
        <v>653328</v>
      </c>
      <c r="F38" s="151">
        <v>675106</v>
      </c>
      <c r="G38" s="151">
        <v>1001770</v>
      </c>
    </row>
    <row r="39" spans="1:7" ht="14.1" customHeight="1" x14ac:dyDescent="0.2">
      <c r="A39" s="354" t="s">
        <v>137</v>
      </c>
      <c r="B39" s="352">
        <v>2892042</v>
      </c>
      <c r="C39" s="352">
        <v>0</v>
      </c>
      <c r="D39" s="352">
        <v>520380</v>
      </c>
      <c r="E39" s="352">
        <v>90048</v>
      </c>
      <c r="F39" s="352">
        <v>93050</v>
      </c>
      <c r="G39" s="352">
        <v>138074</v>
      </c>
    </row>
    <row r="40" spans="1:7" ht="14.1" customHeight="1" x14ac:dyDescent="0.2">
      <c r="A40" s="237" t="s">
        <v>138</v>
      </c>
      <c r="B40" s="151">
        <v>15391913</v>
      </c>
      <c r="C40" s="151">
        <v>0</v>
      </c>
      <c r="D40" s="151">
        <v>0</v>
      </c>
      <c r="E40" s="151">
        <v>479250</v>
      </c>
      <c r="F40" s="151">
        <v>495225</v>
      </c>
      <c r="G40" s="151">
        <v>734850</v>
      </c>
    </row>
    <row r="41" spans="1:7" ht="14.1" customHeight="1" x14ac:dyDescent="0.2">
      <c r="A41" s="354" t="s">
        <v>139</v>
      </c>
      <c r="B41" s="352">
        <v>8459428</v>
      </c>
      <c r="C41" s="352">
        <v>0</v>
      </c>
      <c r="D41" s="352">
        <v>477857</v>
      </c>
      <c r="E41" s="352">
        <v>263460</v>
      </c>
      <c r="F41" s="352">
        <v>272242</v>
      </c>
      <c r="G41" s="352">
        <v>403972</v>
      </c>
    </row>
    <row r="42" spans="1:7" ht="14.1" customHeight="1" x14ac:dyDescent="0.2">
      <c r="A42" s="237" t="s">
        <v>140</v>
      </c>
      <c r="B42" s="151">
        <v>2589117</v>
      </c>
      <c r="C42" s="151">
        <v>22945</v>
      </c>
      <c r="D42" s="151">
        <v>265294</v>
      </c>
      <c r="E42" s="151">
        <v>80616</v>
      </c>
      <c r="F42" s="151">
        <v>83303</v>
      </c>
      <c r="G42" s="151">
        <v>123611</v>
      </c>
    </row>
    <row r="43" spans="1:7" ht="14.1" customHeight="1" x14ac:dyDescent="0.2">
      <c r="A43" s="354" t="s">
        <v>141</v>
      </c>
      <c r="B43" s="352">
        <v>1855123</v>
      </c>
      <c r="C43" s="352">
        <v>21924</v>
      </c>
      <c r="D43" s="352">
        <v>258691</v>
      </c>
      <c r="E43" s="352">
        <v>57747</v>
      </c>
      <c r="F43" s="352">
        <v>59687</v>
      </c>
      <c r="G43" s="352">
        <v>88568</v>
      </c>
    </row>
    <row r="44" spans="1:7" ht="14.1" customHeight="1" x14ac:dyDescent="0.2">
      <c r="A44" s="237" t="s">
        <v>142</v>
      </c>
      <c r="B44" s="151">
        <v>1335989</v>
      </c>
      <c r="C44" s="151">
        <v>48187</v>
      </c>
      <c r="D44" s="151">
        <v>296881</v>
      </c>
      <c r="E44" s="151">
        <v>41598</v>
      </c>
      <c r="F44" s="151">
        <v>42985</v>
      </c>
      <c r="G44" s="151">
        <v>63784</v>
      </c>
    </row>
    <row r="45" spans="1:7" ht="14.1" customHeight="1" x14ac:dyDescent="0.2">
      <c r="A45" s="354" t="s">
        <v>143</v>
      </c>
      <c r="B45" s="352">
        <v>3203445</v>
      </c>
      <c r="C45" s="352">
        <v>0</v>
      </c>
      <c r="D45" s="352">
        <v>0</v>
      </c>
      <c r="E45" s="352">
        <v>99744</v>
      </c>
      <c r="F45" s="352">
        <v>103069</v>
      </c>
      <c r="G45" s="352">
        <v>152941</v>
      </c>
    </row>
    <row r="46" spans="1:7" ht="14.1" customHeight="1" x14ac:dyDescent="0.2">
      <c r="A46" s="237" t="s">
        <v>144</v>
      </c>
      <c r="B46" s="151">
        <v>57113004</v>
      </c>
      <c r="C46" s="151">
        <v>0</v>
      </c>
      <c r="D46" s="151">
        <v>0</v>
      </c>
      <c r="E46" s="151">
        <v>1786439</v>
      </c>
      <c r="F46" s="151">
        <v>1837575</v>
      </c>
      <c r="G46" s="151">
        <v>2726724</v>
      </c>
    </row>
    <row r="47" spans="1:7" ht="5.0999999999999996" customHeight="1" x14ac:dyDescent="0.2">
      <c r="A47" s="130"/>
      <c r="B47" s="152"/>
      <c r="C47" s="152"/>
      <c r="D47" s="152"/>
      <c r="E47" s="152"/>
      <c r="F47" s="152"/>
      <c r="G47" s="152"/>
    </row>
    <row r="48" spans="1:7" ht="14.1" customHeight="1" x14ac:dyDescent="0.2">
      <c r="A48" s="355" t="s">
        <v>145</v>
      </c>
      <c r="B48" s="356">
        <f t="shared" ref="B48:G48" si="0">SUM(B11:B46)</f>
        <v>325632877</v>
      </c>
      <c r="C48" s="356">
        <f t="shared" si="0"/>
        <v>680049</v>
      </c>
      <c r="D48" s="356">
        <f t="shared" si="0"/>
        <v>10996884</v>
      </c>
      <c r="E48" s="356">
        <f t="shared" si="0"/>
        <v>10117820</v>
      </c>
      <c r="F48" s="356">
        <f t="shared" si="0"/>
        <v>10477103</v>
      </c>
      <c r="G48" s="356">
        <f t="shared" si="0"/>
        <v>15546665</v>
      </c>
    </row>
    <row r="49" spans="1:7" ht="5.0999999999999996" customHeight="1" x14ac:dyDescent="0.2">
      <c r="A49" s="130" t="s">
        <v>7</v>
      </c>
      <c r="B49" s="152"/>
      <c r="C49" s="152"/>
      <c r="D49" s="152"/>
      <c r="E49" s="152"/>
      <c r="F49" s="152"/>
      <c r="G49" s="152"/>
    </row>
    <row r="50" spans="1:7" ht="14.1" customHeight="1" x14ac:dyDescent="0.2">
      <c r="A50" s="237" t="s">
        <v>146</v>
      </c>
      <c r="B50" s="151">
        <v>196373</v>
      </c>
      <c r="C50" s="151">
        <v>53626</v>
      </c>
      <c r="D50" s="151">
        <v>0</v>
      </c>
      <c r="E50" s="151">
        <v>9300</v>
      </c>
      <c r="F50" s="151">
        <v>9610</v>
      </c>
      <c r="G50" s="151">
        <v>14260</v>
      </c>
    </row>
    <row r="51" spans="1:7" ht="14.1" customHeight="1" x14ac:dyDescent="0.2">
      <c r="A51" s="354" t="s">
        <v>607</v>
      </c>
      <c r="B51" s="352">
        <v>0</v>
      </c>
      <c r="C51" s="352">
        <v>0</v>
      </c>
      <c r="D51" s="352">
        <v>0</v>
      </c>
      <c r="E51" s="352">
        <v>0</v>
      </c>
      <c r="F51" s="352">
        <v>0</v>
      </c>
      <c r="G51" s="352">
        <v>0</v>
      </c>
    </row>
    <row r="52" spans="1:7" ht="50.1" customHeight="1" x14ac:dyDescent="0.2">
      <c r="A52" s="23"/>
      <c r="B52" s="23"/>
      <c r="C52" s="23"/>
      <c r="D52" s="23"/>
      <c r="E52" s="23"/>
      <c r="F52" s="23"/>
      <c r="G52" s="23"/>
    </row>
    <row r="53" spans="1:7" ht="15" customHeight="1" x14ac:dyDescent="0.2">
      <c r="A53" s="38" t="str">
        <f>"(1)  Based on a grant per eligible pupil at "&amp;Data!C89&amp;" "&amp;Data!B89</f>
        <v>(1)  Based on a grant per eligible pupil at September 30, 2016</v>
      </c>
      <c r="D53" s="38"/>
      <c r="E53" s="38"/>
      <c r="F53" s="38"/>
      <c r="G53" s="38"/>
    </row>
    <row r="54" spans="1:7" ht="12" customHeight="1" x14ac:dyDescent="0.2">
      <c r="A54" s="38" t="s">
        <v>357</v>
      </c>
      <c r="D54" s="38"/>
      <c r="E54" s="38"/>
      <c r="F54" s="38"/>
      <c r="G54" s="38"/>
    </row>
  </sheetData>
  <mergeCells count="7">
    <mergeCell ref="B6:G6"/>
    <mergeCell ref="B4:G5"/>
    <mergeCell ref="C7:C9"/>
    <mergeCell ref="B8:B9"/>
    <mergeCell ref="E8:E9"/>
    <mergeCell ref="F8:F9"/>
    <mergeCell ref="G8:G9"/>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1">
    <pageSetUpPr fitToPage="1"/>
  </sheetPr>
  <dimension ref="A1:G54"/>
  <sheetViews>
    <sheetView showGridLines="0" showZeros="0" workbookViewId="0"/>
  </sheetViews>
  <sheetFormatPr defaultColWidth="19.83203125" defaultRowHeight="12" x14ac:dyDescent="0.2"/>
  <cols>
    <col min="1" max="1" width="32.83203125" style="2" customWidth="1"/>
    <col min="2" max="2" width="16.33203125" style="2" customWidth="1"/>
    <col min="3" max="3" width="16.6640625" style="2" customWidth="1"/>
    <col min="4" max="4" width="18.33203125" style="2" customWidth="1"/>
    <col min="5" max="5" width="15.83203125" style="2" customWidth="1"/>
    <col min="6" max="6" width="15.1640625" style="2" customWidth="1"/>
    <col min="7" max="7" width="15.83203125" style="2" customWidth="1"/>
    <col min="8" max="16384" width="19.83203125" style="2"/>
  </cols>
  <sheetData>
    <row r="1" spans="1:7" ht="6.95" customHeight="1" x14ac:dyDescent="0.2">
      <c r="A1" s="7"/>
      <c r="B1" s="7"/>
      <c r="C1" s="7"/>
      <c r="D1" s="7"/>
      <c r="E1" s="7"/>
      <c r="F1" s="7"/>
      <c r="G1" s="7"/>
    </row>
    <row r="2" spans="1:7" ht="15.95" customHeight="1" x14ac:dyDescent="0.2">
      <c r="A2" s="261"/>
      <c r="B2" s="266" t="str">
        <f>REVYEAR</f>
        <v>ANALYSIS OF OPERATING FUND REVENUE: 2017/2018 ACTUAL</v>
      </c>
      <c r="C2" s="267"/>
      <c r="D2" s="264"/>
      <c r="E2" s="264"/>
      <c r="F2" s="268"/>
      <c r="G2" s="215" t="s">
        <v>99</v>
      </c>
    </row>
    <row r="3" spans="1:7" ht="15.95" customHeight="1" x14ac:dyDescent="0.2">
      <c r="A3" s="537"/>
      <c r="B3" s="205"/>
      <c r="C3" s="7"/>
      <c r="D3" s="7"/>
      <c r="E3" s="7"/>
      <c r="F3" s="7"/>
      <c r="G3" s="7"/>
    </row>
    <row r="4" spans="1:7" ht="15.95" customHeight="1" x14ac:dyDescent="0.2">
      <c r="B4" s="797" t="s">
        <v>576</v>
      </c>
      <c r="C4" s="785"/>
      <c r="D4" s="785"/>
      <c r="E4" s="785"/>
      <c r="F4" s="785"/>
      <c r="G4" s="786"/>
    </row>
    <row r="5" spans="1:7" ht="15.95" customHeight="1" x14ac:dyDescent="0.2">
      <c r="B5" s="787"/>
      <c r="C5" s="788"/>
      <c r="D5" s="788"/>
      <c r="E5" s="788"/>
      <c r="F5" s="788"/>
      <c r="G5" s="789"/>
    </row>
    <row r="6" spans="1:7" ht="15.95" customHeight="1" x14ac:dyDescent="0.2">
      <c r="B6" s="798" t="s">
        <v>51</v>
      </c>
      <c r="C6" s="799"/>
      <c r="D6" s="799"/>
      <c r="E6" s="799"/>
      <c r="F6" s="799"/>
      <c r="G6" s="800"/>
    </row>
    <row r="7" spans="1:7" ht="15.95" customHeight="1" x14ac:dyDescent="0.2">
      <c r="B7" s="220"/>
      <c r="C7" s="33"/>
      <c r="D7" s="33"/>
      <c r="E7" s="33"/>
      <c r="F7" s="33"/>
      <c r="G7" s="692" t="s">
        <v>575</v>
      </c>
    </row>
    <row r="8" spans="1:7" ht="15.95" customHeight="1" x14ac:dyDescent="0.2">
      <c r="A8" s="67"/>
      <c r="B8" s="793" t="s">
        <v>612</v>
      </c>
      <c r="C8" s="795" t="s">
        <v>572</v>
      </c>
      <c r="D8" s="795" t="s">
        <v>573</v>
      </c>
      <c r="E8" s="795" t="s">
        <v>574</v>
      </c>
      <c r="F8" s="269"/>
      <c r="G8" s="795"/>
    </row>
    <row r="9" spans="1:7" ht="15.95" customHeight="1" x14ac:dyDescent="0.2">
      <c r="A9" s="35" t="s">
        <v>42</v>
      </c>
      <c r="B9" s="794"/>
      <c r="C9" s="796"/>
      <c r="D9" s="796"/>
      <c r="E9" s="796"/>
      <c r="F9" s="83" t="s">
        <v>66</v>
      </c>
      <c r="G9" s="796"/>
    </row>
    <row r="10" spans="1:7" ht="5.0999999999999996" customHeight="1" x14ac:dyDescent="0.2">
      <c r="A10" s="6"/>
      <c r="B10" s="7"/>
      <c r="F10" s="7"/>
      <c r="G10" s="7"/>
    </row>
    <row r="11" spans="1:7" ht="14.1" customHeight="1" x14ac:dyDescent="0.2">
      <c r="A11" s="354" t="s">
        <v>110</v>
      </c>
      <c r="B11" s="352">
        <v>550216</v>
      </c>
      <c r="C11" s="352">
        <v>145748</v>
      </c>
      <c r="D11" s="352">
        <v>80776</v>
      </c>
      <c r="E11" s="352">
        <v>31875</v>
      </c>
      <c r="F11" s="352">
        <v>885780</v>
      </c>
      <c r="G11" s="352">
        <f>SUM('- 57 -'!$B11:G11,B11:F11)</f>
        <v>5744158</v>
      </c>
    </row>
    <row r="12" spans="1:7" ht="14.1" customHeight="1" x14ac:dyDescent="0.2">
      <c r="A12" s="237" t="s">
        <v>111</v>
      </c>
      <c r="B12" s="151">
        <v>669402</v>
      </c>
      <c r="C12" s="151">
        <v>164738</v>
      </c>
      <c r="D12" s="151">
        <v>91301</v>
      </c>
      <c r="E12" s="151">
        <v>39875</v>
      </c>
      <c r="F12" s="151">
        <v>1225215</v>
      </c>
      <c r="G12" s="151">
        <f>SUM('- 57 -'!$B12:G12,B12:F12)</f>
        <v>6828120</v>
      </c>
    </row>
    <row r="13" spans="1:7" ht="14.1" customHeight="1" x14ac:dyDescent="0.2">
      <c r="A13" s="354" t="s">
        <v>112</v>
      </c>
      <c r="B13" s="352">
        <v>2829917</v>
      </c>
      <c r="C13" s="352">
        <v>690753</v>
      </c>
      <c r="D13" s="352">
        <v>382826</v>
      </c>
      <c r="E13" s="352">
        <v>188130</v>
      </c>
      <c r="F13" s="352">
        <v>3032685</v>
      </c>
      <c r="G13" s="352">
        <f>SUM('- 57 -'!$B13:G13,B13:F13)</f>
        <v>25063848</v>
      </c>
    </row>
    <row r="14" spans="1:7" ht="14.1" customHeight="1" x14ac:dyDescent="0.2">
      <c r="A14" s="237" t="s">
        <v>359</v>
      </c>
      <c r="B14" s="151">
        <v>1645869</v>
      </c>
      <c r="C14" s="151">
        <v>431559</v>
      </c>
      <c r="D14" s="151">
        <v>202781</v>
      </c>
      <c r="E14" s="151">
        <v>82250</v>
      </c>
      <c r="F14" s="151">
        <v>2745405</v>
      </c>
      <c r="G14" s="151">
        <f>SUM('- 57 -'!$B14:G14,B14:F14)</f>
        <v>17040030</v>
      </c>
    </row>
    <row r="15" spans="1:7" ht="14.1" customHeight="1" x14ac:dyDescent="0.2">
      <c r="A15" s="354" t="s">
        <v>113</v>
      </c>
      <c r="B15" s="352">
        <v>471597</v>
      </c>
      <c r="C15" s="352">
        <v>114640</v>
      </c>
      <c r="D15" s="352">
        <v>53867</v>
      </c>
      <c r="E15" s="352">
        <v>31625</v>
      </c>
      <c r="F15" s="352">
        <v>853290</v>
      </c>
      <c r="G15" s="352">
        <f>SUM('- 57 -'!$B15:G15,B15:F15)</f>
        <v>4716084</v>
      </c>
    </row>
    <row r="16" spans="1:7" ht="14.1" customHeight="1" x14ac:dyDescent="0.2">
      <c r="A16" s="237" t="s">
        <v>114</v>
      </c>
      <c r="B16" s="151">
        <v>310158</v>
      </c>
      <c r="C16" s="151">
        <v>73521</v>
      </c>
      <c r="D16" s="151">
        <v>45176</v>
      </c>
      <c r="E16" s="151">
        <v>28000</v>
      </c>
      <c r="F16" s="151">
        <v>595935</v>
      </c>
      <c r="G16" s="151">
        <f>SUM('- 57 -'!$B16:G16,B16:F16)</f>
        <v>2982371</v>
      </c>
    </row>
    <row r="17" spans="1:7" ht="14.1" customHeight="1" x14ac:dyDescent="0.2">
      <c r="A17" s="354" t="s">
        <v>115</v>
      </c>
      <c r="B17" s="352">
        <v>414585</v>
      </c>
      <c r="C17" s="352">
        <v>109602</v>
      </c>
      <c r="D17" s="352">
        <v>60743</v>
      </c>
      <c r="E17" s="352">
        <v>26125</v>
      </c>
      <c r="F17" s="352">
        <v>850725</v>
      </c>
      <c r="G17" s="352">
        <f>SUM('- 57 -'!$B17:G17,B17:F17)</f>
        <v>4604210</v>
      </c>
    </row>
    <row r="18" spans="1:7" ht="14.1" customHeight="1" x14ac:dyDescent="0.2">
      <c r="A18" s="237" t="s">
        <v>116</v>
      </c>
      <c r="B18" s="151">
        <v>1345476</v>
      </c>
      <c r="C18" s="151">
        <v>187290</v>
      </c>
      <c r="D18" s="151">
        <v>88004</v>
      </c>
      <c r="E18" s="151">
        <v>30000</v>
      </c>
      <c r="F18" s="151">
        <v>4170690</v>
      </c>
      <c r="G18" s="151">
        <f>SUM('- 57 -'!$B18:G18,B18:F18)</f>
        <v>11638791</v>
      </c>
    </row>
    <row r="19" spans="1:7" ht="14.1" customHeight="1" x14ac:dyDescent="0.2">
      <c r="A19" s="354" t="s">
        <v>117</v>
      </c>
      <c r="B19" s="352">
        <v>1365130</v>
      </c>
      <c r="C19" s="352">
        <v>353987</v>
      </c>
      <c r="D19" s="352">
        <v>196185</v>
      </c>
      <c r="E19" s="352">
        <v>91175</v>
      </c>
      <c r="F19" s="352">
        <v>1715130</v>
      </c>
      <c r="G19" s="352">
        <f>SUM('- 57 -'!$B19:G19,B19:F19)</f>
        <v>13047972</v>
      </c>
    </row>
    <row r="20" spans="1:7" ht="14.1" customHeight="1" x14ac:dyDescent="0.2">
      <c r="A20" s="237" t="s">
        <v>118</v>
      </c>
      <c r="B20" s="151">
        <v>2504189</v>
      </c>
      <c r="C20" s="151">
        <v>633307</v>
      </c>
      <c r="D20" s="151">
        <v>297578</v>
      </c>
      <c r="E20" s="151">
        <v>143375</v>
      </c>
      <c r="F20" s="151">
        <v>2795850</v>
      </c>
      <c r="G20" s="151">
        <f>SUM('- 57 -'!$B20:G20,B20:F20)</f>
        <v>22950276</v>
      </c>
    </row>
    <row r="21" spans="1:7" ht="14.1" customHeight="1" x14ac:dyDescent="0.2">
      <c r="A21" s="354" t="s">
        <v>119</v>
      </c>
      <c r="B21" s="352">
        <v>890149</v>
      </c>
      <c r="C21" s="352">
        <v>227594</v>
      </c>
      <c r="D21" s="352">
        <v>106942</v>
      </c>
      <c r="E21" s="352">
        <v>52750</v>
      </c>
      <c r="F21" s="352">
        <v>1532160</v>
      </c>
      <c r="G21" s="352">
        <f>SUM('- 57 -'!$B21:G21,B21:F21)</f>
        <v>9229531</v>
      </c>
    </row>
    <row r="22" spans="1:7" ht="14.1" customHeight="1" x14ac:dyDescent="0.2">
      <c r="A22" s="237" t="s">
        <v>120</v>
      </c>
      <c r="B22" s="151">
        <v>527822</v>
      </c>
      <c r="C22" s="151">
        <v>126459</v>
      </c>
      <c r="D22" s="151">
        <v>77704</v>
      </c>
      <c r="E22" s="151">
        <v>34125</v>
      </c>
      <c r="F22" s="151">
        <v>889200</v>
      </c>
      <c r="G22" s="151">
        <f>SUM('- 57 -'!$B22:G22,B22:F22)</f>
        <v>4953695</v>
      </c>
    </row>
    <row r="23" spans="1:7" ht="14.1" customHeight="1" x14ac:dyDescent="0.2">
      <c r="A23" s="354" t="s">
        <v>121</v>
      </c>
      <c r="B23" s="352">
        <v>360608</v>
      </c>
      <c r="C23" s="352">
        <v>82236</v>
      </c>
      <c r="D23" s="352">
        <v>45577</v>
      </c>
      <c r="E23" s="352">
        <v>19375</v>
      </c>
      <c r="F23" s="352">
        <v>800280</v>
      </c>
      <c r="G23" s="352">
        <f>SUM('- 57 -'!$B23:G23,B23:F23)</f>
        <v>3820089</v>
      </c>
    </row>
    <row r="24" spans="1:7" ht="14.1" customHeight="1" x14ac:dyDescent="0.2">
      <c r="A24" s="237" t="s">
        <v>122</v>
      </c>
      <c r="B24" s="151">
        <v>1323092</v>
      </c>
      <c r="C24" s="151">
        <v>320695</v>
      </c>
      <c r="D24" s="151">
        <v>150688</v>
      </c>
      <c r="E24" s="151">
        <v>93750</v>
      </c>
      <c r="F24" s="151">
        <v>2022930</v>
      </c>
      <c r="G24" s="151">
        <f>SUM('- 57 -'!$B24:G24,B24:F24)</f>
        <v>12533732</v>
      </c>
    </row>
    <row r="25" spans="1:7" ht="14.1" customHeight="1" x14ac:dyDescent="0.2">
      <c r="A25" s="354" t="s">
        <v>123</v>
      </c>
      <c r="B25" s="352">
        <v>4873074</v>
      </c>
      <c r="C25" s="352">
        <v>1166026</v>
      </c>
      <c r="D25" s="352">
        <v>547892</v>
      </c>
      <c r="E25" s="352">
        <v>311500</v>
      </c>
      <c r="F25" s="352">
        <v>6365475</v>
      </c>
      <c r="G25" s="352">
        <f>SUM('- 57 -'!$B25:G25,B25:F25)</f>
        <v>43351379</v>
      </c>
    </row>
    <row r="26" spans="1:7" ht="14.1" customHeight="1" x14ac:dyDescent="0.2">
      <c r="A26" s="237" t="s">
        <v>124</v>
      </c>
      <c r="B26" s="151">
        <v>1020882</v>
      </c>
      <c r="C26" s="151">
        <v>240966</v>
      </c>
      <c r="D26" s="151">
        <v>133547</v>
      </c>
      <c r="E26" s="151">
        <v>64125</v>
      </c>
      <c r="F26" s="151">
        <v>2276865</v>
      </c>
      <c r="G26" s="151">
        <f>SUM('- 57 -'!$B26:G26,B26:F26)</f>
        <v>10527820</v>
      </c>
    </row>
    <row r="27" spans="1:7" ht="14.1" customHeight="1" x14ac:dyDescent="0.2">
      <c r="A27" s="354" t="s">
        <v>125</v>
      </c>
      <c r="B27" s="352">
        <v>1051756</v>
      </c>
      <c r="C27" s="352">
        <v>242841</v>
      </c>
      <c r="D27" s="352">
        <v>149216</v>
      </c>
      <c r="E27" s="352">
        <v>63750</v>
      </c>
      <c r="F27" s="352">
        <v>1292760</v>
      </c>
      <c r="G27" s="352">
        <f>SUM('- 57 -'!$B27:G27,B27:F27)</f>
        <v>9064462</v>
      </c>
    </row>
    <row r="28" spans="1:7" ht="14.1" customHeight="1" x14ac:dyDescent="0.2">
      <c r="A28" s="237" t="s">
        <v>126</v>
      </c>
      <c r="B28" s="151">
        <v>487960</v>
      </c>
      <c r="C28" s="151">
        <v>123712</v>
      </c>
      <c r="D28" s="151">
        <v>68563</v>
      </c>
      <c r="E28" s="151">
        <v>35625</v>
      </c>
      <c r="F28" s="151">
        <v>1277370</v>
      </c>
      <c r="G28" s="151">
        <f>SUM('- 57 -'!$B28:G28,B28:F28)</f>
        <v>5724500</v>
      </c>
    </row>
    <row r="29" spans="1:7" ht="14.1" customHeight="1" x14ac:dyDescent="0.2">
      <c r="A29" s="354" t="s">
        <v>127</v>
      </c>
      <c r="B29" s="352">
        <v>4163022</v>
      </c>
      <c r="C29" s="352">
        <v>1070957</v>
      </c>
      <c r="D29" s="352">
        <v>503221</v>
      </c>
      <c r="E29" s="352">
        <v>297138</v>
      </c>
      <c r="F29" s="352">
        <v>4920525</v>
      </c>
      <c r="G29" s="352">
        <f>SUM('- 57 -'!$B29:G29,B29:F29)</f>
        <v>38636606</v>
      </c>
    </row>
    <row r="30" spans="1:7" ht="14.1" customHeight="1" x14ac:dyDescent="0.2">
      <c r="A30" s="237" t="s">
        <v>128</v>
      </c>
      <c r="B30" s="151">
        <v>325141</v>
      </c>
      <c r="C30" s="151">
        <v>82170</v>
      </c>
      <c r="D30" s="151">
        <v>45540</v>
      </c>
      <c r="E30" s="151">
        <v>21625</v>
      </c>
      <c r="F30" s="151">
        <v>790875</v>
      </c>
      <c r="G30" s="151">
        <f>SUM('- 57 -'!$B30:G30,B30:F30)</f>
        <v>3732134</v>
      </c>
    </row>
    <row r="31" spans="1:7" ht="14.1" customHeight="1" x14ac:dyDescent="0.2">
      <c r="A31" s="354" t="s">
        <v>129</v>
      </c>
      <c r="B31" s="352">
        <v>1095290</v>
      </c>
      <c r="C31" s="352">
        <v>259002</v>
      </c>
      <c r="D31" s="352">
        <v>121700</v>
      </c>
      <c r="E31" s="352">
        <v>67125</v>
      </c>
      <c r="F31" s="352">
        <v>1803195</v>
      </c>
      <c r="G31" s="352">
        <f>SUM('- 57 -'!$B31:G31,B31:F31)</f>
        <v>10174855</v>
      </c>
    </row>
    <row r="32" spans="1:7" ht="14.1" customHeight="1" x14ac:dyDescent="0.2">
      <c r="A32" s="237" t="s">
        <v>130</v>
      </c>
      <c r="B32" s="151">
        <v>692543</v>
      </c>
      <c r="C32" s="151">
        <v>178716</v>
      </c>
      <c r="D32" s="151">
        <v>83975</v>
      </c>
      <c r="E32" s="151">
        <v>33250</v>
      </c>
      <c r="F32" s="151">
        <v>1403055</v>
      </c>
      <c r="G32" s="151">
        <f>SUM('- 57 -'!$B32:G32,B32:F32)</f>
        <v>7623810</v>
      </c>
    </row>
    <row r="33" spans="1:7" ht="14.1" customHeight="1" x14ac:dyDescent="0.2">
      <c r="A33" s="354" t="s">
        <v>131</v>
      </c>
      <c r="B33" s="352">
        <v>622417</v>
      </c>
      <c r="C33" s="352">
        <v>165261</v>
      </c>
      <c r="D33" s="352">
        <v>91591</v>
      </c>
      <c r="E33" s="352">
        <v>39925</v>
      </c>
      <c r="F33" s="352">
        <v>1745055</v>
      </c>
      <c r="G33" s="352">
        <f>SUM('- 57 -'!$B33:G33,B33:F33)</f>
        <v>7772573</v>
      </c>
    </row>
    <row r="34" spans="1:7" ht="14.1" customHeight="1" x14ac:dyDescent="0.2">
      <c r="A34" s="237" t="s">
        <v>132</v>
      </c>
      <c r="B34" s="151">
        <v>650273</v>
      </c>
      <c r="C34" s="151">
        <v>169395</v>
      </c>
      <c r="D34" s="151">
        <v>79595</v>
      </c>
      <c r="E34" s="151">
        <v>37125</v>
      </c>
      <c r="F34" s="151">
        <v>1185885</v>
      </c>
      <c r="G34" s="151">
        <f>SUM('- 57 -'!$B34:G34,B34:F34)</f>
        <v>7176171</v>
      </c>
    </row>
    <row r="35" spans="1:7" ht="14.1" customHeight="1" x14ac:dyDescent="0.2">
      <c r="A35" s="354" t="s">
        <v>133</v>
      </c>
      <c r="B35" s="352">
        <v>5201836</v>
      </c>
      <c r="C35" s="352">
        <v>1285836</v>
      </c>
      <c r="D35" s="352">
        <v>604188</v>
      </c>
      <c r="E35" s="352">
        <v>353250</v>
      </c>
      <c r="F35" s="352">
        <v>6940035</v>
      </c>
      <c r="G35" s="352">
        <f>SUM('- 57 -'!$B35:G35,B35:F35)</f>
        <v>47531508</v>
      </c>
    </row>
    <row r="36" spans="1:7" ht="14.1" customHeight="1" x14ac:dyDescent="0.2">
      <c r="A36" s="237" t="s">
        <v>134</v>
      </c>
      <c r="B36" s="151">
        <v>495663</v>
      </c>
      <c r="C36" s="151">
        <v>128866</v>
      </c>
      <c r="D36" s="151">
        <v>71420</v>
      </c>
      <c r="E36" s="151">
        <v>27250</v>
      </c>
      <c r="F36" s="151">
        <v>1162800</v>
      </c>
      <c r="G36" s="151">
        <f>SUM('- 57 -'!$B36:G36,B36:F36)</f>
        <v>5738768</v>
      </c>
    </row>
    <row r="37" spans="1:7" ht="14.1" customHeight="1" x14ac:dyDescent="0.2">
      <c r="A37" s="354" t="s">
        <v>135</v>
      </c>
      <c r="B37" s="352">
        <v>1373640</v>
      </c>
      <c r="C37" s="352">
        <v>347247</v>
      </c>
      <c r="D37" s="352">
        <v>163164</v>
      </c>
      <c r="E37" s="352">
        <v>75750</v>
      </c>
      <c r="F37" s="352">
        <v>1710000</v>
      </c>
      <c r="G37" s="352">
        <f>SUM('- 57 -'!$B37:G37,B37:F37)</f>
        <v>13097830</v>
      </c>
    </row>
    <row r="38" spans="1:7" ht="14.1" customHeight="1" x14ac:dyDescent="0.2">
      <c r="A38" s="237" t="s">
        <v>136</v>
      </c>
      <c r="B38" s="151">
        <v>3743767</v>
      </c>
      <c r="C38" s="151">
        <v>903770</v>
      </c>
      <c r="D38" s="151">
        <v>424663</v>
      </c>
      <c r="E38" s="151">
        <v>263250</v>
      </c>
      <c r="F38" s="151">
        <v>3760290</v>
      </c>
      <c r="G38" s="151">
        <f>SUM('- 57 -'!$B38:G38,B38:F38)</f>
        <v>32408662</v>
      </c>
    </row>
    <row r="39" spans="1:7" ht="14.1" customHeight="1" x14ac:dyDescent="0.2">
      <c r="A39" s="354" t="s">
        <v>137</v>
      </c>
      <c r="B39" s="352">
        <v>467282</v>
      </c>
      <c r="C39" s="352">
        <v>124566</v>
      </c>
      <c r="D39" s="352">
        <v>69037</v>
      </c>
      <c r="E39" s="352">
        <v>28550</v>
      </c>
      <c r="F39" s="352">
        <v>1030275</v>
      </c>
      <c r="G39" s="352">
        <f>SUM('- 57 -'!$B39:G39,B39:F39)</f>
        <v>5453304</v>
      </c>
    </row>
    <row r="40" spans="1:7" ht="14.1" customHeight="1" x14ac:dyDescent="0.2">
      <c r="A40" s="237" t="s">
        <v>138</v>
      </c>
      <c r="B40" s="151">
        <v>2705898</v>
      </c>
      <c r="C40" s="151">
        <v>662963</v>
      </c>
      <c r="D40" s="151">
        <v>311513</v>
      </c>
      <c r="E40" s="151">
        <v>184125</v>
      </c>
      <c r="F40" s="151">
        <v>4145040</v>
      </c>
      <c r="G40" s="151">
        <f>SUM('- 57 -'!$B40:G40,B40:F40)</f>
        <v>25110777</v>
      </c>
    </row>
    <row r="41" spans="1:7" ht="14.1" customHeight="1" x14ac:dyDescent="0.2">
      <c r="A41" s="354" t="s">
        <v>139</v>
      </c>
      <c r="B41" s="352">
        <v>1425320</v>
      </c>
      <c r="C41" s="352">
        <v>364453</v>
      </c>
      <c r="D41" s="352">
        <v>171249</v>
      </c>
      <c r="E41" s="352">
        <v>85000</v>
      </c>
      <c r="F41" s="352">
        <v>2087055</v>
      </c>
      <c r="G41" s="352">
        <f>SUM('- 57 -'!$B41:G41,B41:F41)</f>
        <v>14010036</v>
      </c>
    </row>
    <row r="42" spans="1:7" ht="14.1" customHeight="1" x14ac:dyDescent="0.2">
      <c r="A42" s="237" t="s">
        <v>140</v>
      </c>
      <c r="B42" s="151">
        <v>455230</v>
      </c>
      <c r="C42" s="151">
        <v>111519</v>
      </c>
      <c r="D42" s="151">
        <v>68524</v>
      </c>
      <c r="E42" s="151">
        <v>29138</v>
      </c>
      <c r="F42" s="151">
        <v>1047375</v>
      </c>
      <c r="G42" s="151">
        <f>SUM('- 57 -'!$B42:G42,B42:F42)</f>
        <v>4876672</v>
      </c>
    </row>
    <row r="43" spans="1:7" ht="14.1" customHeight="1" x14ac:dyDescent="0.2">
      <c r="A43" s="354" t="s">
        <v>141</v>
      </c>
      <c r="B43" s="352">
        <v>304468</v>
      </c>
      <c r="C43" s="352">
        <v>79904</v>
      </c>
      <c r="D43" s="352">
        <v>44284</v>
      </c>
      <c r="E43" s="352">
        <v>21800</v>
      </c>
      <c r="F43" s="352">
        <v>589950</v>
      </c>
      <c r="G43" s="352">
        <f>SUM('- 57 -'!$B43:G43,B43:F43)</f>
        <v>3382146</v>
      </c>
    </row>
    <row r="44" spans="1:7" ht="14.1" customHeight="1" x14ac:dyDescent="0.2">
      <c r="A44" s="237" t="s">
        <v>142</v>
      </c>
      <c r="B44" s="151">
        <v>281296</v>
      </c>
      <c r="C44" s="151">
        <v>57544</v>
      </c>
      <c r="D44" s="151">
        <v>31892</v>
      </c>
      <c r="E44" s="151">
        <v>14375</v>
      </c>
      <c r="F44" s="151">
        <v>604485</v>
      </c>
      <c r="G44" s="151">
        <f>SUM('- 57 -'!$B44:G44,B44:F44)</f>
        <v>2819016</v>
      </c>
    </row>
    <row r="45" spans="1:7" ht="14.1" customHeight="1" x14ac:dyDescent="0.2">
      <c r="A45" s="354" t="s">
        <v>143</v>
      </c>
      <c r="B45" s="352">
        <v>531696</v>
      </c>
      <c r="C45" s="352">
        <v>137979</v>
      </c>
      <c r="D45" s="352">
        <v>76470</v>
      </c>
      <c r="E45" s="352">
        <v>34750</v>
      </c>
      <c r="F45" s="352">
        <v>595080</v>
      </c>
      <c r="G45" s="352">
        <f>SUM('- 57 -'!$B45:G45,B45:F45)</f>
        <v>4935174</v>
      </c>
    </row>
    <row r="46" spans="1:7" ht="14.1" customHeight="1" x14ac:dyDescent="0.2">
      <c r="A46" s="237" t="s">
        <v>144</v>
      </c>
      <c r="B46" s="151">
        <v>16489582</v>
      </c>
      <c r="C46" s="151">
        <v>2459979</v>
      </c>
      <c r="D46" s="151">
        <v>1155894</v>
      </c>
      <c r="E46" s="151">
        <v>734125</v>
      </c>
      <c r="F46" s="151">
        <v>14417865</v>
      </c>
      <c r="G46" s="151">
        <f>SUM('- 57 -'!$B46:G46,B46:F46)</f>
        <v>98721187</v>
      </c>
    </row>
    <row r="47" spans="1:7" ht="5.0999999999999996" customHeight="1" x14ac:dyDescent="0.2">
      <c r="A47" s="130"/>
      <c r="B47" s="152"/>
      <c r="C47" s="152"/>
      <c r="D47" s="152"/>
      <c r="E47" s="152"/>
      <c r="F47" s="152"/>
      <c r="G47" s="152"/>
    </row>
    <row r="48" spans="1:7" ht="14.1" customHeight="1" x14ac:dyDescent="0.2">
      <c r="A48" s="355" t="s">
        <v>145</v>
      </c>
      <c r="B48" s="356">
        <f t="shared" ref="B48:C48" si="0">SUM(B11:B46)</f>
        <v>63666246</v>
      </c>
      <c r="C48" s="356">
        <f t="shared" si="0"/>
        <v>14025801</v>
      </c>
      <c r="D48" s="356">
        <f t="shared" ref="D48:F48" si="1">SUM(D11:D46)</f>
        <v>6897286</v>
      </c>
      <c r="E48" s="356">
        <f t="shared" si="1"/>
        <v>3714981</v>
      </c>
      <c r="F48" s="356">
        <f t="shared" si="1"/>
        <v>85266585</v>
      </c>
      <c r="G48" s="356">
        <f t="shared" ref="G48" si="2">SUM(G11:G46)</f>
        <v>547022297</v>
      </c>
    </row>
    <row r="49" spans="1:7" ht="5.0999999999999996" customHeight="1" x14ac:dyDescent="0.2">
      <c r="A49" s="130" t="s">
        <v>7</v>
      </c>
      <c r="B49" s="152"/>
      <c r="C49" s="152"/>
      <c r="D49" s="152"/>
      <c r="E49" s="152"/>
      <c r="F49" s="152"/>
      <c r="G49" s="152"/>
    </row>
    <row r="50" spans="1:7" ht="14.1" customHeight="1" x14ac:dyDescent="0.2">
      <c r="A50" s="237" t="s">
        <v>146</v>
      </c>
      <c r="B50" s="151">
        <v>48551</v>
      </c>
      <c r="C50" s="151">
        <v>12865</v>
      </c>
      <c r="D50" s="151">
        <v>7130</v>
      </c>
      <c r="E50" s="151">
        <v>3875</v>
      </c>
      <c r="F50" s="151">
        <v>233415</v>
      </c>
      <c r="G50" s="151">
        <f>SUM('- 57 -'!$B50:G50,B50:F50)</f>
        <v>589005</v>
      </c>
    </row>
    <row r="51" spans="1:7" ht="14.1" customHeight="1" x14ac:dyDescent="0.2">
      <c r="A51" s="354" t="s">
        <v>607</v>
      </c>
      <c r="B51" s="352">
        <v>0</v>
      </c>
      <c r="C51" s="352">
        <v>0</v>
      </c>
      <c r="D51" s="352">
        <v>0</v>
      </c>
      <c r="E51" s="352">
        <v>0</v>
      </c>
      <c r="F51" s="352">
        <v>0</v>
      </c>
      <c r="G51" s="352">
        <f>SUM('- 57 -'!$B51:G51,B51:F51)</f>
        <v>0</v>
      </c>
    </row>
    <row r="52" spans="1:7" ht="50.1" customHeight="1" x14ac:dyDescent="0.2">
      <c r="A52" s="184"/>
      <c r="B52" s="184"/>
      <c r="C52" s="184"/>
      <c r="D52" s="184"/>
      <c r="E52" s="184"/>
      <c r="F52" s="184"/>
      <c r="G52" s="184"/>
    </row>
    <row r="53" spans="1:7" ht="15" customHeight="1" x14ac:dyDescent="0.2">
      <c r="A53" s="575"/>
      <c r="B53" s="575"/>
      <c r="C53" s="184"/>
      <c r="D53" s="575"/>
      <c r="E53" s="575"/>
      <c r="F53" s="575"/>
      <c r="G53" s="575"/>
    </row>
    <row r="54" spans="1:7" x14ac:dyDescent="0.2">
      <c r="A54" s="38"/>
    </row>
  </sheetData>
  <mergeCells count="7">
    <mergeCell ref="B4:G5"/>
    <mergeCell ref="B6:G6"/>
    <mergeCell ref="B8:B9"/>
    <mergeCell ref="C8:C9"/>
    <mergeCell ref="D8:D9"/>
    <mergeCell ref="E8:E9"/>
    <mergeCell ref="G7:G9"/>
  </mergeCells>
  <phoneticPr fontId="6" type="noConversion"/>
  <pageMargins left="0.5" right="0.5" top="0.6" bottom="0.2" header="0.3" footer="0.5"/>
  <pageSetup scale="90" orientation="portrait" r:id="rId1"/>
  <headerFooter alignWithMargins="0">
    <oddHeader>&amp;C&amp;"Arial,Regular"&amp;11&amp;A</oddHead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F56"/>
  <sheetViews>
    <sheetView showGridLines="0" showZeros="0" workbookViewId="0"/>
  </sheetViews>
  <sheetFormatPr defaultColWidth="19.83203125" defaultRowHeight="12" x14ac:dyDescent="0.2"/>
  <cols>
    <col min="1" max="1" width="29.1640625" style="2" customWidth="1"/>
    <col min="2" max="2" width="22.83203125" style="2" customWidth="1"/>
    <col min="3" max="3" width="17.6640625" style="2" customWidth="1"/>
    <col min="4" max="4" width="18.1640625" style="2" customWidth="1"/>
    <col min="5" max="5" width="20.6640625" style="2" customWidth="1"/>
    <col min="6" max="6" width="23.5" style="2" customWidth="1"/>
    <col min="7" max="7" width="14.83203125" style="2" customWidth="1"/>
    <col min="8" max="16384" width="19.83203125" style="2"/>
  </cols>
  <sheetData>
    <row r="1" spans="1:6" ht="6.95" customHeight="1" x14ac:dyDescent="0.2">
      <c r="A1" s="7"/>
      <c r="B1" s="7"/>
      <c r="C1" s="7"/>
      <c r="D1" s="7"/>
      <c r="E1" s="7"/>
      <c r="F1" s="7"/>
    </row>
    <row r="2" spans="1:6" ht="15.95" customHeight="1" x14ac:dyDescent="0.2">
      <c r="A2" s="261"/>
      <c r="B2" s="204" t="str">
        <f>REVYEAR</f>
        <v>ANALYSIS OF OPERATING FUND REVENUE: 2017/2018 ACTUAL</v>
      </c>
      <c r="C2" s="262"/>
      <c r="D2" s="264"/>
      <c r="E2" s="264"/>
      <c r="F2" s="215" t="s">
        <v>100</v>
      </c>
    </row>
    <row r="3" spans="1:6" ht="15.95" customHeight="1" x14ac:dyDescent="0.2">
      <c r="A3" s="537"/>
      <c r="B3" s="205"/>
      <c r="C3" s="7"/>
      <c r="D3" s="7"/>
      <c r="E3" s="7"/>
      <c r="F3" s="7"/>
    </row>
    <row r="4" spans="1:6" ht="15.95" customHeight="1" x14ac:dyDescent="0.2">
      <c r="B4" s="797" t="s">
        <v>576</v>
      </c>
      <c r="C4" s="785"/>
      <c r="D4" s="785"/>
      <c r="E4" s="785"/>
      <c r="F4" s="786"/>
    </row>
    <row r="5" spans="1:6" ht="15.95" customHeight="1" x14ac:dyDescent="0.2">
      <c r="B5" s="787"/>
      <c r="C5" s="788"/>
      <c r="D5" s="788"/>
      <c r="E5" s="788"/>
      <c r="F5" s="789"/>
    </row>
    <row r="6" spans="1:6" ht="15.95" customHeight="1" x14ac:dyDescent="0.2">
      <c r="B6" s="798" t="s">
        <v>52</v>
      </c>
      <c r="C6" s="799"/>
      <c r="D6" s="799"/>
      <c r="E6" s="799"/>
      <c r="F6" s="800"/>
    </row>
    <row r="7" spans="1:6" ht="15.95" customHeight="1" x14ac:dyDescent="0.2">
      <c r="B7" s="220"/>
      <c r="C7" s="220"/>
      <c r="D7" s="692" t="s">
        <v>578</v>
      </c>
      <c r="E7" s="692" t="s">
        <v>579</v>
      </c>
      <c r="F7" s="692" t="s">
        <v>580</v>
      </c>
    </row>
    <row r="8" spans="1:6" ht="15.95" customHeight="1" x14ac:dyDescent="0.2">
      <c r="A8" s="67"/>
      <c r="B8" s="802" t="s">
        <v>366</v>
      </c>
      <c r="C8" s="795" t="s">
        <v>577</v>
      </c>
      <c r="D8" s="795"/>
      <c r="E8" s="795"/>
      <c r="F8" s="795"/>
    </row>
    <row r="9" spans="1:6" ht="15.95" customHeight="1" x14ac:dyDescent="0.2">
      <c r="A9" s="35" t="s">
        <v>42</v>
      </c>
      <c r="B9" s="803"/>
      <c r="C9" s="796"/>
      <c r="D9" s="796"/>
      <c r="E9" s="796"/>
      <c r="F9" s="796"/>
    </row>
    <row r="10" spans="1:6" ht="5.0999999999999996" customHeight="1" x14ac:dyDescent="0.2">
      <c r="A10" s="6"/>
      <c r="B10" s="7"/>
      <c r="C10" s="7"/>
      <c r="D10" s="7"/>
      <c r="E10" s="7"/>
    </row>
    <row r="11" spans="1:6" ht="14.1" customHeight="1" x14ac:dyDescent="0.2">
      <c r="A11" s="354" t="s">
        <v>110</v>
      </c>
      <c r="B11" s="352">
        <v>667080</v>
      </c>
      <c r="C11" s="352">
        <f>SUM(Data!S11:U11)</f>
        <v>674606</v>
      </c>
      <c r="D11" s="352">
        <v>314775</v>
      </c>
      <c r="E11" s="352">
        <v>45651</v>
      </c>
      <c r="F11" s="352">
        <v>36000</v>
      </c>
    </row>
    <row r="12" spans="1:6" ht="14.1" customHeight="1" x14ac:dyDescent="0.2">
      <c r="A12" s="237" t="s">
        <v>111</v>
      </c>
      <c r="B12" s="151">
        <v>1274959</v>
      </c>
      <c r="C12" s="151">
        <f>SUM(Data!S12:U12)</f>
        <v>1117949</v>
      </c>
      <c r="D12" s="151">
        <v>152575</v>
      </c>
      <c r="E12" s="151">
        <v>168740</v>
      </c>
      <c r="F12" s="151">
        <v>54000</v>
      </c>
    </row>
    <row r="13" spans="1:6" ht="14.1" customHeight="1" x14ac:dyDescent="0.2">
      <c r="A13" s="354" t="s">
        <v>112</v>
      </c>
      <c r="B13" s="352">
        <v>1075567</v>
      </c>
      <c r="C13" s="352">
        <f>SUM(Data!S13:U13)</f>
        <v>3142794</v>
      </c>
      <c r="D13" s="352">
        <v>782429</v>
      </c>
      <c r="E13" s="352">
        <v>646193</v>
      </c>
      <c r="F13" s="352">
        <v>371000</v>
      </c>
    </row>
    <row r="14" spans="1:6" ht="14.1" customHeight="1" x14ac:dyDescent="0.2">
      <c r="A14" s="237" t="s">
        <v>359</v>
      </c>
      <c r="B14" s="151">
        <v>3406468</v>
      </c>
      <c r="C14" s="151">
        <f>SUM(Data!S14:U14)</f>
        <v>1172528</v>
      </c>
      <c r="D14" s="151">
        <v>179925</v>
      </c>
      <c r="E14" s="151">
        <v>110990</v>
      </c>
      <c r="F14" s="151">
        <v>530000</v>
      </c>
    </row>
    <row r="15" spans="1:6" ht="14.1" customHeight="1" x14ac:dyDescent="0.2">
      <c r="A15" s="354" t="s">
        <v>113</v>
      </c>
      <c r="B15" s="352">
        <v>874022</v>
      </c>
      <c r="C15" s="352">
        <f>SUM(Data!S15:U15)</f>
        <v>862604</v>
      </c>
      <c r="D15" s="352">
        <v>14950</v>
      </c>
      <c r="E15" s="352">
        <v>64378</v>
      </c>
      <c r="F15" s="352">
        <v>128000</v>
      </c>
    </row>
    <row r="16" spans="1:6" ht="14.1" customHeight="1" x14ac:dyDescent="0.2">
      <c r="A16" s="237" t="s">
        <v>114</v>
      </c>
      <c r="B16" s="151">
        <v>105587</v>
      </c>
      <c r="C16" s="151">
        <f>SUM(Data!S16:U16)</f>
        <v>468730</v>
      </c>
      <c r="D16" s="151">
        <v>5950</v>
      </c>
      <c r="E16" s="151">
        <v>29975</v>
      </c>
      <c r="F16" s="151">
        <v>81500</v>
      </c>
    </row>
    <row r="17" spans="1:6" ht="14.1" customHeight="1" x14ac:dyDescent="0.2">
      <c r="A17" s="354" t="s">
        <v>115</v>
      </c>
      <c r="B17" s="352">
        <v>898135</v>
      </c>
      <c r="C17" s="352">
        <f>SUM(Data!S17:U17)</f>
        <v>588791</v>
      </c>
      <c r="D17" s="352">
        <v>18950</v>
      </c>
      <c r="E17" s="352">
        <v>55165</v>
      </c>
      <c r="F17" s="352">
        <v>18000</v>
      </c>
    </row>
    <row r="18" spans="1:6" ht="14.1" customHeight="1" x14ac:dyDescent="0.2">
      <c r="A18" s="237" t="s">
        <v>116</v>
      </c>
      <c r="B18" s="151">
        <v>1334424</v>
      </c>
      <c r="C18" s="151">
        <f>SUM(Data!S18:U18)</f>
        <v>1843321</v>
      </c>
      <c r="D18" s="151">
        <v>0</v>
      </c>
      <c r="E18" s="151">
        <v>84535</v>
      </c>
      <c r="F18" s="151">
        <v>851750</v>
      </c>
    </row>
    <row r="19" spans="1:6" ht="14.1" customHeight="1" x14ac:dyDescent="0.2">
      <c r="A19" s="354" t="s">
        <v>117</v>
      </c>
      <c r="B19" s="352">
        <v>1533983</v>
      </c>
      <c r="C19" s="352">
        <f>SUM(Data!S19:U19)</f>
        <v>1934108</v>
      </c>
      <c r="D19" s="352">
        <v>602400</v>
      </c>
      <c r="E19" s="352">
        <v>312290</v>
      </c>
      <c r="F19" s="352">
        <v>27000</v>
      </c>
    </row>
    <row r="20" spans="1:6" ht="14.1" customHeight="1" x14ac:dyDescent="0.2">
      <c r="A20" s="237" t="s">
        <v>118</v>
      </c>
      <c r="B20" s="151">
        <v>2613523</v>
      </c>
      <c r="C20" s="151">
        <f>SUM(Data!S20:U20)</f>
        <v>3390516</v>
      </c>
      <c r="D20" s="151">
        <v>619050</v>
      </c>
      <c r="E20" s="151">
        <v>475090</v>
      </c>
      <c r="F20" s="151">
        <v>171000</v>
      </c>
    </row>
    <row r="21" spans="1:6" ht="14.1" customHeight="1" x14ac:dyDescent="0.2">
      <c r="A21" s="354" t="s">
        <v>119</v>
      </c>
      <c r="B21" s="352">
        <v>1246201</v>
      </c>
      <c r="C21" s="352">
        <f>SUM(Data!S21:U21)</f>
        <v>1346274</v>
      </c>
      <c r="D21" s="352">
        <v>41450</v>
      </c>
      <c r="E21" s="352">
        <v>85168</v>
      </c>
      <c r="F21" s="352">
        <v>135000</v>
      </c>
    </row>
    <row r="22" spans="1:6" ht="14.1" customHeight="1" x14ac:dyDescent="0.2">
      <c r="A22" s="237" t="s">
        <v>120</v>
      </c>
      <c r="B22" s="151">
        <v>291201</v>
      </c>
      <c r="C22" s="151">
        <f>SUM(Data!S22:U22)</f>
        <v>972015</v>
      </c>
      <c r="D22" s="151">
        <v>11750</v>
      </c>
      <c r="E22" s="151">
        <v>71665</v>
      </c>
      <c r="F22" s="151">
        <v>171000</v>
      </c>
    </row>
    <row r="23" spans="1:6" ht="14.1" customHeight="1" x14ac:dyDescent="0.2">
      <c r="A23" s="354" t="s">
        <v>121</v>
      </c>
      <c r="B23" s="352">
        <v>909225</v>
      </c>
      <c r="C23" s="352">
        <f>SUM(Data!S23:U23)</f>
        <v>654992</v>
      </c>
      <c r="D23" s="352">
        <v>11700</v>
      </c>
      <c r="E23" s="352">
        <v>40645</v>
      </c>
      <c r="F23" s="352">
        <v>99000</v>
      </c>
    </row>
    <row r="24" spans="1:6" ht="14.1" customHeight="1" x14ac:dyDescent="0.2">
      <c r="A24" s="237" t="s">
        <v>122</v>
      </c>
      <c r="B24" s="151">
        <v>1629679</v>
      </c>
      <c r="C24" s="151">
        <f>SUM(Data!S24:U24)</f>
        <v>2055977</v>
      </c>
      <c r="D24" s="151">
        <v>73725</v>
      </c>
      <c r="E24" s="151">
        <v>323896</v>
      </c>
      <c r="F24" s="151">
        <v>356500</v>
      </c>
    </row>
    <row r="25" spans="1:6" ht="14.1" customHeight="1" x14ac:dyDescent="0.2">
      <c r="A25" s="354" t="s">
        <v>123</v>
      </c>
      <c r="B25" s="352">
        <v>1229591</v>
      </c>
      <c r="C25" s="352">
        <f>SUM(Data!S25:U25)</f>
        <v>8969015</v>
      </c>
      <c r="D25" s="352">
        <v>1287675</v>
      </c>
      <c r="E25" s="352">
        <v>700040</v>
      </c>
      <c r="F25" s="352">
        <v>803000</v>
      </c>
    </row>
    <row r="26" spans="1:6" ht="14.1" customHeight="1" x14ac:dyDescent="0.2">
      <c r="A26" s="237" t="s">
        <v>124</v>
      </c>
      <c r="B26" s="151">
        <v>1567404</v>
      </c>
      <c r="C26" s="151">
        <f>SUM(Data!S26:U26)</f>
        <v>1176151</v>
      </c>
      <c r="D26" s="151">
        <v>28250</v>
      </c>
      <c r="E26" s="151">
        <v>220550</v>
      </c>
      <c r="F26" s="151">
        <v>245000</v>
      </c>
    </row>
    <row r="27" spans="1:6" ht="14.1" customHeight="1" x14ac:dyDescent="0.2">
      <c r="A27" s="354" t="s">
        <v>125</v>
      </c>
      <c r="B27" s="352">
        <v>68072</v>
      </c>
      <c r="C27" s="352">
        <f>SUM(Data!S27:U27)</f>
        <v>1967601</v>
      </c>
      <c r="D27" s="352">
        <v>102150</v>
      </c>
      <c r="E27" s="352">
        <v>212190</v>
      </c>
      <c r="F27" s="352">
        <v>280500</v>
      </c>
    </row>
    <row r="28" spans="1:6" ht="14.1" customHeight="1" x14ac:dyDescent="0.2">
      <c r="A28" s="237" t="s">
        <v>126</v>
      </c>
      <c r="B28" s="151">
        <v>1226359</v>
      </c>
      <c r="C28" s="151">
        <f>SUM(Data!S28:U28)</f>
        <v>591166</v>
      </c>
      <c r="D28" s="151">
        <v>33050</v>
      </c>
      <c r="E28" s="151">
        <v>78540</v>
      </c>
      <c r="F28" s="151">
        <v>90500</v>
      </c>
    </row>
    <row r="29" spans="1:6" ht="14.1" customHeight="1" x14ac:dyDescent="0.2">
      <c r="A29" s="354" t="s">
        <v>127</v>
      </c>
      <c r="B29" s="352">
        <v>1084600</v>
      </c>
      <c r="C29" s="352">
        <f>SUM(Data!S29:U29)</f>
        <v>6800701</v>
      </c>
      <c r="D29" s="352">
        <v>2030850</v>
      </c>
      <c r="E29" s="352">
        <v>268620</v>
      </c>
      <c r="F29" s="352">
        <v>333000</v>
      </c>
    </row>
    <row r="30" spans="1:6" ht="14.1" customHeight="1" x14ac:dyDescent="0.2">
      <c r="A30" s="237" t="s">
        <v>128</v>
      </c>
      <c r="B30" s="151">
        <v>682418</v>
      </c>
      <c r="C30" s="151">
        <f>SUM(Data!S30:U30)</f>
        <v>571380</v>
      </c>
      <c r="D30" s="151">
        <v>70400</v>
      </c>
      <c r="E30" s="151">
        <v>33935</v>
      </c>
      <c r="F30" s="151">
        <v>47000</v>
      </c>
    </row>
    <row r="31" spans="1:6" ht="14.1" customHeight="1" x14ac:dyDescent="0.2">
      <c r="A31" s="354" t="s">
        <v>129</v>
      </c>
      <c r="B31" s="352">
        <v>827951</v>
      </c>
      <c r="C31" s="352">
        <f>SUM(Data!S31:U31)</f>
        <v>1851064</v>
      </c>
      <c r="D31" s="352">
        <v>133250</v>
      </c>
      <c r="E31" s="352">
        <v>180565</v>
      </c>
      <c r="F31" s="352">
        <v>256400</v>
      </c>
    </row>
    <row r="32" spans="1:6" ht="14.1" customHeight="1" x14ac:dyDescent="0.2">
      <c r="A32" s="237" t="s">
        <v>130</v>
      </c>
      <c r="B32" s="151">
        <v>1350173</v>
      </c>
      <c r="C32" s="151">
        <f>SUM(Data!S32:U32)</f>
        <v>855085</v>
      </c>
      <c r="D32" s="151">
        <v>155550</v>
      </c>
      <c r="E32" s="151">
        <v>56458</v>
      </c>
      <c r="F32" s="151">
        <v>99000</v>
      </c>
    </row>
    <row r="33" spans="1:6" ht="14.1" customHeight="1" x14ac:dyDescent="0.2">
      <c r="A33" s="354" t="s">
        <v>131</v>
      </c>
      <c r="B33" s="352">
        <v>1409808</v>
      </c>
      <c r="C33" s="352">
        <f>SUM(Data!S33:U33)</f>
        <v>857119</v>
      </c>
      <c r="D33" s="352">
        <v>133800</v>
      </c>
      <c r="E33" s="352">
        <v>52966</v>
      </c>
      <c r="F33" s="352">
        <v>36000</v>
      </c>
    </row>
    <row r="34" spans="1:6" ht="14.1" customHeight="1" x14ac:dyDescent="0.2">
      <c r="A34" s="237" t="s">
        <v>132</v>
      </c>
      <c r="B34" s="151">
        <v>1501129</v>
      </c>
      <c r="C34" s="151">
        <f>SUM(Data!S34:U34)</f>
        <v>1258220</v>
      </c>
      <c r="D34" s="151">
        <v>81575</v>
      </c>
      <c r="E34" s="151">
        <v>76863</v>
      </c>
      <c r="F34" s="151">
        <v>108000</v>
      </c>
    </row>
    <row r="35" spans="1:6" ht="14.1" customHeight="1" x14ac:dyDescent="0.2">
      <c r="A35" s="354" t="s">
        <v>133</v>
      </c>
      <c r="B35" s="352">
        <v>1853896</v>
      </c>
      <c r="C35" s="352">
        <f>SUM(Data!S35:U35)</f>
        <v>9483908</v>
      </c>
      <c r="D35" s="352">
        <v>809600</v>
      </c>
      <c r="E35" s="352">
        <v>874665</v>
      </c>
      <c r="F35" s="352">
        <v>864000</v>
      </c>
    </row>
    <row r="36" spans="1:6" ht="14.1" customHeight="1" x14ac:dyDescent="0.2">
      <c r="A36" s="237" t="s">
        <v>134</v>
      </c>
      <c r="B36" s="151">
        <v>885052</v>
      </c>
      <c r="C36" s="151">
        <f>SUM(Data!S36:U36)</f>
        <v>587408</v>
      </c>
      <c r="D36" s="151">
        <v>35650</v>
      </c>
      <c r="E36" s="151">
        <v>19635</v>
      </c>
      <c r="F36" s="151">
        <v>74000</v>
      </c>
    </row>
    <row r="37" spans="1:6" ht="14.1" customHeight="1" x14ac:dyDescent="0.2">
      <c r="A37" s="354" t="s">
        <v>135</v>
      </c>
      <c r="B37" s="352">
        <v>1820324</v>
      </c>
      <c r="C37" s="352">
        <f>SUM(Data!S37:U37)</f>
        <v>2398841</v>
      </c>
      <c r="D37" s="352">
        <v>179350</v>
      </c>
      <c r="E37" s="352">
        <v>164891</v>
      </c>
      <c r="F37" s="352">
        <v>396000</v>
      </c>
    </row>
    <row r="38" spans="1:6" ht="14.1" customHeight="1" x14ac:dyDescent="0.2">
      <c r="A38" s="237" t="s">
        <v>136</v>
      </c>
      <c r="B38" s="151">
        <v>1047859</v>
      </c>
      <c r="C38" s="151">
        <f>SUM(Data!S38:U38)</f>
        <v>6357560</v>
      </c>
      <c r="D38" s="151">
        <v>777350</v>
      </c>
      <c r="E38" s="151">
        <v>451276</v>
      </c>
      <c r="F38" s="151">
        <v>359500</v>
      </c>
    </row>
    <row r="39" spans="1:6" ht="14.1" customHeight="1" x14ac:dyDescent="0.2">
      <c r="A39" s="354" t="s">
        <v>137</v>
      </c>
      <c r="B39" s="352">
        <v>1086893</v>
      </c>
      <c r="C39" s="352">
        <f>SUM(Data!S39:U39)</f>
        <v>590936</v>
      </c>
      <c r="D39" s="352">
        <v>53250</v>
      </c>
      <c r="E39" s="352">
        <v>42625</v>
      </c>
      <c r="F39" s="352">
        <v>36000</v>
      </c>
    </row>
    <row r="40" spans="1:6" ht="14.1" customHeight="1" x14ac:dyDescent="0.2">
      <c r="A40" s="237" t="s">
        <v>138</v>
      </c>
      <c r="B40" s="151">
        <v>754763</v>
      </c>
      <c r="C40" s="151">
        <f>SUM(Data!S40:U40)</f>
        <v>4897332</v>
      </c>
      <c r="D40" s="151">
        <v>501425</v>
      </c>
      <c r="E40" s="151">
        <v>589105</v>
      </c>
      <c r="F40" s="151">
        <v>371200</v>
      </c>
    </row>
    <row r="41" spans="1:6" ht="14.1" customHeight="1" x14ac:dyDescent="0.2">
      <c r="A41" s="354" t="s">
        <v>139</v>
      </c>
      <c r="B41" s="352">
        <v>2912055</v>
      </c>
      <c r="C41" s="352">
        <f>SUM(Data!S41:U41)</f>
        <v>2622395</v>
      </c>
      <c r="D41" s="352">
        <v>107475</v>
      </c>
      <c r="E41" s="352">
        <v>193270</v>
      </c>
      <c r="F41" s="352">
        <v>255000</v>
      </c>
    </row>
    <row r="42" spans="1:6" ht="14.1" customHeight="1" x14ac:dyDescent="0.2">
      <c r="A42" s="237" t="s">
        <v>140</v>
      </c>
      <c r="B42" s="151">
        <v>1029816</v>
      </c>
      <c r="C42" s="151">
        <f>SUM(Data!S42:U42)</f>
        <v>721880</v>
      </c>
      <c r="D42" s="151">
        <v>4350</v>
      </c>
      <c r="E42" s="151">
        <v>181555</v>
      </c>
      <c r="F42" s="151">
        <v>146000</v>
      </c>
    </row>
    <row r="43" spans="1:6" ht="14.1" customHeight="1" x14ac:dyDescent="0.2">
      <c r="A43" s="354" t="s">
        <v>141</v>
      </c>
      <c r="B43" s="352">
        <v>571439</v>
      </c>
      <c r="C43" s="352">
        <f>SUM(Data!S43:U43)</f>
        <v>378262</v>
      </c>
      <c r="D43" s="352">
        <v>75500</v>
      </c>
      <c r="E43" s="352">
        <v>31790</v>
      </c>
      <c r="F43" s="352">
        <v>27000</v>
      </c>
    </row>
    <row r="44" spans="1:6" ht="14.1" customHeight="1" x14ac:dyDescent="0.2">
      <c r="A44" s="237" t="s">
        <v>142</v>
      </c>
      <c r="B44" s="151">
        <v>771555</v>
      </c>
      <c r="C44" s="151">
        <f>SUM(Data!S44:U44)</f>
        <v>422290</v>
      </c>
      <c r="D44" s="151">
        <v>18150</v>
      </c>
      <c r="E44" s="151">
        <v>31378</v>
      </c>
      <c r="F44" s="151">
        <v>99000</v>
      </c>
    </row>
    <row r="45" spans="1:6" ht="14.1" customHeight="1" x14ac:dyDescent="0.2">
      <c r="A45" s="354" t="s">
        <v>143</v>
      </c>
      <c r="B45" s="352">
        <v>517193</v>
      </c>
      <c r="C45" s="352">
        <f>SUM(Data!S45:U45)</f>
        <v>616244</v>
      </c>
      <c r="D45" s="352">
        <v>168025</v>
      </c>
      <c r="E45" s="352">
        <v>69245</v>
      </c>
      <c r="F45" s="352">
        <v>27000</v>
      </c>
    </row>
    <row r="46" spans="1:6" ht="14.1" customHeight="1" x14ac:dyDescent="0.2">
      <c r="A46" s="237" t="s">
        <v>144</v>
      </c>
      <c r="B46" s="151">
        <v>1335688</v>
      </c>
      <c r="C46" s="151">
        <f>SUM(Data!S46:U46)</f>
        <v>16701595</v>
      </c>
      <c r="D46" s="151">
        <v>2990690</v>
      </c>
      <c r="E46" s="151">
        <v>1625580</v>
      </c>
      <c r="F46" s="151">
        <v>2379400</v>
      </c>
    </row>
    <row r="47" spans="1:6" ht="5.0999999999999996" customHeight="1" x14ac:dyDescent="0.2">
      <c r="A47" s="130"/>
      <c r="B47" s="152"/>
      <c r="C47" s="152"/>
      <c r="D47" s="152"/>
      <c r="E47" s="152"/>
      <c r="F47" s="152"/>
    </row>
    <row r="48" spans="1:6" ht="14.1" customHeight="1" x14ac:dyDescent="0.2">
      <c r="A48" s="355" t="s">
        <v>145</v>
      </c>
      <c r="B48" s="356">
        <f t="shared" ref="B48:D48" si="0">SUM(B11:B46)</f>
        <v>43394092</v>
      </c>
      <c r="C48" s="356">
        <f>SUM(C11:C46)</f>
        <v>90901358</v>
      </c>
      <c r="D48" s="356">
        <f t="shared" si="0"/>
        <v>12606994</v>
      </c>
      <c r="E48" s="356">
        <f t="shared" ref="E48:F48" si="1">SUM(E11:E46)</f>
        <v>8670123</v>
      </c>
      <c r="F48" s="356">
        <f t="shared" si="1"/>
        <v>10362250</v>
      </c>
    </row>
    <row r="49" spans="1:6" ht="5.0999999999999996" customHeight="1" x14ac:dyDescent="0.2">
      <c r="A49" s="130" t="s">
        <v>7</v>
      </c>
      <c r="B49" s="152"/>
      <c r="C49" s="152"/>
      <c r="D49" s="152"/>
      <c r="E49" s="152"/>
      <c r="F49" s="152"/>
    </row>
    <row r="50" spans="1:6" ht="14.1" customHeight="1" x14ac:dyDescent="0.2">
      <c r="A50" s="237" t="s">
        <v>146</v>
      </c>
      <c r="B50" s="151">
        <v>1128</v>
      </c>
      <c r="C50" s="151">
        <f>SUM(Data!S50:U50)</f>
        <v>67415</v>
      </c>
      <c r="D50" s="151">
        <v>750</v>
      </c>
      <c r="E50" s="151">
        <v>8305</v>
      </c>
      <c r="F50" s="151">
        <v>0</v>
      </c>
    </row>
    <row r="51" spans="1:6" ht="14.1" customHeight="1" x14ac:dyDescent="0.2">
      <c r="A51" s="354" t="s">
        <v>607</v>
      </c>
      <c r="B51" s="352">
        <v>0</v>
      </c>
      <c r="C51" s="352">
        <f>SUM(Data!S51:U51)</f>
        <v>0</v>
      </c>
      <c r="D51" s="352">
        <v>0</v>
      </c>
      <c r="E51" s="352">
        <v>0</v>
      </c>
      <c r="F51" s="352">
        <v>0</v>
      </c>
    </row>
    <row r="52" spans="1:6" ht="50.1" customHeight="1" x14ac:dyDescent="0.2">
      <c r="A52" s="23"/>
      <c r="B52" s="23"/>
      <c r="C52" s="23"/>
      <c r="D52" s="23"/>
      <c r="E52" s="23"/>
      <c r="F52" s="23"/>
    </row>
    <row r="53" spans="1:6" ht="15" customHeight="1" x14ac:dyDescent="0.2">
      <c r="A53" s="38" t="s">
        <v>358</v>
      </c>
      <c r="B53" s="243"/>
      <c r="C53" s="38"/>
      <c r="D53" s="38"/>
      <c r="E53" s="38"/>
      <c r="F53" s="38"/>
    </row>
    <row r="54" spans="1:6" ht="12" customHeight="1" x14ac:dyDescent="0.2">
      <c r="A54" s="801" t="str">
        <f>"(2)  Includes support for coordinators, clinicians and level 2 and 3 pupils. Note: total special needs support is " &amp;TEXT(C48+'- 58 -'!B48,"$0,000,000")&amp; " (Student Services,
       page 58 and Special Needs)."</f>
        <v>(2)  Includes support for coordinators, clinicians and level 2 and 3 pupils. Note: total special needs support is $154,567,604 (Student Services,
       page 58 and Special Needs).</v>
      </c>
      <c r="B54" s="801"/>
      <c r="C54" s="801"/>
      <c r="D54" s="801"/>
      <c r="E54" s="801"/>
      <c r="F54" s="801"/>
    </row>
    <row r="55" spans="1:6" ht="12" customHeight="1" x14ac:dyDescent="0.2">
      <c r="A55" s="801"/>
      <c r="B55" s="801"/>
      <c r="C55" s="801"/>
      <c r="D55" s="801"/>
      <c r="E55" s="801"/>
      <c r="F55" s="801"/>
    </row>
    <row r="56" spans="1:6" ht="14.1" customHeight="1" x14ac:dyDescent="0.2">
      <c r="A56" s="38"/>
      <c r="B56" s="38"/>
      <c r="C56" s="265"/>
      <c r="D56" s="38"/>
      <c r="E56" s="38"/>
      <c r="F56" s="38"/>
    </row>
  </sheetData>
  <mergeCells count="8">
    <mergeCell ref="B4:F5"/>
    <mergeCell ref="B6:F6"/>
    <mergeCell ref="A54:F55"/>
    <mergeCell ref="C8:C9"/>
    <mergeCell ref="D7:D9"/>
    <mergeCell ref="E7:E9"/>
    <mergeCell ref="F7:F9"/>
    <mergeCell ref="B8:B9"/>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F53"/>
  <sheetViews>
    <sheetView showGridLines="0" showZeros="0" workbookViewId="0"/>
  </sheetViews>
  <sheetFormatPr defaultColWidth="19.83203125" defaultRowHeight="12" x14ac:dyDescent="0.2"/>
  <cols>
    <col min="1" max="1" width="34.1640625" style="2" customWidth="1"/>
    <col min="2" max="2" width="18.83203125" style="2" customWidth="1"/>
    <col min="3" max="3" width="19.83203125" style="2" customWidth="1"/>
    <col min="4" max="5" width="19.1640625" style="2" customWidth="1"/>
    <col min="6" max="6" width="17.83203125" style="2" customWidth="1"/>
    <col min="7" max="16384" width="19.83203125" style="2"/>
  </cols>
  <sheetData>
    <row r="1" spans="1:6" ht="6.95" customHeight="1" x14ac:dyDescent="0.2">
      <c r="A1" s="7"/>
      <c r="B1" s="7"/>
      <c r="C1" s="7"/>
      <c r="D1" s="7"/>
      <c r="E1" s="7"/>
      <c r="F1" s="7"/>
    </row>
    <row r="2" spans="1:6" ht="15.95" customHeight="1" x14ac:dyDescent="0.2">
      <c r="A2" s="261"/>
      <c r="B2" s="204" t="str">
        <f>REVYEAR</f>
        <v>ANALYSIS OF OPERATING FUND REVENUE: 2017/2018 ACTUAL</v>
      </c>
      <c r="C2" s="262"/>
      <c r="D2" s="262"/>
      <c r="E2" s="262"/>
      <c r="F2" s="215" t="s">
        <v>101</v>
      </c>
    </row>
    <row r="3" spans="1:6" ht="15.95" customHeight="1" x14ac:dyDescent="0.2">
      <c r="A3" s="537"/>
      <c r="B3" s="7"/>
      <c r="C3" s="7"/>
      <c r="D3" s="7"/>
      <c r="E3" s="7"/>
      <c r="F3" s="7"/>
    </row>
    <row r="4" spans="1:6" ht="15.95" customHeight="1" x14ac:dyDescent="0.2">
      <c r="B4" s="784" t="s">
        <v>576</v>
      </c>
      <c r="C4" s="785"/>
      <c r="D4" s="785"/>
      <c r="E4" s="785"/>
      <c r="F4" s="786"/>
    </row>
    <row r="5" spans="1:6" ht="15.95" customHeight="1" x14ac:dyDescent="0.2">
      <c r="B5" s="787"/>
      <c r="C5" s="788"/>
      <c r="D5" s="788"/>
      <c r="E5" s="788"/>
      <c r="F5" s="789"/>
    </row>
    <row r="6" spans="1:6" ht="15.95" customHeight="1" x14ac:dyDescent="0.2">
      <c r="B6" s="807" t="s">
        <v>52</v>
      </c>
      <c r="C6" s="808"/>
      <c r="D6" s="808"/>
      <c r="E6" s="808"/>
      <c r="F6" s="809"/>
    </row>
    <row r="7" spans="1:6" ht="15.95" customHeight="1" x14ac:dyDescent="0.2">
      <c r="B7" s="721" t="s">
        <v>581</v>
      </c>
      <c r="C7" s="806" t="s">
        <v>582</v>
      </c>
      <c r="D7" s="692" t="s">
        <v>583</v>
      </c>
      <c r="E7" s="33"/>
      <c r="F7" s="692" t="s">
        <v>585</v>
      </c>
    </row>
    <row r="8" spans="1:6" ht="15.95" customHeight="1" x14ac:dyDescent="0.2">
      <c r="A8" s="403"/>
      <c r="B8" s="804"/>
      <c r="C8" s="793"/>
      <c r="D8" s="795"/>
      <c r="E8" s="795" t="s">
        <v>584</v>
      </c>
      <c r="F8" s="795"/>
    </row>
    <row r="9" spans="1:6" ht="15.95" customHeight="1" x14ac:dyDescent="0.2">
      <c r="A9" s="404" t="s">
        <v>42</v>
      </c>
      <c r="B9" s="805"/>
      <c r="C9" s="794"/>
      <c r="D9" s="796"/>
      <c r="E9" s="796"/>
      <c r="F9" s="796"/>
    </row>
    <row r="10" spans="1:6" ht="5.0999999999999996" customHeight="1" x14ac:dyDescent="0.2">
      <c r="A10" s="6"/>
      <c r="B10" s="7"/>
      <c r="C10" s="7"/>
      <c r="D10" s="7"/>
      <c r="E10" s="7"/>
      <c r="F10" s="7"/>
    </row>
    <row r="11" spans="1:6" ht="14.1" customHeight="1" x14ac:dyDescent="0.2">
      <c r="A11" s="354" t="s">
        <v>110</v>
      </c>
      <c r="B11" s="352">
        <v>3243</v>
      </c>
      <c r="C11" s="352">
        <v>25500</v>
      </c>
      <c r="D11" s="352">
        <v>140480</v>
      </c>
      <c r="E11" s="352">
        <f>Data!R11-SUM('- 59 -'!$B11:F11,B11:D11)</f>
        <v>168431</v>
      </c>
      <c r="F11" s="352">
        <f>SUM('- 59 -'!$B11:F11,B11:E11)</f>
        <v>2075766</v>
      </c>
    </row>
    <row r="12" spans="1:6" ht="14.1" customHeight="1" x14ac:dyDescent="0.2">
      <c r="A12" s="237" t="s">
        <v>111</v>
      </c>
      <c r="B12" s="151">
        <v>33460</v>
      </c>
      <c r="C12" s="151">
        <v>28913</v>
      </c>
      <c r="D12" s="151">
        <v>158784</v>
      </c>
      <c r="E12" s="151">
        <f>Data!R12-SUM('- 59 -'!$B12:F12,B12:D12)</f>
        <v>169269</v>
      </c>
      <c r="F12" s="151">
        <f>SUM('- 59 -'!$B12:F12,B12:E12)</f>
        <v>3158649</v>
      </c>
    </row>
    <row r="13" spans="1:6" ht="14.1" customHeight="1" x14ac:dyDescent="0.2">
      <c r="A13" s="354" t="s">
        <v>112</v>
      </c>
      <c r="B13" s="352">
        <v>199104</v>
      </c>
      <c r="C13" s="352">
        <v>162950</v>
      </c>
      <c r="D13" s="352">
        <v>725780</v>
      </c>
      <c r="E13" s="352">
        <f>Data!R13-SUM('- 59 -'!$B13:F13,B13:D13)</f>
        <v>254752</v>
      </c>
      <c r="F13" s="352">
        <f>SUM('- 59 -'!$B13:F13,B13:E13)</f>
        <v>7360569</v>
      </c>
    </row>
    <row r="14" spans="1:6" ht="14.1" customHeight="1" x14ac:dyDescent="0.2">
      <c r="A14" s="237" t="s">
        <v>359</v>
      </c>
      <c r="B14" s="151">
        <v>1546234</v>
      </c>
      <c r="C14" s="151">
        <v>91611</v>
      </c>
      <c r="D14" s="151">
        <v>415960</v>
      </c>
      <c r="E14" s="151">
        <f>Data!R14-SUM('- 59 -'!$B14:F14,B14:D14)</f>
        <v>567460</v>
      </c>
      <c r="F14" s="151">
        <f>SUM('- 59 -'!$B14:F14,B14:E14)</f>
        <v>8021176</v>
      </c>
    </row>
    <row r="15" spans="1:6" ht="14.1" customHeight="1" x14ac:dyDescent="0.2">
      <c r="A15" s="354" t="s">
        <v>113</v>
      </c>
      <c r="B15" s="352">
        <v>4966</v>
      </c>
      <c r="C15" s="352">
        <v>19316</v>
      </c>
      <c r="D15" s="352">
        <v>110496</v>
      </c>
      <c r="E15" s="352">
        <f>Data!R15-SUM('- 59 -'!$B15:F15,B15:D15)</f>
        <v>92184</v>
      </c>
      <c r="F15" s="352">
        <f>SUM('- 59 -'!$B15:F15,B15:E15)</f>
        <v>2170916</v>
      </c>
    </row>
    <row r="16" spans="1:6" ht="14.1" customHeight="1" x14ac:dyDescent="0.2">
      <c r="A16" s="237" t="s">
        <v>114</v>
      </c>
      <c r="B16" s="151">
        <v>30139</v>
      </c>
      <c r="C16" s="151">
        <v>11390</v>
      </c>
      <c r="D16" s="151">
        <v>70864</v>
      </c>
      <c r="E16" s="151">
        <f>Data!R16-SUM('- 59 -'!$B16:F16,B16:D16)</f>
        <v>675774</v>
      </c>
      <c r="F16" s="151">
        <f>SUM('- 59 -'!$B16:F16,B16:E16)</f>
        <v>1479909</v>
      </c>
    </row>
    <row r="17" spans="1:6" ht="14.1" customHeight="1" x14ac:dyDescent="0.2">
      <c r="A17" s="354" t="s">
        <v>115</v>
      </c>
      <c r="B17" s="352">
        <v>1620</v>
      </c>
      <c r="C17" s="352">
        <v>19890</v>
      </c>
      <c r="D17" s="352">
        <v>105640</v>
      </c>
      <c r="E17" s="352">
        <f>Data!R17-SUM('- 59 -'!$B17:F17,B17:D17)</f>
        <v>73165</v>
      </c>
      <c r="F17" s="352">
        <f>SUM('- 59 -'!$B17:F17,B17:E17)</f>
        <v>1779356</v>
      </c>
    </row>
    <row r="18" spans="1:6" ht="14.1" customHeight="1" x14ac:dyDescent="0.2">
      <c r="A18" s="237" t="s">
        <v>116</v>
      </c>
      <c r="B18" s="151">
        <v>33</v>
      </c>
      <c r="C18" s="151">
        <v>44155</v>
      </c>
      <c r="D18" s="151">
        <v>183520</v>
      </c>
      <c r="E18" s="151">
        <f>Data!R18-SUM('- 59 -'!$B18:F18,B18:D18)</f>
        <v>2417039</v>
      </c>
      <c r="F18" s="151">
        <f>SUM('- 59 -'!$B18:F18,B18:E18)</f>
        <v>6758777</v>
      </c>
    </row>
    <row r="19" spans="1:6" ht="14.1" customHeight="1" x14ac:dyDescent="0.2">
      <c r="A19" s="354" t="s">
        <v>117</v>
      </c>
      <c r="B19" s="352">
        <v>3890</v>
      </c>
      <c r="C19" s="352">
        <v>59760</v>
      </c>
      <c r="D19" s="352">
        <v>341192</v>
      </c>
      <c r="E19" s="352">
        <f>Data!R19-SUM('- 59 -'!$B19:F19,B19:D19)</f>
        <v>374270</v>
      </c>
      <c r="F19" s="352">
        <f>SUM('- 59 -'!$B19:F19,B19:E19)</f>
        <v>5188893</v>
      </c>
    </row>
    <row r="20" spans="1:6" ht="14.1" customHeight="1" x14ac:dyDescent="0.2">
      <c r="A20" s="237" t="s">
        <v>118</v>
      </c>
      <c r="B20" s="151">
        <v>16609</v>
      </c>
      <c r="C20" s="151">
        <v>118578</v>
      </c>
      <c r="D20" s="151">
        <v>610416</v>
      </c>
      <c r="E20" s="151">
        <f>Data!R20-SUM('- 59 -'!$B20:F20,B20:D20)</f>
        <v>472616</v>
      </c>
      <c r="F20" s="151">
        <f>SUM('- 59 -'!$B20:F20,B20:E20)</f>
        <v>8487398</v>
      </c>
    </row>
    <row r="21" spans="1:6" ht="14.1" customHeight="1" x14ac:dyDescent="0.2">
      <c r="A21" s="354" t="s">
        <v>119</v>
      </c>
      <c r="B21" s="352">
        <v>66992</v>
      </c>
      <c r="C21" s="352">
        <v>43036</v>
      </c>
      <c r="D21" s="352">
        <v>219368</v>
      </c>
      <c r="E21" s="352">
        <f>Data!R21-SUM('- 59 -'!$B21:F21,B21:D21)</f>
        <v>267825</v>
      </c>
      <c r="F21" s="352">
        <f>SUM('- 59 -'!$B21:F21,B21:E21)</f>
        <v>3451314</v>
      </c>
    </row>
    <row r="22" spans="1:6" ht="14.1" customHeight="1" x14ac:dyDescent="0.2">
      <c r="A22" s="237" t="s">
        <v>120</v>
      </c>
      <c r="B22" s="151">
        <v>43698</v>
      </c>
      <c r="C22" s="151">
        <v>27620</v>
      </c>
      <c r="D22" s="151">
        <v>121888</v>
      </c>
      <c r="E22" s="151">
        <f>Data!R22-SUM('- 59 -'!$B22:F22,B22:D22)</f>
        <v>1061127</v>
      </c>
      <c r="F22" s="151">
        <f>SUM('- 59 -'!$B22:F22,B22:E22)</f>
        <v>2771964</v>
      </c>
    </row>
    <row r="23" spans="1:6" ht="14.1" customHeight="1" x14ac:dyDescent="0.2">
      <c r="A23" s="354" t="s">
        <v>121</v>
      </c>
      <c r="B23" s="352">
        <v>1632</v>
      </c>
      <c r="C23" s="352">
        <v>13775</v>
      </c>
      <c r="D23" s="352">
        <v>79264</v>
      </c>
      <c r="E23" s="352">
        <f>Data!R23-SUM('- 59 -'!$B23:F23,B23:D23)</f>
        <v>106661</v>
      </c>
      <c r="F23" s="352">
        <f>SUM('- 59 -'!$B23:F23,B23:E23)</f>
        <v>1916894</v>
      </c>
    </row>
    <row r="24" spans="1:6" ht="14.1" customHeight="1" x14ac:dyDescent="0.2">
      <c r="A24" s="237" t="s">
        <v>122</v>
      </c>
      <c r="B24" s="151">
        <v>96338</v>
      </c>
      <c r="C24" s="151">
        <v>53015</v>
      </c>
      <c r="D24" s="151">
        <v>369604</v>
      </c>
      <c r="E24" s="151">
        <f>Data!R24-SUM('- 59 -'!$B24:F24,B24:D24)</f>
        <v>223491</v>
      </c>
      <c r="F24" s="151">
        <f>SUM('- 59 -'!$B24:F24,B24:E24)</f>
        <v>5182225</v>
      </c>
    </row>
    <row r="25" spans="1:6" ht="14.1" customHeight="1" x14ac:dyDescent="0.2">
      <c r="A25" s="354" t="s">
        <v>123</v>
      </c>
      <c r="B25" s="352">
        <v>1337370</v>
      </c>
      <c r="C25" s="352">
        <v>201640</v>
      </c>
      <c r="D25" s="352">
        <v>1123880</v>
      </c>
      <c r="E25" s="352">
        <f>Data!R25-SUM('- 59 -'!$B25:F25,B25:D25)</f>
        <v>796759</v>
      </c>
      <c r="F25" s="352">
        <f>SUM('- 59 -'!$B25:F25,B25:E25)</f>
        <v>16448970</v>
      </c>
    </row>
    <row r="26" spans="1:6" ht="14.1" customHeight="1" x14ac:dyDescent="0.2">
      <c r="A26" s="237" t="s">
        <v>124</v>
      </c>
      <c r="B26" s="151">
        <v>60653</v>
      </c>
      <c r="C26" s="151">
        <v>38750</v>
      </c>
      <c r="D26" s="151">
        <v>294756</v>
      </c>
      <c r="E26" s="151">
        <f>Data!R26-SUM('- 59 -'!$B26:F26,B26:D26)</f>
        <v>235828</v>
      </c>
      <c r="F26" s="151">
        <f>SUM('- 59 -'!$B26:F26,B26:E26)</f>
        <v>3867342</v>
      </c>
    </row>
    <row r="27" spans="1:6" ht="14.1" customHeight="1" x14ac:dyDescent="0.2">
      <c r="A27" s="354" t="s">
        <v>125</v>
      </c>
      <c r="B27" s="352">
        <v>73505</v>
      </c>
      <c r="C27" s="352">
        <v>57374</v>
      </c>
      <c r="D27" s="352">
        <v>234064</v>
      </c>
      <c r="E27" s="352">
        <f>Data!R27-SUM('- 59 -'!$B27:F27,B27:D27)</f>
        <v>2149718</v>
      </c>
      <c r="F27" s="352">
        <f>SUM('- 59 -'!$B27:F27,B27:E27)</f>
        <v>5145174</v>
      </c>
    </row>
    <row r="28" spans="1:6" ht="14.1" customHeight="1" x14ac:dyDescent="0.2">
      <c r="A28" s="237" t="s">
        <v>126</v>
      </c>
      <c r="B28" s="151">
        <v>6100</v>
      </c>
      <c r="C28" s="151">
        <v>18778</v>
      </c>
      <c r="D28" s="151">
        <v>119240</v>
      </c>
      <c r="E28" s="151">
        <f>Data!R28-SUM('- 59 -'!$B28:F28,B28:D28)</f>
        <v>237590</v>
      </c>
      <c r="F28" s="151">
        <f>SUM('- 59 -'!$B28:F28,B28:E28)</f>
        <v>2401323</v>
      </c>
    </row>
    <row r="29" spans="1:6" ht="14.1" customHeight="1" x14ac:dyDescent="0.2">
      <c r="A29" s="354" t="s">
        <v>127</v>
      </c>
      <c r="B29" s="352">
        <v>712867</v>
      </c>
      <c r="C29" s="352">
        <v>165424</v>
      </c>
      <c r="D29" s="352">
        <v>1032248</v>
      </c>
      <c r="E29" s="352">
        <f>Data!R29-SUM('- 59 -'!$B29:F29,B29:D29)</f>
        <v>783087</v>
      </c>
      <c r="F29" s="352">
        <f>SUM('- 59 -'!$B29:F29,B29:E29)</f>
        <v>13211397</v>
      </c>
    </row>
    <row r="30" spans="1:6" ht="14.1" customHeight="1" x14ac:dyDescent="0.2">
      <c r="A30" s="237" t="s">
        <v>128</v>
      </c>
      <c r="B30" s="151">
        <v>2072</v>
      </c>
      <c r="C30" s="151">
        <v>13940</v>
      </c>
      <c r="D30" s="151">
        <v>79200</v>
      </c>
      <c r="E30" s="151">
        <f>Data!R30-SUM('- 59 -'!$B30:F30,B30:D30)</f>
        <v>175757</v>
      </c>
      <c r="F30" s="151">
        <f>SUM('- 59 -'!$B30:F30,B30:E30)</f>
        <v>1676102</v>
      </c>
    </row>
    <row r="31" spans="1:6" ht="14.1" customHeight="1" x14ac:dyDescent="0.2">
      <c r="A31" s="354" t="s">
        <v>129</v>
      </c>
      <c r="B31" s="352">
        <v>77639</v>
      </c>
      <c r="C31" s="352">
        <v>54377</v>
      </c>
      <c r="D31" s="352">
        <v>249640</v>
      </c>
      <c r="E31" s="352">
        <f>Data!R31-SUM('- 59 -'!$B31:F31,B31:D31)</f>
        <v>100597</v>
      </c>
      <c r="F31" s="352">
        <f>SUM('- 59 -'!$B31:F31,B31:E31)</f>
        <v>3731483</v>
      </c>
    </row>
    <row r="32" spans="1:6" ht="14.1" customHeight="1" x14ac:dyDescent="0.2">
      <c r="A32" s="237" t="s">
        <v>130</v>
      </c>
      <c r="B32" s="151">
        <v>41150</v>
      </c>
      <c r="C32" s="151">
        <v>36229</v>
      </c>
      <c r="D32" s="151">
        <v>172256</v>
      </c>
      <c r="E32" s="151">
        <f>Data!R32-SUM('- 59 -'!$B32:F32,B32:D32)</f>
        <v>334333</v>
      </c>
      <c r="F32" s="151">
        <f>SUM('- 59 -'!$B32:F32,B32:E32)</f>
        <v>3100234</v>
      </c>
    </row>
    <row r="33" spans="1:6" ht="14.1" customHeight="1" x14ac:dyDescent="0.2">
      <c r="A33" s="354" t="s">
        <v>131</v>
      </c>
      <c r="B33" s="352">
        <v>29000</v>
      </c>
      <c r="C33" s="352">
        <v>30295</v>
      </c>
      <c r="D33" s="352">
        <v>159288</v>
      </c>
      <c r="E33" s="352">
        <f>Data!R33-SUM('- 59 -'!$B33:F33,B33:D33)</f>
        <v>519780</v>
      </c>
      <c r="F33" s="352">
        <f>SUM('- 59 -'!$B33:F33,B33:E33)</f>
        <v>3228056</v>
      </c>
    </row>
    <row r="34" spans="1:6" ht="14.1" customHeight="1" x14ac:dyDescent="0.2">
      <c r="A34" s="237" t="s">
        <v>132</v>
      </c>
      <c r="B34" s="151">
        <v>100042</v>
      </c>
      <c r="C34" s="151">
        <v>27643</v>
      </c>
      <c r="D34" s="151">
        <v>163272</v>
      </c>
      <c r="E34" s="151">
        <f>Data!R34-SUM('- 59 -'!$B34:F34,B34:D34)</f>
        <v>303318</v>
      </c>
      <c r="F34" s="151">
        <f>SUM('- 59 -'!$B34:F34,B34:E34)</f>
        <v>3620062</v>
      </c>
    </row>
    <row r="35" spans="1:6" ht="14.1" customHeight="1" x14ac:dyDescent="0.2">
      <c r="A35" s="354" t="s">
        <v>133</v>
      </c>
      <c r="B35" s="352">
        <v>759904</v>
      </c>
      <c r="C35" s="352">
        <v>215103</v>
      </c>
      <c r="D35" s="352">
        <v>1368860</v>
      </c>
      <c r="E35" s="352">
        <f>Data!R35-SUM('- 59 -'!$B35:F35,B35:D35)</f>
        <v>666604</v>
      </c>
      <c r="F35" s="352">
        <f>SUM('- 59 -'!$B35:F35,B35:E35)</f>
        <v>16896540</v>
      </c>
    </row>
    <row r="36" spans="1:6" ht="14.1" customHeight="1" x14ac:dyDescent="0.2">
      <c r="A36" s="237" t="s">
        <v>134</v>
      </c>
      <c r="B36" s="151">
        <v>4849</v>
      </c>
      <c r="C36" s="151">
        <v>21020</v>
      </c>
      <c r="D36" s="151">
        <v>124208</v>
      </c>
      <c r="E36" s="151">
        <f>Data!R36-SUM('- 59 -'!$B36:F36,B36:D36)</f>
        <v>220647</v>
      </c>
      <c r="F36" s="151">
        <f>SUM('- 59 -'!$B36:F36,B36:E36)</f>
        <v>1972469</v>
      </c>
    </row>
    <row r="37" spans="1:6" ht="14.1" customHeight="1" x14ac:dyDescent="0.2">
      <c r="A37" s="354" t="s">
        <v>135</v>
      </c>
      <c r="B37" s="352">
        <v>352947</v>
      </c>
      <c r="C37" s="352">
        <v>64424</v>
      </c>
      <c r="D37" s="352">
        <v>334696</v>
      </c>
      <c r="E37" s="352">
        <f>Data!R37-SUM('- 59 -'!$B37:F37,B37:D37)</f>
        <v>24166</v>
      </c>
      <c r="F37" s="352">
        <f>SUM('- 59 -'!$B37:F37,B37:E37)</f>
        <v>5735639</v>
      </c>
    </row>
    <row r="38" spans="1:6" ht="14.1" customHeight="1" x14ac:dyDescent="0.2">
      <c r="A38" s="237" t="s">
        <v>136</v>
      </c>
      <c r="B38" s="151">
        <v>458695</v>
      </c>
      <c r="C38" s="151">
        <v>145677</v>
      </c>
      <c r="D38" s="151">
        <v>871104</v>
      </c>
      <c r="E38" s="151">
        <f>Data!R38-SUM('- 59 -'!$B38:F38,B38:D38)</f>
        <v>271490</v>
      </c>
      <c r="F38" s="151">
        <f>SUM('- 59 -'!$B38:F38,B38:E38)</f>
        <v>10740511</v>
      </c>
    </row>
    <row r="39" spans="1:6" ht="14.1" customHeight="1" x14ac:dyDescent="0.2">
      <c r="A39" s="354" t="s">
        <v>137</v>
      </c>
      <c r="B39" s="352">
        <v>1173</v>
      </c>
      <c r="C39" s="352">
        <v>20060</v>
      </c>
      <c r="D39" s="352">
        <v>120064</v>
      </c>
      <c r="E39" s="352">
        <f>Data!R39-SUM('- 59 -'!$B39:F39,B39:D39)</f>
        <v>285653</v>
      </c>
      <c r="F39" s="352">
        <f>SUM('- 59 -'!$B39:F39,B39:E39)</f>
        <v>2236654</v>
      </c>
    </row>
    <row r="40" spans="1:6" ht="14.1" customHeight="1" x14ac:dyDescent="0.2">
      <c r="A40" s="237" t="s">
        <v>138</v>
      </c>
      <c r="B40" s="151">
        <v>379100</v>
      </c>
      <c r="C40" s="151">
        <v>108587</v>
      </c>
      <c r="D40" s="151">
        <v>757500</v>
      </c>
      <c r="E40" s="151">
        <f>Data!R40-SUM('- 59 -'!$B40:F40,B40:D40)</f>
        <v>19474</v>
      </c>
      <c r="F40" s="151">
        <f>SUM('- 59 -'!$B40:F40,B40:E40)</f>
        <v>8378486</v>
      </c>
    </row>
    <row r="41" spans="1:6" ht="14.1" customHeight="1" x14ac:dyDescent="0.2">
      <c r="A41" s="354" t="s">
        <v>139</v>
      </c>
      <c r="B41" s="352">
        <v>154164</v>
      </c>
      <c r="C41" s="352">
        <v>63823</v>
      </c>
      <c r="D41" s="352">
        <v>351280</v>
      </c>
      <c r="E41" s="352">
        <f>Data!R41-SUM('- 59 -'!$B41:F41,B41:D41)</f>
        <v>169710</v>
      </c>
      <c r="F41" s="352">
        <f>SUM('- 59 -'!$B41:F41,B41:E41)</f>
        <v>6829172</v>
      </c>
    </row>
    <row r="42" spans="1:6" ht="14.1" customHeight="1" x14ac:dyDescent="0.2">
      <c r="A42" s="237" t="s">
        <v>140</v>
      </c>
      <c r="B42" s="151">
        <v>30066</v>
      </c>
      <c r="C42" s="151">
        <v>20947</v>
      </c>
      <c r="D42" s="151">
        <v>107488</v>
      </c>
      <c r="E42" s="151">
        <f>Data!R42-SUM('- 59 -'!$B42:F42,B42:D42)</f>
        <v>116988</v>
      </c>
      <c r="F42" s="151">
        <f>SUM('- 59 -'!$B42:F42,B42:E42)</f>
        <v>2359090</v>
      </c>
    </row>
    <row r="43" spans="1:6" ht="14.1" customHeight="1" x14ac:dyDescent="0.2">
      <c r="A43" s="354" t="s">
        <v>141</v>
      </c>
      <c r="B43" s="352">
        <v>600</v>
      </c>
      <c r="C43" s="352">
        <v>16513</v>
      </c>
      <c r="D43" s="352">
        <v>77016</v>
      </c>
      <c r="E43" s="352">
        <f>Data!R43-SUM('- 59 -'!$B43:F43,B43:D43)</f>
        <v>99947</v>
      </c>
      <c r="F43" s="352">
        <f>SUM('- 59 -'!$B43:F43,B43:E43)</f>
        <v>1278067</v>
      </c>
    </row>
    <row r="44" spans="1:6" ht="14.1" customHeight="1" x14ac:dyDescent="0.2">
      <c r="A44" s="237" t="s">
        <v>142</v>
      </c>
      <c r="B44" s="151">
        <v>9064</v>
      </c>
      <c r="C44" s="151">
        <v>9674</v>
      </c>
      <c r="D44" s="151">
        <v>55464</v>
      </c>
      <c r="E44" s="151">
        <f>Data!R44-SUM('- 59 -'!$B44:F44,B44:D44)</f>
        <v>102272</v>
      </c>
      <c r="F44" s="151">
        <f>SUM('- 59 -'!$B44:F44,B44:E44)</f>
        <v>1518847</v>
      </c>
    </row>
    <row r="45" spans="1:6" ht="14.1" customHeight="1" x14ac:dyDescent="0.2">
      <c r="A45" s="354" t="s">
        <v>143</v>
      </c>
      <c r="B45" s="352">
        <v>69013</v>
      </c>
      <c r="C45" s="352">
        <v>22610</v>
      </c>
      <c r="D45" s="352">
        <v>132992</v>
      </c>
      <c r="E45" s="352">
        <f>Data!R45-SUM('- 59 -'!$B45:F45,B45:D45)</f>
        <v>102018</v>
      </c>
      <c r="F45" s="352">
        <f>SUM('- 59 -'!$B45:F45,B45:E45)</f>
        <v>1724340</v>
      </c>
    </row>
    <row r="46" spans="1:6" ht="14.1" customHeight="1" x14ac:dyDescent="0.2">
      <c r="A46" s="237" t="s">
        <v>144</v>
      </c>
      <c r="B46" s="151">
        <v>932603</v>
      </c>
      <c r="C46" s="151">
        <v>509576</v>
      </c>
      <c r="D46" s="151">
        <v>2487064</v>
      </c>
      <c r="E46" s="151">
        <f>Data!R46-SUM('- 59 -'!$B46:F46,B46:D46)</f>
        <v>222940</v>
      </c>
      <c r="F46" s="151">
        <f>SUM('- 59 -'!$B46:F46,B46:E46)</f>
        <v>29185136</v>
      </c>
    </row>
    <row r="47" spans="1:6" ht="5.0999999999999996" customHeight="1" x14ac:dyDescent="0.2">
      <c r="A47" s="130"/>
      <c r="B47" s="152"/>
      <c r="C47" s="152"/>
      <c r="D47" s="152"/>
      <c r="E47" s="152"/>
      <c r="F47" s="152"/>
    </row>
    <row r="48" spans="1:6" ht="14.1" customHeight="1" x14ac:dyDescent="0.2">
      <c r="A48" s="355" t="s">
        <v>145</v>
      </c>
      <c r="B48" s="356">
        <f t="shared" ref="B48:D48" si="0">SUM(B11:B46)</f>
        <v>7640534</v>
      </c>
      <c r="C48" s="356">
        <f t="shared" si="0"/>
        <v>2581973</v>
      </c>
      <c r="D48" s="356">
        <f t="shared" si="0"/>
        <v>14068836</v>
      </c>
      <c r="E48" s="356">
        <f>SUM(E11:E46)</f>
        <v>14862740</v>
      </c>
      <c r="F48" s="356">
        <f>SUM(F11:F46)</f>
        <v>205088900</v>
      </c>
    </row>
    <row r="49" spans="1:6" ht="5.0999999999999996" customHeight="1" x14ac:dyDescent="0.2">
      <c r="A49" s="130" t="s">
        <v>7</v>
      </c>
      <c r="B49" s="152"/>
      <c r="C49" s="152"/>
      <c r="D49" s="152"/>
      <c r="E49" s="152"/>
      <c r="F49" s="152"/>
    </row>
    <row r="50" spans="1:6" ht="14.1" customHeight="1" x14ac:dyDescent="0.2">
      <c r="A50" s="237" t="s">
        <v>146</v>
      </c>
      <c r="B50" s="151">
        <v>0</v>
      </c>
      <c r="C50" s="151">
        <v>5585</v>
      </c>
      <c r="D50" s="151">
        <v>12400</v>
      </c>
      <c r="E50" s="151">
        <f>Data!R50-SUM('- 59 -'!$B50:F50,B50:D50)</f>
        <v>58333</v>
      </c>
      <c r="F50" s="151">
        <f>SUM('- 59 -'!$B50:F50,B50:E50)</f>
        <v>153916</v>
      </c>
    </row>
    <row r="51" spans="1:6" ht="14.1" customHeight="1" x14ac:dyDescent="0.2">
      <c r="A51" s="354" t="s">
        <v>607</v>
      </c>
      <c r="B51" s="352">
        <v>0</v>
      </c>
      <c r="C51" s="352">
        <v>0</v>
      </c>
      <c r="D51" s="352">
        <v>0</v>
      </c>
      <c r="E51" s="352">
        <f>Data!R51-SUM('- 59 -'!$B51:F51,B51:D51)</f>
        <v>0</v>
      </c>
      <c r="F51" s="352">
        <f>SUM('- 59 -'!$B51:F51,B51:E51)</f>
        <v>0</v>
      </c>
    </row>
    <row r="52" spans="1:6" ht="50.1" customHeight="1" x14ac:dyDescent="0.2">
      <c r="A52" s="23"/>
      <c r="B52" s="23"/>
      <c r="C52" s="23"/>
      <c r="D52" s="23"/>
      <c r="E52" s="23"/>
      <c r="F52" s="23"/>
    </row>
    <row r="53" spans="1:6" ht="15" customHeight="1" x14ac:dyDescent="0.2">
      <c r="A53" s="133" t="s">
        <v>389</v>
      </c>
      <c r="E53" s="38"/>
      <c r="F53" s="38"/>
    </row>
  </sheetData>
  <mergeCells count="7">
    <mergeCell ref="B4:F5"/>
    <mergeCell ref="B7:B9"/>
    <mergeCell ref="C7:C9"/>
    <mergeCell ref="D7:D9"/>
    <mergeCell ref="E8:E9"/>
    <mergeCell ref="F7:F9"/>
    <mergeCell ref="B6:F6"/>
  </mergeCells>
  <phoneticPr fontId="6" type="noConversion"/>
  <pageMargins left="0.5" right="0.5" top="0.6" bottom="0.2" header="0.3" footer="0.5"/>
  <pageSetup scale="91" orientation="portrait" r:id="rId1"/>
  <headerFooter alignWithMargins="0">
    <oddHeader>&amp;C&amp;"Arial,Regular"&amp;11&amp;A</oddHead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F59"/>
  <sheetViews>
    <sheetView showGridLines="0" showZeros="0" workbookViewId="0"/>
  </sheetViews>
  <sheetFormatPr defaultColWidth="23.83203125" defaultRowHeight="12" x14ac:dyDescent="0.2"/>
  <cols>
    <col min="1" max="1" width="30.1640625" style="2" customWidth="1"/>
    <col min="2" max="2" width="18" style="2" customWidth="1"/>
    <col min="3" max="3" width="18.6640625" style="2" customWidth="1"/>
    <col min="4" max="4" width="18.33203125" style="2" customWidth="1"/>
    <col min="5" max="5" width="18" style="2" customWidth="1"/>
    <col min="6" max="6" width="21.6640625" style="2" customWidth="1"/>
    <col min="7" max="16384" width="23.83203125" style="2"/>
  </cols>
  <sheetData>
    <row r="1" spans="1:6" ht="6.95" customHeight="1" x14ac:dyDescent="0.2">
      <c r="A1" s="7"/>
      <c r="B1" s="7"/>
      <c r="C1" s="7"/>
      <c r="D1" s="7"/>
      <c r="E1" s="7"/>
      <c r="F1" s="7"/>
    </row>
    <row r="2" spans="1:6" ht="15.95" customHeight="1" x14ac:dyDescent="0.2">
      <c r="A2" s="261"/>
      <c r="B2" s="204" t="str">
        <f>REVYEAR</f>
        <v>ANALYSIS OF OPERATING FUND REVENUE: 2017/2018 ACTUAL</v>
      </c>
      <c r="C2" s="204"/>
      <c r="D2" s="204"/>
      <c r="E2" s="262"/>
      <c r="F2" s="215" t="s">
        <v>102</v>
      </c>
    </row>
    <row r="3" spans="1:6" ht="15.95" customHeight="1" x14ac:dyDescent="0.2">
      <c r="A3" s="537"/>
      <c r="B3" s="263"/>
      <c r="C3" s="263"/>
      <c r="D3" s="263"/>
      <c r="E3" s="263"/>
      <c r="F3" s="263"/>
    </row>
    <row r="4" spans="1:6" ht="15.95" customHeight="1" x14ac:dyDescent="0.2"/>
    <row r="5" spans="1:6" ht="15.95" customHeight="1" x14ac:dyDescent="0.2">
      <c r="B5" s="784" t="s">
        <v>576</v>
      </c>
      <c r="C5" s="785"/>
      <c r="D5" s="785"/>
      <c r="E5" s="785"/>
      <c r="F5" s="786"/>
    </row>
    <row r="6" spans="1:6" ht="15.95" customHeight="1" x14ac:dyDescent="0.2">
      <c r="B6" s="787"/>
      <c r="C6" s="788"/>
      <c r="D6" s="788"/>
      <c r="E6" s="788"/>
      <c r="F6" s="789"/>
    </row>
    <row r="7" spans="1:6" ht="15.95" customHeight="1" x14ac:dyDescent="0.2">
      <c r="B7" s="220"/>
      <c r="C7" s="692" t="s">
        <v>587</v>
      </c>
      <c r="D7" s="220"/>
      <c r="E7" s="692" t="s">
        <v>589</v>
      </c>
      <c r="F7" s="692" t="s">
        <v>590</v>
      </c>
    </row>
    <row r="8" spans="1:6" ht="15.95" customHeight="1" x14ac:dyDescent="0.2">
      <c r="A8" s="33"/>
      <c r="B8" s="795" t="s">
        <v>586</v>
      </c>
      <c r="C8" s="795"/>
      <c r="D8" s="795" t="s">
        <v>588</v>
      </c>
      <c r="E8" s="795"/>
      <c r="F8" s="812"/>
    </row>
    <row r="9" spans="1:6" ht="15.95" customHeight="1" x14ac:dyDescent="0.2">
      <c r="A9" s="82" t="s">
        <v>42</v>
      </c>
      <c r="B9" s="796"/>
      <c r="C9" s="796"/>
      <c r="D9" s="796"/>
      <c r="E9" s="796"/>
      <c r="F9" s="693"/>
    </row>
    <row r="10" spans="1:6" ht="5.0999999999999996" customHeight="1" x14ac:dyDescent="0.2">
      <c r="A10" s="6"/>
      <c r="B10" s="7"/>
      <c r="C10" s="7"/>
      <c r="D10" s="7"/>
      <c r="E10" s="7"/>
      <c r="F10" s="7"/>
    </row>
    <row r="11" spans="1:6" ht="14.1" customHeight="1" x14ac:dyDescent="0.2">
      <c r="A11" s="354" t="s">
        <v>110</v>
      </c>
      <c r="B11" s="352">
        <v>2300511</v>
      </c>
      <c r="C11" s="352">
        <v>0</v>
      </c>
      <c r="D11" s="352">
        <v>0</v>
      </c>
      <c r="E11" s="352">
        <v>103845</v>
      </c>
      <c r="F11" s="352">
        <f>SUM('- 58 -'!$G11,'- 60 -'!$F11,B11:E11)+Data!Q11</f>
        <v>10224280</v>
      </c>
    </row>
    <row r="12" spans="1:6" ht="14.1" customHeight="1" x14ac:dyDescent="0.2">
      <c r="A12" s="237" t="s">
        <v>111</v>
      </c>
      <c r="B12" s="151">
        <v>3773644</v>
      </c>
      <c r="C12" s="151">
        <v>1575</v>
      </c>
      <c r="D12" s="151">
        <v>1180850</v>
      </c>
      <c r="E12" s="151">
        <v>151695</v>
      </c>
      <c r="F12" s="151">
        <f>SUM('- 58 -'!$G12,'- 60 -'!$F12,B12:E12)+Data!Q12</f>
        <v>15094533</v>
      </c>
    </row>
    <row r="13" spans="1:6" ht="14.1" customHeight="1" x14ac:dyDescent="0.2">
      <c r="A13" s="354" t="s">
        <v>112</v>
      </c>
      <c r="B13" s="352">
        <v>16211263</v>
      </c>
      <c r="C13" s="352">
        <v>0</v>
      </c>
      <c r="D13" s="352">
        <v>0</v>
      </c>
      <c r="E13" s="352">
        <v>340003</v>
      </c>
      <c r="F13" s="352">
        <f>SUM('- 58 -'!$G13,'- 60 -'!$F13,B13:E13)+Data!Q13</f>
        <v>48975683</v>
      </c>
    </row>
    <row r="14" spans="1:6" ht="14.1" customHeight="1" x14ac:dyDescent="0.2">
      <c r="A14" s="237" t="s">
        <v>359</v>
      </c>
      <c r="B14" s="151">
        <v>9803652</v>
      </c>
      <c r="C14" s="151">
        <v>0</v>
      </c>
      <c r="D14" s="151">
        <v>0</v>
      </c>
      <c r="E14" s="151">
        <v>242400</v>
      </c>
      <c r="F14" s="151">
        <f>SUM('- 58 -'!$G14,'- 60 -'!$F14,B14:E14)+Data!Q14</f>
        <v>35107258</v>
      </c>
    </row>
    <row r="15" spans="1:6" ht="14.1" customHeight="1" x14ac:dyDescent="0.2">
      <c r="A15" s="354" t="s">
        <v>113</v>
      </c>
      <c r="B15" s="352">
        <v>0</v>
      </c>
      <c r="C15" s="352">
        <v>0</v>
      </c>
      <c r="D15" s="352">
        <v>1169701</v>
      </c>
      <c r="E15" s="352">
        <v>83960</v>
      </c>
      <c r="F15" s="352">
        <f>SUM('- 58 -'!$G15,'- 60 -'!$F15,B15:E15)+Data!Q15</f>
        <v>8140661</v>
      </c>
    </row>
    <row r="16" spans="1:6" ht="14.1" customHeight="1" x14ac:dyDescent="0.2">
      <c r="A16" s="237" t="s">
        <v>114</v>
      </c>
      <c r="B16" s="151">
        <v>3931573</v>
      </c>
      <c r="C16" s="151">
        <v>208582</v>
      </c>
      <c r="D16" s="151">
        <v>0</v>
      </c>
      <c r="E16" s="151">
        <v>60746</v>
      </c>
      <c r="F16" s="151">
        <f>SUM('- 58 -'!$G16,'- 60 -'!$F16,B16:E16)+Data!Q16</f>
        <v>8663181</v>
      </c>
    </row>
    <row r="17" spans="1:6" ht="14.1" customHeight="1" x14ac:dyDescent="0.2">
      <c r="A17" s="354" t="s">
        <v>115</v>
      </c>
      <c r="B17" s="352">
        <v>0</v>
      </c>
      <c r="C17" s="352">
        <v>0</v>
      </c>
      <c r="D17" s="352">
        <v>823240</v>
      </c>
      <c r="E17" s="352">
        <v>114792</v>
      </c>
      <c r="F17" s="352">
        <f>SUM('- 58 -'!$G17,'- 60 -'!$F17,B17:E17)+Data!Q17</f>
        <v>7321598</v>
      </c>
    </row>
    <row r="18" spans="1:6" ht="14.1" customHeight="1" x14ac:dyDescent="0.2">
      <c r="A18" s="237" t="s">
        <v>116</v>
      </c>
      <c r="B18" s="151">
        <v>13537487</v>
      </c>
      <c r="C18" s="151">
        <v>4758592</v>
      </c>
      <c r="D18" s="151">
        <v>0</v>
      </c>
      <c r="E18" s="151">
        <v>424981</v>
      </c>
      <c r="F18" s="151">
        <f>SUM('- 58 -'!$G18,'- 60 -'!$F18,B18:E18)+Data!Q18</f>
        <v>37118628</v>
      </c>
    </row>
    <row r="19" spans="1:6" ht="14.1" customHeight="1" x14ac:dyDescent="0.2">
      <c r="A19" s="354" t="s">
        <v>117</v>
      </c>
      <c r="B19" s="352">
        <v>10000571</v>
      </c>
      <c r="C19" s="352">
        <v>0</v>
      </c>
      <c r="D19" s="352">
        <v>0</v>
      </c>
      <c r="E19" s="352">
        <v>140063</v>
      </c>
      <c r="F19" s="352">
        <f>SUM('- 58 -'!$G19,'- 60 -'!$F19,B19:E19)+Data!Q19</f>
        <v>28377499</v>
      </c>
    </row>
    <row r="20" spans="1:6" ht="14.1" customHeight="1" x14ac:dyDescent="0.2">
      <c r="A20" s="237" t="s">
        <v>118</v>
      </c>
      <c r="B20" s="151">
        <v>18864759</v>
      </c>
      <c r="C20" s="151">
        <v>0</v>
      </c>
      <c r="D20" s="151">
        <v>0</v>
      </c>
      <c r="E20" s="151">
        <v>351033</v>
      </c>
      <c r="F20" s="151">
        <f>SUM('- 58 -'!$G20,'- 60 -'!$F20,B20:E20)+Data!Q20</f>
        <v>50653466</v>
      </c>
    </row>
    <row r="21" spans="1:6" ht="14.1" customHeight="1" x14ac:dyDescent="0.2">
      <c r="A21" s="354" t="s">
        <v>119</v>
      </c>
      <c r="B21" s="352">
        <v>3414245</v>
      </c>
      <c r="C21" s="352">
        <v>0</v>
      </c>
      <c r="D21" s="352">
        <v>658513</v>
      </c>
      <c r="E21" s="352">
        <v>177644</v>
      </c>
      <c r="F21" s="352">
        <f>SUM('- 58 -'!$G21,'- 60 -'!$F21,B21:E21)+Data!Q21</f>
        <v>16931247</v>
      </c>
    </row>
    <row r="22" spans="1:6" ht="14.1" customHeight="1" x14ac:dyDescent="0.2">
      <c r="A22" s="237" t="s">
        <v>120</v>
      </c>
      <c r="B22" s="151">
        <v>4964651</v>
      </c>
      <c r="C22" s="151">
        <v>970692</v>
      </c>
      <c r="D22" s="151">
        <v>0</v>
      </c>
      <c r="E22" s="151">
        <v>98960</v>
      </c>
      <c r="F22" s="151">
        <f>SUM('- 58 -'!$G22,'- 60 -'!$F22,B22:E22)+Data!Q22</f>
        <v>13759962</v>
      </c>
    </row>
    <row r="23" spans="1:6" ht="14.1" customHeight="1" x14ac:dyDescent="0.2">
      <c r="A23" s="354" t="s">
        <v>121</v>
      </c>
      <c r="B23" s="352">
        <v>2916156</v>
      </c>
      <c r="C23" s="352">
        <v>419953</v>
      </c>
      <c r="D23" s="352">
        <v>383470</v>
      </c>
      <c r="E23" s="352">
        <v>126894</v>
      </c>
      <c r="F23" s="352">
        <f>SUM('- 58 -'!$G23,'- 60 -'!$F23,B23:E23)+Data!Q23</f>
        <v>9583456</v>
      </c>
    </row>
    <row r="24" spans="1:6" ht="14.1" customHeight="1" x14ac:dyDescent="0.2">
      <c r="A24" s="237" t="s">
        <v>122</v>
      </c>
      <c r="B24" s="151">
        <v>3438532</v>
      </c>
      <c r="C24" s="151">
        <v>0</v>
      </c>
      <c r="D24" s="151">
        <v>2204236</v>
      </c>
      <c r="E24" s="151">
        <v>344847</v>
      </c>
      <c r="F24" s="151">
        <f>SUM('- 58 -'!$G24,'- 60 -'!$F24,B24:E24)+Data!Q24</f>
        <v>23703572</v>
      </c>
    </row>
    <row r="25" spans="1:6" ht="14.1" customHeight="1" x14ac:dyDescent="0.2">
      <c r="A25" s="354" t="s">
        <v>123</v>
      </c>
      <c r="B25" s="352">
        <v>15413722</v>
      </c>
      <c r="C25" s="352">
        <v>0</v>
      </c>
      <c r="D25" s="352">
        <v>0</v>
      </c>
      <c r="E25" s="352">
        <v>603852</v>
      </c>
      <c r="F25" s="352">
        <f>SUM('- 58 -'!$G25,'- 60 -'!$F25,B25:E25)+Data!Q25</f>
        <v>75817923</v>
      </c>
    </row>
    <row r="26" spans="1:6" ht="14.1" customHeight="1" x14ac:dyDescent="0.2">
      <c r="A26" s="237" t="s">
        <v>124</v>
      </c>
      <c r="B26" s="151">
        <v>6451309</v>
      </c>
      <c r="C26" s="151">
        <v>719357</v>
      </c>
      <c r="D26" s="151">
        <v>21636</v>
      </c>
      <c r="E26" s="151">
        <v>640530</v>
      </c>
      <c r="F26" s="151">
        <f>SUM('- 58 -'!$G26,'- 60 -'!$F26,B26:E26)+Data!Q26</f>
        <v>22227994</v>
      </c>
    </row>
    <row r="27" spans="1:6" ht="14.1" customHeight="1" x14ac:dyDescent="0.2">
      <c r="A27" s="354" t="s">
        <v>125</v>
      </c>
      <c r="B27" s="352">
        <v>11757803</v>
      </c>
      <c r="C27" s="352">
        <v>3841201</v>
      </c>
      <c r="D27" s="352">
        <v>0</v>
      </c>
      <c r="E27" s="352">
        <v>191112</v>
      </c>
      <c r="F27" s="352">
        <f>SUM('- 58 -'!$G27,'- 60 -'!$F27,B27:E27)+Data!Q27</f>
        <v>29999752</v>
      </c>
    </row>
    <row r="28" spans="1:6" ht="14.1" customHeight="1" x14ac:dyDescent="0.2">
      <c r="A28" s="237" t="s">
        <v>126</v>
      </c>
      <c r="B28" s="151">
        <v>895099</v>
      </c>
      <c r="C28" s="151">
        <v>0</v>
      </c>
      <c r="D28" s="151">
        <v>1376797</v>
      </c>
      <c r="E28" s="151">
        <v>137560</v>
      </c>
      <c r="F28" s="151">
        <f>SUM('- 58 -'!$G28,'- 60 -'!$F28,B28:E28)+Data!Q28</f>
        <v>10535279</v>
      </c>
    </row>
    <row r="29" spans="1:6" ht="14.1" customHeight="1" x14ac:dyDescent="0.2">
      <c r="A29" s="354" t="s">
        <v>127</v>
      </c>
      <c r="B29" s="352">
        <v>1577434</v>
      </c>
      <c r="C29" s="352">
        <v>0</v>
      </c>
      <c r="D29" s="352">
        <v>0</v>
      </c>
      <c r="E29" s="352">
        <v>413960</v>
      </c>
      <c r="F29" s="352">
        <f>SUM('- 58 -'!$G29,'- 60 -'!$F29,B29:E29)+Data!Q29</f>
        <v>53839397</v>
      </c>
    </row>
    <row r="30" spans="1:6" ht="14.1" customHeight="1" x14ac:dyDescent="0.2">
      <c r="A30" s="237" t="s">
        <v>128</v>
      </c>
      <c r="B30" s="151">
        <v>1198697</v>
      </c>
      <c r="C30" s="151">
        <v>0</v>
      </c>
      <c r="D30" s="151">
        <v>723331</v>
      </c>
      <c r="E30" s="151">
        <v>93640</v>
      </c>
      <c r="F30" s="151">
        <f>SUM('- 58 -'!$G30,'- 60 -'!$F30,B30:E30)+Data!Q30</f>
        <v>7423904</v>
      </c>
    </row>
    <row r="31" spans="1:6" ht="14.1" customHeight="1" x14ac:dyDescent="0.2">
      <c r="A31" s="354" t="s">
        <v>129</v>
      </c>
      <c r="B31" s="352">
        <v>4784963</v>
      </c>
      <c r="C31" s="352">
        <v>0</v>
      </c>
      <c r="D31" s="352">
        <v>0</v>
      </c>
      <c r="E31" s="352">
        <v>268531</v>
      </c>
      <c r="F31" s="352">
        <f>SUM('- 58 -'!$G31,'- 60 -'!$F31,B31:E31)+Data!Q31</f>
        <v>18959832</v>
      </c>
    </row>
    <row r="32" spans="1:6" ht="14.1" customHeight="1" x14ac:dyDescent="0.2">
      <c r="A32" s="237" t="s">
        <v>130</v>
      </c>
      <c r="B32" s="151">
        <v>745224</v>
      </c>
      <c r="C32" s="151">
        <v>0</v>
      </c>
      <c r="D32" s="151">
        <v>1033814</v>
      </c>
      <c r="E32" s="151">
        <v>216503</v>
      </c>
      <c r="F32" s="151">
        <f>SUM('- 58 -'!$G32,'- 60 -'!$F32,B32:E32)+Data!Q32</f>
        <v>12719585</v>
      </c>
    </row>
    <row r="33" spans="1:6" ht="14.1" customHeight="1" x14ac:dyDescent="0.2">
      <c r="A33" s="354" t="s">
        <v>131</v>
      </c>
      <c r="B33" s="352">
        <v>361105</v>
      </c>
      <c r="C33" s="352">
        <v>0</v>
      </c>
      <c r="D33" s="352">
        <v>2314589</v>
      </c>
      <c r="E33" s="352">
        <v>194220</v>
      </c>
      <c r="F33" s="352">
        <f>SUM('- 58 -'!$G33,'- 60 -'!$F33,B33:E33)+Data!Q33</f>
        <v>13870543</v>
      </c>
    </row>
    <row r="34" spans="1:6" ht="14.1" customHeight="1" x14ac:dyDescent="0.2">
      <c r="A34" s="237" t="s">
        <v>132</v>
      </c>
      <c r="B34" s="151">
        <v>0</v>
      </c>
      <c r="C34" s="151">
        <v>0</v>
      </c>
      <c r="D34" s="151">
        <v>1422336</v>
      </c>
      <c r="E34" s="151">
        <v>159748</v>
      </c>
      <c r="F34" s="151">
        <f>SUM('- 58 -'!$G34,'- 60 -'!$F34,B34:E34)+Data!Q34</f>
        <v>12378317</v>
      </c>
    </row>
    <row r="35" spans="1:6" ht="14.1" customHeight="1" x14ac:dyDescent="0.2">
      <c r="A35" s="354" t="s">
        <v>133</v>
      </c>
      <c r="B35" s="352">
        <v>23615329</v>
      </c>
      <c r="C35" s="352">
        <v>3036165</v>
      </c>
      <c r="D35" s="352">
        <v>0</v>
      </c>
      <c r="E35" s="352">
        <v>793573</v>
      </c>
      <c r="F35" s="352">
        <f>SUM('- 58 -'!$G35,'- 60 -'!$F35,B35:E35)+Data!Q35</f>
        <v>91873115</v>
      </c>
    </row>
    <row r="36" spans="1:6" ht="14.1" customHeight="1" x14ac:dyDescent="0.2">
      <c r="A36" s="237" t="s">
        <v>134</v>
      </c>
      <c r="B36" s="151">
        <v>342454</v>
      </c>
      <c r="C36" s="151">
        <v>0</v>
      </c>
      <c r="D36" s="151">
        <v>1813280</v>
      </c>
      <c r="E36" s="151">
        <v>132540</v>
      </c>
      <c r="F36" s="151">
        <f>SUM('- 58 -'!$G36,'- 60 -'!$F36,B36:E36)+Data!Q36</f>
        <v>9999511</v>
      </c>
    </row>
    <row r="37" spans="1:6" ht="14.1" customHeight="1" x14ac:dyDescent="0.2">
      <c r="A37" s="354" t="s">
        <v>135</v>
      </c>
      <c r="B37" s="352">
        <v>9622272</v>
      </c>
      <c r="C37" s="352">
        <v>0</v>
      </c>
      <c r="D37" s="352">
        <v>0</v>
      </c>
      <c r="E37" s="352">
        <v>180773</v>
      </c>
      <c r="F37" s="352">
        <f>SUM('- 58 -'!$G37,'- 60 -'!$F37,B37:E37)+Data!Q37</f>
        <v>28636514</v>
      </c>
    </row>
    <row r="38" spans="1:6" ht="14.1" customHeight="1" x14ac:dyDescent="0.2">
      <c r="A38" s="237" t="s">
        <v>136</v>
      </c>
      <c r="B38" s="151">
        <v>26694981</v>
      </c>
      <c r="C38" s="151">
        <v>4111702</v>
      </c>
      <c r="D38" s="151">
        <v>0</v>
      </c>
      <c r="E38" s="151">
        <v>370499</v>
      </c>
      <c r="F38" s="151">
        <f>SUM('- 58 -'!$G38,'- 60 -'!$F38,B38:E38)+Data!Q38</f>
        <v>74326355</v>
      </c>
    </row>
    <row r="39" spans="1:6" ht="14.1" customHeight="1" x14ac:dyDescent="0.2">
      <c r="A39" s="354" t="s">
        <v>137</v>
      </c>
      <c r="B39" s="352">
        <v>0</v>
      </c>
      <c r="C39" s="352">
        <v>0</v>
      </c>
      <c r="D39" s="352">
        <v>1193303</v>
      </c>
      <c r="E39" s="352">
        <v>109320</v>
      </c>
      <c r="F39" s="352">
        <f>SUM('- 58 -'!$G39,'- 60 -'!$F39,B39:E39)+Data!Q39</f>
        <v>8992581</v>
      </c>
    </row>
    <row r="40" spans="1:6" ht="14.1" customHeight="1" x14ac:dyDescent="0.2">
      <c r="A40" s="237" t="s">
        <v>138</v>
      </c>
      <c r="B40" s="151">
        <v>2918807</v>
      </c>
      <c r="C40" s="151">
        <v>0</v>
      </c>
      <c r="D40" s="151">
        <v>1338468</v>
      </c>
      <c r="E40" s="151">
        <v>487560</v>
      </c>
      <c r="F40" s="151">
        <f>SUM('- 58 -'!$G40,'- 60 -'!$F40,B40:E40)+Data!Q40</f>
        <v>38234098</v>
      </c>
    </row>
    <row r="41" spans="1:6" ht="14.1" customHeight="1" x14ac:dyDescent="0.2">
      <c r="A41" s="354" t="s">
        <v>139</v>
      </c>
      <c r="B41" s="352">
        <v>2956639</v>
      </c>
      <c r="C41" s="352">
        <v>0</v>
      </c>
      <c r="D41" s="352">
        <v>1186722</v>
      </c>
      <c r="E41" s="352">
        <v>250604</v>
      </c>
      <c r="F41" s="352">
        <f>SUM('- 58 -'!$G41,'- 60 -'!$F41,B41:E41)+Data!Q41</f>
        <v>25233173</v>
      </c>
    </row>
    <row r="42" spans="1:6" ht="14.1" customHeight="1" x14ac:dyDescent="0.2">
      <c r="A42" s="237" t="s">
        <v>140</v>
      </c>
      <c r="B42" s="151">
        <v>2565897</v>
      </c>
      <c r="C42" s="151">
        <v>557431</v>
      </c>
      <c r="D42" s="151">
        <v>1038949</v>
      </c>
      <c r="E42" s="151">
        <v>181871</v>
      </c>
      <c r="F42" s="151">
        <f>SUM('- 58 -'!$G42,'- 60 -'!$F42,B42:E42)+Data!Q42</f>
        <v>11579910</v>
      </c>
    </row>
    <row r="43" spans="1:6" ht="14.1" customHeight="1" x14ac:dyDescent="0.2">
      <c r="A43" s="354" t="s">
        <v>141</v>
      </c>
      <c r="B43" s="352">
        <v>31804</v>
      </c>
      <c r="C43" s="352">
        <v>0</v>
      </c>
      <c r="D43" s="352">
        <v>1191296</v>
      </c>
      <c r="E43" s="352">
        <v>81147</v>
      </c>
      <c r="F43" s="352">
        <f>SUM('- 58 -'!$G43,'- 60 -'!$F43,B43:E43)+Data!Q43</f>
        <v>5964460</v>
      </c>
    </row>
    <row r="44" spans="1:6" ht="14.1" customHeight="1" x14ac:dyDescent="0.2">
      <c r="A44" s="237" t="s">
        <v>142</v>
      </c>
      <c r="B44" s="151">
        <v>2302143</v>
      </c>
      <c r="C44" s="151">
        <v>434059</v>
      </c>
      <c r="D44" s="151">
        <v>111735</v>
      </c>
      <c r="E44" s="151">
        <v>50460</v>
      </c>
      <c r="F44" s="151">
        <f>SUM('- 58 -'!$G44,'- 60 -'!$F44,B44:E44)+Data!Q44</f>
        <v>7236260</v>
      </c>
    </row>
    <row r="45" spans="1:6" ht="14.1" customHeight="1" x14ac:dyDescent="0.2">
      <c r="A45" s="354" t="s">
        <v>143</v>
      </c>
      <c r="B45" s="352">
        <v>3631540</v>
      </c>
      <c r="C45" s="352">
        <v>0</v>
      </c>
      <c r="D45" s="352">
        <v>0</v>
      </c>
      <c r="E45" s="352">
        <v>120558</v>
      </c>
      <c r="F45" s="352">
        <f>SUM('- 58 -'!$G45,'- 60 -'!$F45,B45:E45)+Data!Q45</f>
        <v>10411612</v>
      </c>
    </row>
    <row r="46" spans="1:6" ht="14.1" customHeight="1" x14ac:dyDescent="0.2">
      <c r="A46" s="237" t="s">
        <v>144</v>
      </c>
      <c r="B46" s="151">
        <v>51626583</v>
      </c>
      <c r="C46" s="151">
        <v>4863665</v>
      </c>
      <c r="D46" s="151">
        <v>0</v>
      </c>
      <c r="E46" s="151">
        <v>1511471</v>
      </c>
      <c r="F46" s="151">
        <f>SUM('- 58 -'!$G46,'- 60 -'!$F46,B46:E46)+Data!Q46</f>
        <v>185908042</v>
      </c>
    </row>
    <row r="47" spans="1:6" ht="5.0999999999999996" customHeight="1" x14ac:dyDescent="0.2">
      <c r="A47" s="130"/>
      <c r="B47" s="152"/>
      <c r="C47" s="152"/>
      <c r="D47" s="152"/>
      <c r="E47" s="152"/>
      <c r="F47" s="152"/>
    </row>
    <row r="48" spans="1:6" ht="14.1" customHeight="1" x14ac:dyDescent="0.2">
      <c r="A48" s="355" t="s">
        <v>145</v>
      </c>
      <c r="B48" s="356">
        <f t="shared" ref="B48:C48" si="0">SUM(B11:B46)</f>
        <v>262650849</v>
      </c>
      <c r="C48" s="356">
        <f t="shared" si="0"/>
        <v>23922974</v>
      </c>
      <c r="D48" s="356">
        <f t="shared" ref="D48:E48" si="1">SUM(D11:D46)</f>
        <v>21186266</v>
      </c>
      <c r="E48" s="356">
        <f t="shared" si="1"/>
        <v>9951895</v>
      </c>
      <c r="F48" s="356">
        <f>SUM(F11:F46)</f>
        <v>1069823181</v>
      </c>
    </row>
    <row r="49" spans="1:6" ht="5.0999999999999996" customHeight="1" x14ac:dyDescent="0.2">
      <c r="A49" s="130" t="s">
        <v>7</v>
      </c>
      <c r="B49" s="152"/>
      <c r="C49" s="152"/>
      <c r="D49" s="152"/>
      <c r="E49" s="152"/>
      <c r="F49" s="152"/>
    </row>
    <row r="50" spans="1:6" ht="14.1" customHeight="1" x14ac:dyDescent="0.2">
      <c r="A50" s="237" t="s">
        <v>146</v>
      </c>
      <c r="B50" s="151">
        <v>0</v>
      </c>
      <c r="C50" s="151">
        <v>0</v>
      </c>
      <c r="D50" s="151">
        <v>189883</v>
      </c>
      <c r="E50" s="151">
        <v>-2659</v>
      </c>
      <c r="F50" s="151">
        <f>SUM('- 58 -'!$G50,'- 60 -'!$F50,B50:E50)+Data!Q50</f>
        <v>930145</v>
      </c>
    </row>
    <row r="51" spans="1:6" ht="14.1" customHeight="1" x14ac:dyDescent="0.2">
      <c r="A51" s="354" t="s">
        <v>607</v>
      </c>
      <c r="B51" s="352">
        <v>0</v>
      </c>
      <c r="C51" s="352">
        <v>0</v>
      </c>
      <c r="D51" s="352">
        <v>0</v>
      </c>
      <c r="E51" s="352">
        <v>0</v>
      </c>
      <c r="F51" s="352">
        <f>SUM('- 58 -'!$G51,'- 60 -'!$F51,B51:E51)+Data!Q51</f>
        <v>0</v>
      </c>
    </row>
    <row r="52" spans="1:6" ht="50.1" customHeight="1" x14ac:dyDescent="0.2">
      <c r="A52" s="23"/>
      <c r="B52" s="23"/>
      <c r="C52" s="23"/>
      <c r="D52" s="23"/>
      <c r="E52" s="23"/>
      <c r="F52" s="23"/>
    </row>
    <row r="53" spans="1:6" ht="15" customHeight="1" x14ac:dyDescent="0.2">
      <c r="A53" s="811" t="s">
        <v>592</v>
      </c>
      <c r="B53" s="811"/>
      <c r="C53" s="811"/>
      <c r="D53" s="811"/>
      <c r="E53" s="811"/>
      <c r="F53" s="811"/>
    </row>
    <row r="54" spans="1:6" ht="12" customHeight="1" x14ac:dyDescent="0.2">
      <c r="A54" s="810"/>
      <c r="B54" s="810"/>
      <c r="C54" s="810"/>
      <c r="D54" s="810"/>
      <c r="E54" s="810"/>
      <c r="F54" s="810"/>
    </row>
    <row r="55" spans="1:6" x14ac:dyDescent="0.2">
      <c r="A55" s="810" t="s">
        <v>591</v>
      </c>
      <c r="B55" s="810"/>
      <c r="C55" s="810"/>
      <c r="D55" s="810"/>
      <c r="E55" s="810"/>
      <c r="F55" s="810"/>
    </row>
    <row r="56" spans="1:6" x14ac:dyDescent="0.2">
      <c r="A56" s="810"/>
      <c r="B56" s="810"/>
      <c r="C56" s="810"/>
      <c r="D56" s="810"/>
      <c r="E56" s="810"/>
      <c r="F56" s="810"/>
    </row>
    <row r="57" spans="1:6" x14ac:dyDescent="0.2">
      <c r="A57" s="527" t="str">
        <f>"(3)  Formula Guarantee is provided to ensure that every school division receives at least 98% of the funding provided in "&amp;PrevY&amp;"."</f>
        <v>(3)  Formula Guarantee is provided to ensure that every school division receives at least 98% of the funding provided in 2016/17.</v>
      </c>
    </row>
    <row r="58" spans="1:6" x14ac:dyDescent="0.2">
      <c r="A58" s="24" t="s">
        <v>385</v>
      </c>
    </row>
    <row r="59" spans="1:6" x14ac:dyDescent="0.2">
      <c r="A59" s="2" t="s">
        <v>386</v>
      </c>
    </row>
  </sheetData>
  <mergeCells count="8">
    <mergeCell ref="A55:F56"/>
    <mergeCell ref="A53:F54"/>
    <mergeCell ref="B5:F6"/>
    <mergeCell ref="B8:B9"/>
    <mergeCell ref="C7:C9"/>
    <mergeCell ref="D8:D9"/>
    <mergeCell ref="E7:E9"/>
    <mergeCell ref="F7:F9"/>
  </mergeCells>
  <phoneticPr fontId="6" type="noConversion"/>
  <pageMargins left="0.5" right="0.5" top="0.6" bottom="0.2" header="0.3" footer="0.5"/>
  <pageSetup scale="91" orientation="portrait" r:id="rId1"/>
  <headerFooter alignWithMargins="0">
    <oddHeader>&amp;C&amp;"Arial,Regular"&amp;11&amp;A</oddHead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1">
    <pageSetUpPr fitToPage="1"/>
  </sheetPr>
  <dimension ref="A1:I64"/>
  <sheetViews>
    <sheetView showGridLines="0" showZeros="0" workbookViewId="0"/>
  </sheetViews>
  <sheetFormatPr defaultColWidth="14.83203125" defaultRowHeight="12" x14ac:dyDescent="0.2"/>
  <cols>
    <col min="1" max="1" width="27.83203125" style="2" customWidth="1"/>
    <col min="2" max="2" width="20" style="2" customWidth="1"/>
    <col min="3" max="3" width="22.83203125" style="2" customWidth="1"/>
    <col min="4" max="4" width="23.6640625" style="2" customWidth="1"/>
    <col min="5" max="5" width="14.83203125" style="2" hidden="1" customWidth="1"/>
    <col min="6" max="6" width="34" style="2" customWidth="1"/>
    <col min="7" max="16384" width="14.83203125" style="2"/>
  </cols>
  <sheetData>
    <row r="1" spans="1:9" ht="6.95" customHeight="1" x14ac:dyDescent="0.2">
      <c r="A1" s="7"/>
      <c r="B1" s="8"/>
    </row>
    <row r="2" spans="1:9" ht="18" customHeight="1" x14ac:dyDescent="0.2">
      <c r="A2" s="251"/>
      <c r="B2" s="577"/>
      <c r="C2" s="577" t="s">
        <v>280</v>
      </c>
      <c r="D2" s="482" t="str">
        <f>Data!B5&amp; " ACTUAL"</f>
        <v>2017/18 ACTUAL</v>
      </c>
      <c r="F2" s="386" t="s">
        <v>11</v>
      </c>
    </row>
    <row r="3" spans="1:9" ht="3.95" customHeight="1" x14ac:dyDescent="0.2">
      <c r="A3" s="536"/>
      <c r="B3" s="253"/>
      <c r="C3" s="253"/>
      <c r="D3" s="258"/>
    </row>
    <row r="4" spans="1:9" ht="14.1" customHeight="1" x14ac:dyDescent="0.2">
      <c r="A4" s="259"/>
      <c r="B4" s="815" t="s">
        <v>250</v>
      </c>
      <c r="C4" s="816"/>
      <c r="D4" s="817"/>
    </row>
    <row r="5" spans="1:9" ht="12.95" customHeight="1" x14ac:dyDescent="0.2">
      <c r="A5" s="260"/>
      <c r="B5" s="257"/>
      <c r="C5" s="721" t="s">
        <v>618</v>
      </c>
      <c r="D5" s="257"/>
    </row>
    <row r="6" spans="1:9" ht="12.95" customHeight="1" x14ac:dyDescent="0.2">
      <c r="A6" s="255"/>
      <c r="B6" s="257"/>
      <c r="C6" s="804"/>
      <c r="D6" s="257"/>
    </row>
    <row r="7" spans="1:9" ht="12.95" customHeight="1" x14ac:dyDescent="0.2">
      <c r="A7" s="255"/>
      <c r="B7" s="257"/>
      <c r="C7" s="804"/>
      <c r="D7" s="257"/>
    </row>
    <row r="8" spans="1:9" ht="12.95" customHeight="1" x14ac:dyDescent="0.2">
      <c r="A8" s="255"/>
      <c r="B8" s="257"/>
      <c r="C8" s="804"/>
      <c r="D8" s="257"/>
    </row>
    <row r="9" spans="1:9" ht="12.95" customHeight="1" x14ac:dyDescent="0.2">
      <c r="A9" s="255"/>
      <c r="B9" s="804" t="s">
        <v>617</v>
      </c>
      <c r="C9" s="804"/>
      <c r="D9" s="804" t="s">
        <v>619</v>
      </c>
    </row>
    <row r="10" spans="1:9" ht="12.95" customHeight="1" x14ac:dyDescent="0.2">
      <c r="A10" s="16"/>
      <c r="B10" s="804"/>
      <c r="C10" s="804"/>
      <c r="D10" s="804"/>
    </row>
    <row r="11" spans="1:9" ht="12.95" customHeight="1" x14ac:dyDescent="0.2">
      <c r="A11" s="17" t="s">
        <v>42</v>
      </c>
      <c r="B11" s="805"/>
      <c r="C11" s="805"/>
      <c r="D11" s="805"/>
      <c r="I11" s="510" t="str">
        <f>IF(SUM(I13:I53)&lt;&gt;0,"Check","")</f>
        <v/>
      </c>
    </row>
    <row r="12" spans="1:9" ht="5.0999999999999996" customHeight="1" x14ac:dyDescent="0.2">
      <c r="A12" s="18"/>
    </row>
    <row r="13" spans="1:9" ht="13.5" customHeight="1" x14ac:dyDescent="0.2">
      <c r="A13" s="354" t="s">
        <v>110</v>
      </c>
      <c r="B13" s="352">
        <v>619533</v>
      </c>
      <c r="C13" s="352">
        <f>-Data!L11-Data!M11-Data!N11-Data!O11</f>
        <v>-24895</v>
      </c>
      <c r="D13" s="352">
        <f>SUM(B13:C13)</f>
        <v>594638</v>
      </c>
      <c r="E13" s="352">
        <v>594638</v>
      </c>
      <c r="I13" s="510">
        <f t="shared" ref="I13:I48" si="0">D13-E13</f>
        <v>0</v>
      </c>
    </row>
    <row r="14" spans="1:9" ht="13.5" customHeight="1" x14ac:dyDescent="0.2">
      <c r="A14" s="237" t="s">
        <v>111</v>
      </c>
      <c r="B14" s="151">
        <v>1205585</v>
      </c>
      <c r="C14" s="151">
        <f>-Data!L12-Data!M12-Data!N12-Data!O12</f>
        <v>-35952</v>
      </c>
      <c r="D14" s="151">
        <f>SUM(B14:C14)</f>
        <v>1169633</v>
      </c>
      <c r="E14" s="151">
        <v>1169633</v>
      </c>
      <c r="I14" s="510">
        <f t="shared" si="0"/>
        <v>0</v>
      </c>
    </row>
    <row r="15" spans="1:9" ht="13.5" customHeight="1" x14ac:dyDescent="0.2">
      <c r="A15" s="354" t="s">
        <v>112</v>
      </c>
      <c r="B15" s="352">
        <v>3105980</v>
      </c>
      <c r="C15" s="352">
        <f>-Data!L13-Data!M13-Data!N13-Data!O13</f>
        <v>-53345</v>
      </c>
      <c r="D15" s="352">
        <f>SUM(B15:C15)</f>
        <v>3052635</v>
      </c>
      <c r="E15" s="352">
        <v>3052635</v>
      </c>
      <c r="I15" s="510">
        <f t="shared" si="0"/>
        <v>0</v>
      </c>
    </row>
    <row r="16" spans="1:9" ht="13.5" customHeight="1" x14ac:dyDescent="0.2">
      <c r="A16" s="237" t="s">
        <v>359</v>
      </c>
      <c r="B16" s="151"/>
      <c r="C16" s="151"/>
      <c r="D16" s="151"/>
      <c r="E16" s="151"/>
      <c r="I16" s="510">
        <f t="shared" si="0"/>
        <v>0</v>
      </c>
    </row>
    <row r="17" spans="1:9" ht="13.5" customHeight="1" x14ac:dyDescent="0.2">
      <c r="A17" s="354" t="s">
        <v>113</v>
      </c>
      <c r="B17" s="352">
        <v>907612</v>
      </c>
      <c r="C17" s="352">
        <f>-Data!L15-Data!M15-Data!N15-Data!O15</f>
        <v>-30075</v>
      </c>
      <c r="D17" s="352">
        <f>SUM(B17:C17)</f>
        <v>877537</v>
      </c>
      <c r="E17" s="352">
        <v>877537</v>
      </c>
      <c r="I17" s="510">
        <f t="shared" si="0"/>
        <v>0</v>
      </c>
    </row>
    <row r="18" spans="1:9" ht="13.5" customHeight="1" x14ac:dyDescent="0.2">
      <c r="A18" s="237" t="s">
        <v>114</v>
      </c>
      <c r="B18" s="151">
        <v>678136</v>
      </c>
      <c r="C18" s="151">
        <f>-Data!L16-Data!M16-Data!N16-Data!O16</f>
        <v>-23094</v>
      </c>
      <c r="D18" s="151">
        <f>SUM(B18:C18)</f>
        <v>655042</v>
      </c>
      <c r="E18" s="151">
        <v>655042</v>
      </c>
      <c r="I18" s="510">
        <f t="shared" si="0"/>
        <v>0</v>
      </c>
    </row>
    <row r="19" spans="1:9" ht="13.5" customHeight="1" x14ac:dyDescent="0.2">
      <c r="A19" s="354" t="s">
        <v>115</v>
      </c>
      <c r="B19" s="352">
        <v>753620</v>
      </c>
      <c r="C19" s="352">
        <f>-Data!L17-Data!M17-Data!N17-Data!O17</f>
        <v>-34158</v>
      </c>
      <c r="D19" s="352">
        <f>SUM(B19:C19)</f>
        <v>719462</v>
      </c>
      <c r="E19" s="352">
        <v>719462</v>
      </c>
      <c r="I19" s="510">
        <f t="shared" si="0"/>
        <v>0</v>
      </c>
    </row>
    <row r="20" spans="1:9" ht="13.5" customHeight="1" x14ac:dyDescent="0.2">
      <c r="A20" s="237" t="s">
        <v>116</v>
      </c>
      <c r="B20" s="151"/>
      <c r="C20" s="151"/>
      <c r="D20" s="151"/>
      <c r="E20" s="151"/>
      <c r="I20" s="510">
        <f t="shared" si="0"/>
        <v>0</v>
      </c>
    </row>
    <row r="21" spans="1:9" ht="13.5" customHeight="1" x14ac:dyDescent="0.2">
      <c r="A21" s="354" t="s">
        <v>117</v>
      </c>
      <c r="B21" s="352">
        <v>1383969</v>
      </c>
      <c r="C21" s="352">
        <f>-Data!L19-Data!M19-Data!N19-Data!O19</f>
        <v>-38961</v>
      </c>
      <c r="D21" s="352">
        <f t="shared" ref="D21:D48" si="1">SUM(B21:C21)</f>
        <v>1345008</v>
      </c>
      <c r="E21" s="352">
        <v>1345008</v>
      </c>
      <c r="I21" s="510">
        <f t="shared" si="0"/>
        <v>0</v>
      </c>
    </row>
    <row r="22" spans="1:9" ht="13.5" customHeight="1" x14ac:dyDescent="0.2">
      <c r="A22" s="237" t="s">
        <v>118</v>
      </c>
      <c r="B22" s="151">
        <v>2194498</v>
      </c>
      <c r="C22" s="151">
        <f>-Data!L20-Data!M20-Data!N20-Data!O20</f>
        <v>-72476</v>
      </c>
      <c r="D22" s="151">
        <f t="shared" si="1"/>
        <v>2122022</v>
      </c>
      <c r="E22" s="151">
        <v>2122022</v>
      </c>
      <c r="I22" s="510">
        <f t="shared" si="0"/>
        <v>0</v>
      </c>
    </row>
    <row r="23" spans="1:9" ht="13.5" customHeight="1" x14ac:dyDescent="0.2">
      <c r="A23" s="354" t="s">
        <v>119</v>
      </c>
      <c r="B23" s="352">
        <v>1393703</v>
      </c>
      <c r="C23" s="352">
        <f>-Data!L21-Data!M21-Data!N21-Data!O21</f>
        <v>-42819</v>
      </c>
      <c r="D23" s="352">
        <f t="shared" si="1"/>
        <v>1350884</v>
      </c>
      <c r="E23" s="352">
        <v>1350884</v>
      </c>
      <c r="I23" s="510">
        <f t="shared" si="0"/>
        <v>0</v>
      </c>
    </row>
    <row r="24" spans="1:9" ht="13.5" customHeight="1" x14ac:dyDescent="0.2">
      <c r="A24" s="237" t="s">
        <v>120</v>
      </c>
      <c r="B24" s="151">
        <v>793998</v>
      </c>
      <c r="C24" s="151">
        <f>-Data!L22-Data!M22</f>
        <v>-31280</v>
      </c>
      <c r="D24" s="151">
        <f t="shared" si="1"/>
        <v>762718</v>
      </c>
      <c r="E24" s="151">
        <v>762718</v>
      </c>
      <c r="I24" s="510">
        <f t="shared" si="0"/>
        <v>0</v>
      </c>
    </row>
    <row r="25" spans="1:9" ht="13.5" customHeight="1" x14ac:dyDescent="0.2">
      <c r="A25" s="354" t="s">
        <v>121</v>
      </c>
      <c r="B25" s="352">
        <v>661665</v>
      </c>
      <c r="C25" s="352">
        <f>-Data!L23-Data!M23-Data!N23-Data!O23</f>
        <v>-26770</v>
      </c>
      <c r="D25" s="352">
        <f t="shared" si="1"/>
        <v>634895</v>
      </c>
      <c r="E25" s="352">
        <v>634895</v>
      </c>
      <c r="I25" s="510">
        <f t="shared" si="0"/>
        <v>0</v>
      </c>
    </row>
    <row r="26" spans="1:9" ht="13.5" customHeight="1" x14ac:dyDescent="0.2">
      <c r="A26" s="237" t="s">
        <v>122</v>
      </c>
      <c r="B26" s="151">
        <v>1889601</v>
      </c>
      <c r="C26" s="151">
        <f>-Data!L24-Data!M24-Data!N24-Data!O24</f>
        <v>-56948</v>
      </c>
      <c r="D26" s="151">
        <f t="shared" si="1"/>
        <v>1832653</v>
      </c>
      <c r="E26" s="151">
        <v>1832653</v>
      </c>
      <c r="I26" s="510">
        <f t="shared" si="0"/>
        <v>0</v>
      </c>
    </row>
    <row r="27" spans="1:9" ht="13.5" customHeight="1" x14ac:dyDescent="0.2">
      <c r="A27" s="354" t="s">
        <v>123</v>
      </c>
      <c r="B27" s="352">
        <v>6500357</v>
      </c>
      <c r="C27" s="352">
        <f>-Data!L25-Data!M25-Data!N25-Data!O25</f>
        <v>-1514275</v>
      </c>
      <c r="D27" s="352">
        <f t="shared" si="1"/>
        <v>4986082</v>
      </c>
      <c r="E27" s="352">
        <v>4986082</v>
      </c>
      <c r="I27" s="510">
        <f t="shared" si="0"/>
        <v>0</v>
      </c>
    </row>
    <row r="28" spans="1:9" ht="13.5" customHeight="1" x14ac:dyDescent="0.2">
      <c r="A28" s="237" t="s">
        <v>124</v>
      </c>
      <c r="B28" s="151">
        <v>1414854</v>
      </c>
      <c r="C28" s="151">
        <f>-Data!L26-Data!M26-Data!N26-Data!O26</f>
        <v>-25019</v>
      </c>
      <c r="D28" s="151">
        <f t="shared" si="1"/>
        <v>1389835</v>
      </c>
      <c r="E28" s="151">
        <v>1389835</v>
      </c>
      <c r="I28" s="510">
        <f t="shared" si="0"/>
        <v>0</v>
      </c>
    </row>
    <row r="29" spans="1:9" ht="13.5" customHeight="1" x14ac:dyDescent="0.2">
      <c r="A29" s="354" t="s">
        <v>125</v>
      </c>
      <c r="B29" s="352">
        <v>1843059</v>
      </c>
      <c r="C29" s="352">
        <f>-Data!L27-Data!M27-Data!N27-Data!O27</f>
        <v>-49737</v>
      </c>
      <c r="D29" s="352">
        <f t="shared" si="1"/>
        <v>1793322</v>
      </c>
      <c r="E29" s="352">
        <v>1793322</v>
      </c>
      <c r="I29" s="510">
        <f t="shared" si="0"/>
        <v>0</v>
      </c>
    </row>
    <row r="30" spans="1:9" ht="13.5" customHeight="1" x14ac:dyDescent="0.2">
      <c r="A30" s="237" t="s">
        <v>126</v>
      </c>
      <c r="B30" s="151">
        <v>1129172</v>
      </c>
      <c r="C30" s="151">
        <f>-Data!L28-Data!M28-Data!N28-Data!O28</f>
        <v>-229131</v>
      </c>
      <c r="D30" s="151">
        <f t="shared" si="1"/>
        <v>900041</v>
      </c>
      <c r="E30" s="151">
        <v>900041</v>
      </c>
      <c r="I30" s="510">
        <f t="shared" si="0"/>
        <v>0</v>
      </c>
    </row>
    <row r="31" spans="1:9" ht="13.5" customHeight="1" x14ac:dyDescent="0.2">
      <c r="A31" s="354" t="s">
        <v>127</v>
      </c>
      <c r="B31" s="352">
        <v>5417859</v>
      </c>
      <c r="C31" s="352">
        <f>-Data!L29-Data!M29-Data!N29-Data!O29</f>
        <v>-927215</v>
      </c>
      <c r="D31" s="352">
        <f t="shared" si="1"/>
        <v>4490644</v>
      </c>
      <c r="E31" s="352">
        <v>4490644</v>
      </c>
      <c r="I31" s="510">
        <f t="shared" si="0"/>
        <v>0</v>
      </c>
    </row>
    <row r="32" spans="1:9" ht="13.5" customHeight="1" x14ac:dyDescent="0.2">
      <c r="A32" s="237" t="s">
        <v>128</v>
      </c>
      <c r="B32" s="151">
        <v>584062</v>
      </c>
      <c r="C32" s="151">
        <f>-Data!L30-Data!M30-Data!N30-Data!O30</f>
        <v>-22161</v>
      </c>
      <c r="D32" s="151">
        <f t="shared" si="1"/>
        <v>561901</v>
      </c>
      <c r="E32" s="151">
        <v>561901</v>
      </c>
      <c r="I32" s="510">
        <f t="shared" si="0"/>
        <v>0</v>
      </c>
    </row>
    <row r="33" spans="1:9" ht="13.5" customHeight="1" x14ac:dyDescent="0.2">
      <c r="A33" s="354" t="s">
        <v>129</v>
      </c>
      <c r="B33" s="352">
        <v>1265909</v>
      </c>
      <c r="C33" s="352">
        <f>-Data!L31-Data!M31-Data!N31-Data!O31</f>
        <v>-40893</v>
      </c>
      <c r="D33" s="352">
        <f t="shared" si="1"/>
        <v>1225016</v>
      </c>
      <c r="E33" s="352">
        <v>1225016</v>
      </c>
      <c r="I33" s="510">
        <f t="shared" si="0"/>
        <v>0</v>
      </c>
    </row>
    <row r="34" spans="1:9" ht="13.5" customHeight="1" x14ac:dyDescent="0.2">
      <c r="A34" s="237" t="s">
        <v>130</v>
      </c>
      <c r="B34" s="151">
        <v>1117874</v>
      </c>
      <c r="C34" s="151">
        <f>-Data!L32-Data!M32-Data!N32-Data!O32</f>
        <v>-33108</v>
      </c>
      <c r="D34" s="151">
        <f t="shared" si="1"/>
        <v>1084766</v>
      </c>
      <c r="E34" s="151">
        <v>1084766</v>
      </c>
      <c r="I34" s="510">
        <f t="shared" si="0"/>
        <v>0</v>
      </c>
    </row>
    <row r="35" spans="1:9" ht="13.5" customHeight="1" x14ac:dyDescent="0.2">
      <c r="A35" s="354" t="s">
        <v>131</v>
      </c>
      <c r="B35" s="352">
        <v>876789</v>
      </c>
      <c r="C35" s="352">
        <f>-Data!L33-Data!M33-Data!N33-Data!O33</f>
        <v>-41687</v>
      </c>
      <c r="D35" s="352">
        <f t="shared" si="1"/>
        <v>835102</v>
      </c>
      <c r="E35" s="352">
        <v>835102</v>
      </c>
      <c r="I35" s="510">
        <f t="shared" si="0"/>
        <v>0</v>
      </c>
    </row>
    <row r="36" spans="1:9" ht="13.5" customHeight="1" x14ac:dyDescent="0.2">
      <c r="A36" s="237" t="s">
        <v>132</v>
      </c>
      <c r="B36" s="151">
        <v>1096205</v>
      </c>
      <c r="C36" s="151">
        <f>-Data!L34-Data!M34-Data!N34-Data!O34</f>
        <v>-38317</v>
      </c>
      <c r="D36" s="151">
        <f t="shared" si="1"/>
        <v>1057888</v>
      </c>
      <c r="E36" s="151">
        <v>1057888</v>
      </c>
      <c r="I36" s="510">
        <f t="shared" si="0"/>
        <v>0</v>
      </c>
    </row>
    <row r="37" spans="1:9" ht="13.5" customHeight="1" x14ac:dyDescent="0.2">
      <c r="A37" s="354" t="s">
        <v>133</v>
      </c>
      <c r="B37" s="352">
        <v>5635578</v>
      </c>
      <c r="C37" s="352">
        <f>-Data!L35-Data!M35-Data!N35-Data!O35</f>
        <v>-615375</v>
      </c>
      <c r="D37" s="352">
        <f t="shared" si="1"/>
        <v>5020203</v>
      </c>
      <c r="E37" s="352">
        <v>5020203</v>
      </c>
      <c r="I37" s="510">
        <f t="shared" si="0"/>
        <v>0</v>
      </c>
    </row>
    <row r="38" spans="1:9" ht="13.5" customHeight="1" x14ac:dyDescent="0.2">
      <c r="A38" s="237" t="s">
        <v>134</v>
      </c>
      <c r="B38" s="151">
        <v>893664</v>
      </c>
      <c r="C38" s="151">
        <f>-Data!L36-Data!M36-Data!N36-Data!O36</f>
        <v>-34285</v>
      </c>
      <c r="D38" s="151">
        <f t="shared" si="1"/>
        <v>859379</v>
      </c>
      <c r="E38" s="151">
        <v>859379</v>
      </c>
      <c r="I38" s="510">
        <f t="shared" si="0"/>
        <v>0</v>
      </c>
    </row>
    <row r="39" spans="1:9" ht="13.5" customHeight="1" x14ac:dyDescent="0.2">
      <c r="A39" s="354" t="s">
        <v>135</v>
      </c>
      <c r="B39" s="352">
        <v>1658620</v>
      </c>
      <c r="C39" s="352">
        <f>-Data!L37-Data!M37-Data!N37-Data!O37</f>
        <v>-52711</v>
      </c>
      <c r="D39" s="352">
        <f t="shared" si="1"/>
        <v>1605909</v>
      </c>
      <c r="E39" s="352">
        <v>1605909</v>
      </c>
      <c r="I39" s="510">
        <f t="shared" si="0"/>
        <v>0</v>
      </c>
    </row>
    <row r="40" spans="1:9" ht="13.5" customHeight="1" x14ac:dyDescent="0.2">
      <c r="A40" s="237" t="s">
        <v>136</v>
      </c>
      <c r="B40" s="151">
        <v>4056506</v>
      </c>
      <c r="C40" s="151">
        <f>-Data!L38-Data!M38-Data!N38-Data!O38</f>
        <v>-77749</v>
      </c>
      <c r="D40" s="151">
        <f t="shared" si="1"/>
        <v>3978757</v>
      </c>
      <c r="E40" s="151">
        <v>3978757</v>
      </c>
      <c r="I40" s="510">
        <f t="shared" si="0"/>
        <v>0</v>
      </c>
    </row>
    <row r="41" spans="1:9" ht="13.5" customHeight="1" x14ac:dyDescent="0.2">
      <c r="A41" s="354" t="s">
        <v>137</v>
      </c>
      <c r="B41" s="352">
        <v>943811</v>
      </c>
      <c r="C41" s="352">
        <f>-Data!L39-Data!M39-Data!N39-Data!O39</f>
        <v>-35409</v>
      </c>
      <c r="D41" s="352">
        <f t="shared" si="1"/>
        <v>908402</v>
      </c>
      <c r="E41" s="352">
        <v>908402</v>
      </c>
      <c r="I41" s="510">
        <f t="shared" si="0"/>
        <v>0</v>
      </c>
    </row>
    <row r="42" spans="1:9" ht="13.5" customHeight="1" x14ac:dyDescent="0.2">
      <c r="A42" s="237" t="s">
        <v>138</v>
      </c>
      <c r="B42" s="151">
        <v>3621419</v>
      </c>
      <c r="C42" s="151">
        <f>-Data!L40-Data!M40-Data!N40-Data!O40</f>
        <v>-308543</v>
      </c>
      <c r="D42" s="151">
        <f t="shared" si="1"/>
        <v>3312876</v>
      </c>
      <c r="E42" s="151">
        <v>3312876</v>
      </c>
      <c r="I42" s="510">
        <f t="shared" si="0"/>
        <v>0</v>
      </c>
    </row>
    <row r="43" spans="1:9" ht="13.5" customHeight="1" x14ac:dyDescent="0.2">
      <c r="A43" s="354" t="s">
        <v>139</v>
      </c>
      <c r="B43" s="352">
        <v>2267754</v>
      </c>
      <c r="C43" s="352">
        <f>-Data!L41-Data!M41-Data!N41-Data!O41</f>
        <v>-55579</v>
      </c>
      <c r="D43" s="352">
        <f t="shared" si="1"/>
        <v>2212175</v>
      </c>
      <c r="E43" s="352">
        <v>2212175</v>
      </c>
      <c r="I43" s="510">
        <f t="shared" si="0"/>
        <v>0</v>
      </c>
    </row>
    <row r="44" spans="1:9" ht="13.5" customHeight="1" x14ac:dyDescent="0.2">
      <c r="A44" s="237" t="s">
        <v>140</v>
      </c>
      <c r="B44" s="151">
        <v>722273</v>
      </c>
      <c r="C44" s="151">
        <f>-Data!L42-Data!M42-Data!N42-Data!O42</f>
        <v>-25461</v>
      </c>
      <c r="D44" s="151">
        <f t="shared" si="1"/>
        <v>696812</v>
      </c>
      <c r="E44" s="151">
        <v>696812</v>
      </c>
      <c r="I44" s="510">
        <f t="shared" si="0"/>
        <v>0</v>
      </c>
    </row>
    <row r="45" spans="1:9" ht="13.5" customHeight="1" x14ac:dyDescent="0.2">
      <c r="A45" s="354" t="s">
        <v>141</v>
      </c>
      <c r="B45" s="352">
        <v>560827</v>
      </c>
      <c r="C45" s="352">
        <f>-Data!L43-Data!M43-Data!N43-Data!O43</f>
        <v>-26460</v>
      </c>
      <c r="D45" s="352">
        <f t="shared" si="1"/>
        <v>534367</v>
      </c>
      <c r="E45" s="352">
        <v>534367</v>
      </c>
      <c r="I45" s="510">
        <f t="shared" si="0"/>
        <v>0</v>
      </c>
    </row>
    <row r="46" spans="1:9" ht="13.5" customHeight="1" x14ac:dyDescent="0.2">
      <c r="A46" s="237" t="s">
        <v>142</v>
      </c>
      <c r="B46" s="151">
        <v>381205</v>
      </c>
      <c r="C46" s="151">
        <f>-Data!L44-Data!M44-Data!N44-Data!O44</f>
        <v>-19577</v>
      </c>
      <c r="D46" s="151">
        <f t="shared" si="1"/>
        <v>361628</v>
      </c>
      <c r="E46" s="151">
        <v>361628</v>
      </c>
      <c r="I46" s="510">
        <f t="shared" si="0"/>
        <v>0</v>
      </c>
    </row>
    <row r="47" spans="1:9" ht="13.5" customHeight="1" x14ac:dyDescent="0.2">
      <c r="A47" s="354" t="s">
        <v>143</v>
      </c>
      <c r="B47" s="352">
        <v>816651</v>
      </c>
      <c r="C47" s="352">
        <f>-Data!L45-Data!M45-Data!N45-Data!O45</f>
        <v>-28577</v>
      </c>
      <c r="D47" s="352">
        <f t="shared" si="1"/>
        <v>788074</v>
      </c>
      <c r="E47" s="352">
        <v>788074</v>
      </c>
      <c r="I47" s="510">
        <f t="shared" si="0"/>
        <v>0</v>
      </c>
    </row>
    <row r="48" spans="1:9" ht="13.5" customHeight="1" x14ac:dyDescent="0.2">
      <c r="A48" s="237" t="s">
        <v>144</v>
      </c>
      <c r="B48" s="151">
        <v>11128849</v>
      </c>
      <c r="C48" s="151">
        <f>-Data!L46-Data!M46-Data!N46-Data!O46</f>
        <v>-356229</v>
      </c>
      <c r="D48" s="151">
        <f t="shared" si="1"/>
        <v>10772620</v>
      </c>
      <c r="E48" s="151">
        <v>10772620</v>
      </c>
      <c r="I48" s="510">
        <f t="shared" si="0"/>
        <v>0</v>
      </c>
    </row>
    <row r="49" spans="1:9" ht="5.0999999999999996" customHeight="1" x14ac:dyDescent="0.2">
      <c r="A49" s="130"/>
      <c r="B49" s="152"/>
      <c r="C49" s="152"/>
      <c r="D49" s="152"/>
      <c r="E49" s="152"/>
      <c r="I49" s="510"/>
    </row>
    <row r="50" spans="1:9" ht="13.5" customHeight="1" x14ac:dyDescent="0.2">
      <c r="A50" s="355" t="s">
        <v>145</v>
      </c>
      <c r="B50" s="356">
        <f t="shared" ref="B50:E50" si="2">SUM(B13:B48)</f>
        <v>69521197</v>
      </c>
      <c r="C50" s="356">
        <f t="shared" si="2"/>
        <v>-5028271</v>
      </c>
      <c r="D50" s="356">
        <f t="shared" si="2"/>
        <v>64492926</v>
      </c>
      <c r="E50" s="356">
        <f t="shared" si="2"/>
        <v>64492926</v>
      </c>
      <c r="I50" s="510">
        <f>D50-E50</f>
        <v>0</v>
      </c>
    </row>
    <row r="51" spans="1:9" ht="5.0999999999999996" customHeight="1" x14ac:dyDescent="0.2">
      <c r="A51" s="130" t="s">
        <v>7</v>
      </c>
      <c r="B51" s="152"/>
      <c r="C51" s="152"/>
      <c r="D51" s="152"/>
      <c r="E51" s="152"/>
      <c r="H51" s="2">
        <f>+G51-B51</f>
        <v>0</v>
      </c>
      <c r="I51" s="510"/>
    </row>
    <row r="52" spans="1:9" ht="13.5" customHeight="1" x14ac:dyDescent="0.2">
      <c r="A52" s="237" t="s">
        <v>146</v>
      </c>
      <c r="B52" s="151"/>
      <c r="C52" s="151">
        <f>-Data!L50-Data!M50-Data!N50-Data!O50</f>
        <v>0</v>
      </c>
      <c r="D52" s="151">
        <f>SUM(B52:C52)</f>
        <v>0</v>
      </c>
      <c r="E52" s="151"/>
      <c r="I52" s="510">
        <f>D52-E52</f>
        <v>0</v>
      </c>
    </row>
    <row r="53" spans="1:9" ht="50.1" customHeight="1" x14ac:dyDescent="0.2">
      <c r="A53" s="23"/>
      <c r="B53" s="23"/>
      <c r="C53" s="23"/>
      <c r="D53" s="23"/>
    </row>
    <row r="54" spans="1:9" ht="14.45" customHeight="1" x14ac:dyDescent="0.2">
      <c r="A54" s="813" t="s">
        <v>630</v>
      </c>
      <c r="B54" s="813"/>
      <c r="C54" s="813"/>
      <c r="D54" s="813"/>
      <c r="E54" s="813"/>
      <c r="F54" s="813"/>
    </row>
    <row r="55" spans="1:9" ht="12" customHeight="1" x14ac:dyDescent="0.2">
      <c r="A55" s="814"/>
      <c r="B55" s="814"/>
      <c r="C55" s="814"/>
      <c r="D55" s="814"/>
      <c r="E55" s="814"/>
      <c r="F55" s="814"/>
    </row>
    <row r="56" spans="1:9" ht="12" customHeight="1" x14ac:dyDescent="0.2">
      <c r="A56" s="814"/>
      <c r="B56" s="814"/>
      <c r="C56" s="814"/>
      <c r="D56" s="814"/>
      <c r="E56" s="814"/>
      <c r="F56" s="814"/>
    </row>
    <row r="57" spans="1:9" ht="12" customHeight="1" x14ac:dyDescent="0.2">
      <c r="A57" s="814"/>
      <c r="B57" s="814"/>
      <c r="C57" s="814"/>
      <c r="D57" s="814"/>
      <c r="E57" s="814"/>
      <c r="F57" s="814"/>
    </row>
    <row r="58" spans="1:9" ht="12" customHeight="1" x14ac:dyDescent="0.2">
      <c r="A58" s="814"/>
      <c r="B58" s="814"/>
      <c r="C58" s="814"/>
      <c r="D58" s="814"/>
      <c r="E58" s="814"/>
      <c r="F58" s="814"/>
    </row>
    <row r="59" spans="1:9" ht="12" customHeight="1" x14ac:dyDescent="0.2">
      <c r="A59" s="814"/>
      <c r="B59" s="814"/>
      <c r="C59" s="814"/>
      <c r="D59" s="814"/>
      <c r="E59" s="814"/>
      <c r="F59" s="814"/>
    </row>
    <row r="60" spans="1:9" ht="9.75" customHeight="1" x14ac:dyDescent="0.2">
      <c r="A60" s="814"/>
      <c r="B60" s="814"/>
      <c r="C60" s="814"/>
      <c r="D60" s="814"/>
      <c r="E60" s="814"/>
      <c r="F60" s="814"/>
    </row>
    <row r="61" spans="1:9" x14ac:dyDescent="0.2">
      <c r="A61" s="578" t="s">
        <v>362</v>
      </c>
      <c r="B61" s="38"/>
    </row>
    <row r="62" spans="1:9" ht="12" customHeight="1" x14ac:dyDescent="0.2"/>
    <row r="63" spans="1:9" ht="12" customHeight="1" x14ac:dyDescent="0.2">
      <c r="A63" s="133"/>
    </row>
    <row r="64" spans="1:9" ht="12" customHeight="1" x14ac:dyDescent="0.2">
      <c r="A64" s="133"/>
    </row>
  </sheetData>
  <mergeCells count="5">
    <mergeCell ref="A54:F60"/>
    <mergeCell ref="B9:B11"/>
    <mergeCell ref="B4:D4"/>
    <mergeCell ref="C5:C11"/>
    <mergeCell ref="D9:D11"/>
  </mergeCells>
  <phoneticPr fontId="0" type="noConversion"/>
  <pageMargins left="0.5" right="0.5" top="0.6" bottom="0.2" header="0.3" footer="0.5"/>
  <pageSetup scale="92" orientation="portrait" r:id="rId1"/>
  <headerFooter alignWithMargins="0">
    <oddHeader>&amp;C&amp;"Arial,Regular"&amp;11&amp;A</oddHead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11">
    <pageSetUpPr fitToPage="1"/>
  </sheetPr>
  <dimension ref="A1:L59"/>
  <sheetViews>
    <sheetView showGridLines="0" showZeros="0" workbookViewId="0"/>
  </sheetViews>
  <sheetFormatPr defaultColWidth="14.83203125" defaultRowHeight="12" x14ac:dyDescent="0.2"/>
  <cols>
    <col min="1" max="1" width="27.33203125" style="2" customWidth="1"/>
    <col min="2" max="2" width="16.83203125" style="2" customWidth="1"/>
    <col min="3" max="3" width="13.5" style="2" customWidth="1"/>
    <col min="4" max="4" width="17.5" style="2" customWidth="1"/>
    <col min="5" max="5" width="16.83203125" style="2" customWidth="1"/>
    <col min="6" max="6" width="17" style="2" customWidth="1"/>
    <col min="7" max="7" width="15.6640625" style="2" customWidth="1"/>
    <col min="8" max="8" width="13" style="2" bestFit="1" customWidth="1"/>
    <col min="9" max="10" width="14.83203125" style="2" hidden="1" customWidth="1"/>
    <col min="11" max="12" width="0" style="2" hidden="1" customWidth="1"/>
    <col min="13" max="16384" width="14.83203125" style="2"/>
  </cols>
  <sheetData>
    <row r="1" spans="1:12" ht="6.95" customHeight="1" x14ac:dyDescent="0.2">
      <c r="A1" s="7"/>
      <c r="B1" s="8"/>
      <c r="C1" s="8"/>
      <c r="D1" s="8"/>
    </row>
    <row r="2" spans="1:12" ht="20.100000000000001" customHeight="1" x14ac:dyDescent="0.2">
      <c r="A2" s="251"/>
      <c r="B2" s="251" t="str">
        <f>"ADMINISTRATION EXPENSES "&amp;FALLYR&amp;"/"&amp;SPRINGYR&amp;" ACTUAL"</f>
        <v>ADMINISTRATION EXPENSES 2017/2018 ACTUAL</v>
      </c>
      <c r="C2" s="173"/>
      <c r="D2" s="173"/>
      <c r="E2" s="173"/>
      <c r="F2" s="173"/>
      <c r="G2" s="173"/>
      <c r="H2" s="386" t="s">
        <v>77</v>
      </c>
    </row>
    <row r="3" spans="1:12" ht="20.100000000000001" customHeight="1" x14ac:dyDescent="0.2">
      <c r="A3" s="535"/>
      <c r="B3" s="252"/>
      <c r="C3" s="253"/>
      <c r="D3" s="253"/>
      <c r="E3" s="253"/>
      <c r="F3" s="253"/>
      <c r="G3" s="253"/>
      <c r="H3" s="254"/>
    </row>
    <row r="4" spans="1:12" ht="14.1" customHeight="1" x14ac:dyDescent="0.2">
      <c r="A4" s="232"/>
      <c r="B4" s="818" t="s">
        <v>234</v>
      </c>
      <c r="C4" s="819"/>
      <c r="D4" s="819"/>
      <c r="E4" s="819"/>
      <c r="F4" s="819"/>
      <c r="G4" s="819"/>
      <c r="H4" s="820"/>
    </row>
    <row r="5" spans="1:12" ht="12.95" customHeight="1" x14ac:dyDescent="0.2">
      <c r="A5" s="255"/>
      <c r="B5" s="256"/>
      <c r="C5" s="256"/>
      <c r="D5" s="256"/>
      <c r="E5" s="256"/>
      <c r="F5" s="256"/>
      <c r="G5" s="256"/>
      <c r="H5" s="256"/>
    </row>
    <row r="6" spans="1:12" ht="12.95" customHeight="1" x14ac:dyDescent="0.2">
      <c r="A6" s="255"/>
      <c r="B6" s="242"/>
      <c r="C6" s="242"/>
      <c r="D6" s="242"/>
      <c r="E6" s="242"/>
      <c r="F6" s="242"/>
      <c r="G6" s="804" t="s">
        <v>598</v>
      </c>
      <c r="H6" s="804" t="s">
        <v>625</v>
      </c>
    </row>
    <row r="7" spans="1:12" ht="12.95" customHeight="1" x14ac:dyDescent="0.2">
      <c r="A7" s="255"/>
      <c r="B7" s="257"/>
      <c r="C7" s="121"/>
      <c r="D7" s="257"/>
      <c r="E7" s="257"/>
      <c r="F7" s="257"/>
      <c r="G7" s="804"/>
      <c r="H7" s="804"/>
    </row>
    <row r="8" spans="1:12" ht="12.95" customHeight="1" x14ac:dyDescent="0.2">
      <c r="A8" s="255"/>
      <c r="B8" s="804" t="s">
        <v>594</v>
      </c>
      <c r="C8" s="804" t="s">
        <v>595</v>
      </c>
      <c r="D8" s="804" t="s">
        <v>596</v>
      </c>
      <c r="E8" s="257"/>
      <c r="F8" s="804" t="s">
        <v>613</v>
      </c>
      <c r="G8" s="804"/>
      <c r="H8" s="804"/>
    </row>
    <row r="9" spans="1:12" ht="12.95" customHeight="1" x14ac:dyDescent="0.2">
      <c r="A9" s="255"/>
      <c r="B9" s="804"/>
      <c r="C9" s="804"/>
      <c r="D9" s="804"/>
      <c r="E9" s="804" t="s">
        <v>597</v>
      </c>
      <c r="F9" s="804"/>
      <c r="G9" s="804"/>
      <c r="H9" s="804"/>
    </row>
    <row r="10" spans="1:12" ht="12.95" customHeight="1" x14ac:dyDescent="0.2">
      <c r="A10" s="16"/>
      <c r="B10" s="804"/>
      <c r="C10" s="804"/>
      <c r="D10" s="804"/>
      <c r="E10" s="804"/>
      <c r="F10" s="804"/>
      <c r="G10" s="804"/>
      <c r="H10" s="804"/>
    </row>
    <row r="11" spans="1:12" ht="15.95" customHeight="1" x14ac:dyDescent="0.2">
      <c r="A11" s="17" t="s">
        <v>42</v>
      </c>
      <c r="B11" s="805"/>
      <c r="C11" s="805"/>
      <c r="D11" s="805"/>
      <c r="E11" s="805"/>
      <c r="F11" s="805"/>
      <c r="G11" s="805"/>
      <c r="H11" s="805"/>
    </row>
    <row r="12" spans="1:12" ht="5.0999999999999996" customHeight="1" x14ac:dyDescent="0.2">
      <c r="A12" s="18"/>
      <c r="C12" s="250"/>
      <c r="D12" s="207"/>
      <c r="E12" s="7"/>
    </row>
    <row r="13" spans="1:12" ht="14.1" customHeight="1" x14ac:dyDescent="0.2">
      <c r="A13" s="354" t="s">
        <v>110</v>
      </c>
      <c r="B13" s="352">
        <f>'- 3 -'!B11</f>
        <v>19872907</v>
      </c>
      <c r="C13" s="352">
        <v>224000</v>
      </c>
      <c r="D13" s="352">
        <v>0</v>
      </c>
      <c r="E13" s="352">
        <f>SUM(B13:D13)</f>
        <v>20096907</v>
      </c>
      <c r="F13" s="352">
        <f>'- 62 -'!D13</f>
        <v>594638</v>
      </c>
      <c r="G13" s="291">
        <f>F13/E13*100</f>
        <v>2.9588533200656202</v>
      </c>
      <c r="H13" s="582">
        <f>+Data!P11</f>
        <v>4.1000000000000005</v>
      </c>
      <c r="I13" s="400">
        <v>2.95885332006562E-2</v>
      </c>
      <c r="J13" s="352">
        <v>20096907</v>
      </c>
      <c r="K13" s="2">
        <f t="shared" ref="K13:K48" si="0">J13-E13</f>
        <v>0</v>
      </c>
      <c r="L13" s="2">
        <f>+H13/100-I13</f>
        <v>1.1411466799343808E-2</v>
      </c>
    </row>
    <row r="14" spans="1:12" ht="14.1" customHeight="1" x14ac:dyDescent="0.2">
      <c r="A14" s="237" t="s">
        <v>111</v>
      </c>
      <c r="B14" s="151">
        <f>'- 3 -'!B12</f>
        <v>34541559</v>
      </c>
      <c r="C14" s="151">
        <v>1588853</v>
      </c>
      <c r="D14" s="151">
        <v>-551946</v>
      </c>
      <c r="E14" s="151">
        <f>SUM(B14:D14)</f>
        <v>35578466</v>
      </c>
      <c r="F14" s="151">
        <f>'- 62 -'!D14</f>
        <v>1169633</v>
      </c>
      <c r="G14" s="70">
        <f>F14/E14*100</f>
        <v>3.2874745077542129</v>
      </c>
      <c r="H14" s="376">
        <f>+Data!P12</f>
        <v>4.05</v>
      </c>
      <c r="I14" s="140">
        <v>3.2874745077542129E-2</v>
      </c>
      <c r="J14" s="151">
        <v>35578466</v>
      </c>
      <c r="K14" s="2">
        <f t="shared" si="0"/>
        <v>0</v>
      </c>
      <c r="L14" s="2">
        <f t="shared" ref="L14:L48" si="1">+H14/100-I14</f>
        <v>7.625254922457872E-3</v>
      </c>
    </row>
    <row r="15" spans="1:12" ht="14.1" customHeight="1" x14ac:dyDescent="0.2">
      <c r="A15" s="354" t="s">
        <v>112</v>
      </c>
      <c r="B15" s="352">
        <f>'- 3 -'!B13</f>
        <v>99067236</v>
      </c>
      <c r="C15" s="352">
        <v>2676509</v>
      </c>
      <c r="D15" s="352">
        <v>0</v>
      </c>
      <c r="E15" s="352">
        <f>SUM(B15:D15)</f>
        <v>101743745</v>
      </c>
      <c r="F15" s="352">
        <f>'- 62 -'!D15</f>
        <v>3052635</v>
      </c>
      <c r="G15" s="291">
        <f>F15/E15*100</f>
        <v>3.0003171202318137</v>
      </c>
      <c r="H15" s="582">
        <f>+Data!P13</f>
        <v>3.5000000000000004</v>
      </c>
      <c r="I15" s="400">
        <v>3.0003171202318137E-2</v>
      </c>
      <c r="J15" s="352">
        <v>101743745</v>
      </c>
      <c r="K15" s="2">
        <f t="shared" si="0"/>
        <v>0</v>
      </c>
      <c r="L15" s="2">
        <f t="shared" si="1"/>
        <v>4.9968287976818668E-3</v>
      </c>
    </row>
    <row r="16" spans="1:12" ht="14.1" customHeight="1" x14ac:dyDescent="0.2">
      <c r="A16" s="237" t="s">
        <v>359</v>
      </c>
      <c r="B16" s="151"/>
      <c r="C16" s="151">
        <v>0</v>
      </c>
      <c r="D16" s="151"/>
      <c r="E16" s="151"/>
      <c r="F16" s="151"/>
      <c r="G16" s="376" t="s">
        <v>95</v>
      </c>
      <c r="H16" s="376" t="s">
        <v>95</v>
      </c>
      <c r="I16" s="140"/>
      <c r="J16" s="151"/>
      <c r="L16" s="2">
        <v>0</v>
      </c>
    </row>
    <row r="17" spans="1:12" ht="14.1" customHeight="1" x14ac:dyDescent="0.2">
      <c r="A17" s="354" t="s">
        <v>113</v>
      </c>
      <c r="B17" s="352">
        <f>'- 3 -'!B15</f>
        <v>20058942</v>
      </c>
      <c r="C17" s="352">
        <v>2182796</v>
      </c>
      <c r="D17" s="352">
        <v>0</v>
      </c>
      <c r="E17" s="352">
        <f>SUM(B17:D17)</f>
        <v>22241738</v>
      </c>
      <c r="F17" s="352">
        <f>'- 62 -'!D17</f>
        <v>877537</v>
      </c>
      <c r="G17" s="291">
        <f>F17/E17*100</f>
        <v>3.9454515649811182</v>
      </c>
      <c r="H17" s="582">
        <f>+Data!P15</f>
        <v>4.18</v>
      </c>
      <c r="I17" s="400">
        <v>3.945451564981118E-2</v>
      </c>
      <c r="J17" s="352">
        <v>22241738</v>
      </c>
      <c r="K17" s="2">
        <f t="shared" si="0"/>
        <v>0</v>
      </c>
      <c r="L17" s="2">
        <f t="shared" si="1"/>
        <v>2.3454843501888173E-3</v>
      </c>
    </row>
    <row r="18" spans="1:12" ht="14.1" customHeight="1" x14ac:dyDescent="0.2">
      <c r="A18" s="237" t="s">
        <v>114</v>
      </c>
      <c r="B18" s="151">
        <f>'- 3 -'!B16</f>
        <v>14465844</v>
      </c>
      <c r="C18" s="151">
        <v>500157</v>
      </c>
      <c r="D18" s="151">
        <v>-96719</v>
      </c>
      <c r="E18" s="151">
        <f>SUM(B18:D18)</f>
        <v>14869282</v>
      </c>
      <c r="F18" s="151">
        <f>'- 62 -'!D18</f>
        <v>655042</v>
      </c>
      <c r="G18" s="70">
        <f>F18/E18*100</f>
        <v>4.4053371238772661</v>
      </c>
      <c r="H18" s="376">
        <f>+Data!P16</f>
        <v>5</v>
      </c>
      <c r="I18" s="140">
        <v>4.4053371238772662E-2</v>
      </c>
      <c r="J18" s="151">
        <v>14869282</v>
      </c>
      <c r="K18" s="2">
        <f t="shared" si="0"/>
        <v>0</v>
      </c>
      <c r="L18" s="2">
        <f t="shared" si="1"/>
        <v>5.9466287612273405E-3</v>
      </c>
    </row>
    <row r="19" spans="1:12" ht="14.1" customHeight="1" x14ac:dyDescent="0.2">
      <c r="A19" s="354" t="s">
        <v>115</v>
      </c>
      <c r="B19" s="352">
        <f>'- 3 -'!B17</f>
        <v>18410540</v>
      </c>
      <c r="C19" s="352">
        <v>367619</v>
      </c>
      <c r="D19" s="352">
        <v>0</v>
      </c>
      <c r="E19" s="352">
        <f>SUM(B19:D19)</f>
        <v>18778159</v>
      </c>
      <c r="F19" s="352">
        <f>'- 62 -'!D19</f>
        <v>719462</v>
      </c>
      <c r="G19" s="291">
        <f>F19/E19*100</f>
        <v>3.8313766541224834</v>
      </c>
      <c r="H19" s="582">
        <f>+Data!P17</f>
        <v>4.18</v>
      </c>
      <c r="I19" s="400">
        <v>3.8313766541224835E-2</v>
      </c>
      <c r="J19" s="352">
        <v>18778159</v>
      </c>
      <c r="K19" s="2">
        <f t="shared" si="0"/>
        <v>0</v>
      </c>
      <c r="L19" s="2">
        <f t="shared" si="1"/>
        <v>3.486233458775162E-3</v>
      </c>
    </row>
    <row r="20" spans="1:12" ht="14.1" customHeight="1" x14ac:dyDescent="0.2">
      <c r="A20" s="237" t="s">
        <v>116</v>
      </c>
      <c r="B20" s="151"/>
      <c r="C20" s="151">
        <v>0</v>
      </c>
      <c r="D20" s="151"/>
      <c r="E20" s="151"/>
      <c r="F20" s="151"/>
      <c r="G20" s="376" t="s">
        <v>95</v>
      </c>
      <c r="H20" s="376" t="s">
        <v>95</v>
      </c>
      <c r="I20" s="140"/>
      <c r="J20" s="151"/>
      <c r="K20" s="2">
        <f t="shared" si="0"/>
        <v>0</v>
      </c>
      <c r="L20" s="2">
        <v>0</v>
      </c>
    </row>
    <row r="21" spans="1:12" ht="14.1" customHeight="1" x14ac:dyDescent="0.2">
      <c r="A21" s="354" t="s">
        <v>117</v>
      </c>
      <c r="B21" s="352">
        <f>'- 3 -'!B19</f>
        <v>49698356</v>
      </c>
      <c r="C21" s="352">
        <v>852347</v>
      </c>
      <c r="D21" s="352">
        <v>0</v>
      </c>
      <c r="E21" s="352">
        <f t="shared" ref="E21:E48" si="2">SUM(B21:D21)</f>
        <v>50550703</v>
      </c>
      <c r="F21" s="352">
        <f>'- 62 -'!D21</f>
        <v>1345008</v>
      </c>
      <c r="G21" s="291">
        <f t="shared" ref="G21:G48" si="3">F21/E21*100</f>
        <v>2.6607107719154763</v>
      </c>
      <c r="H21" s="582">
        <f>+Data!P19</f>
        <v>3.61</v>
      </c>
      <c r="I21" s="400">
        <v>2.6607107719154765E-2</v>
      </c>
      <c r="J21" s="352">
        <v>50550703</v>
      </c>
      <c r="K21" s="2">
        <f t="shared" si="0"/>
        <v>0</v>
      </c>
      <c r="L21" s="2">
        <f t="shared" si="1"/>
        <v>9.4928922808452353E-3</v>
      </c>
    </row>
    <row r="22" spans="1:12" ht="14.1" customHeight="1" x14ac:dyDescent="0.2">
      <c r="A22" s="237" t="s">
        <v>118</v>
      </c>
      <c r="B22" s="151">
        <f>'- 3 -'!B20</f>
        <v>86645314</v>
      </c>
      <c r="C22" s="151">
        <v>1386143</v>
      </c>
      <c r="D22" s="151">
        <v>0</v>
      </c>
      <c r="E22" s="151">
        <f t="shared" si="2"/>
        <v>88031457</v>
      </c>
      <c r="F22" s="151">
        <f>'- 62 -'!D22</f>
        <v>2122022</v>
      </c>
      <c r="G22" s="70">
        <f t="shared" si="3"/>
        <v>2.4105269551542241</v>
      </c>
      <c r="H22" s="376">
        <f>+Data!P20</f>
        <v>3.5000000000000004</v>
      </c>
      <c r="I22" s="140">
        <v>2.4105269551542241E-2</v>
      </c>
      <c r="J22" s="151">
        <v>88031457</v>
      </c>
      <c r="K22" s="2">
        <f t="shared" si="0"/>
        <v>0</v>
      </c>
      <c r="L22" s="2">
        <f t="shared" si="1"/>
        <v>1.0894730448457762E-2</v>
      </c>
    </row>
    <row r="23" spans="1:12" ht="14.1" customHeight="1" x14ac:dyDescent="0.2">
      <c r="A23" s="354" t="s">
        <v>119</v>
      </c>
      <c r="B23" s="352">
        <f>'- 3 -'!B21</f>
        <v>37191740</v>
      </c>
      <c r="C23" s="352">
        <v>1009473</v>
      </c>
      <c r="D23" s="352">
        <v>0</v>
      </c>
      <c r="E23" s="352">
        <f t="shared" si="2"/>
        <v>38201213</v>
      </c>
      <c r="F23" s="352">
        <f>'- 62 -'!D23</f>
        <v>1350884</v>
      </c>
      <c r="G23" s="291">
        <f t="shared" si="3"/>
        <v>3.5362332604464681</v>
      </c>
      <c r="H23" s="582">
        <f>+Data!P21</f>
        <v>3.92</v>
      </c>
      <c r="I23" s="400">
        <v>3.5362332604464683E-2</v>
      </c>
      <c r="J23" s="352">
        <v>38201213</v>
      </c>
      <c r="K23" s="2">
        <f t="shared" si="0"/>
        <v>0</v>
      </c>
      <c r="L23" s="2">
        <f t="shared" si="1"/>
        <v>3.8376673955353158E-3</v>
      </c>
    </row>
    <row r="24" spans="1:12" ht="14.1" customHeight="1" x14ac:dyDescent="0.2">
      <c r="A24" s="237" t="s">
        <v>120</v>
      </c>
      <c r="B24" s="151">
        <f>'- 3 -'!B22</f>
        <v>20647603</v>
      </c>
      <c r="C24" s="151">
        <v>170434</v>
      </c>
      <c r="D24" s="151">
        <v>-604181</v>
      </c>
      <c r="E24" s="151">
        <f t="shared" si="2"/>
        <v>20213856</v>
      </c>
      <c r="F24" s="151">
        <f>'- 62 -'!D24</f>
        <v>762718</v>
      </c>
      <c r="G24" s="70">
        <f t="shared" si="3"/>
        <v>3.7732434623062518</v>
      </c>
      <c r="H24" s="376">
        <f>+Data!P22</f>
        <v>5</v>
      </c>
      <c r="I24" s="140">
        <v>3.773243462306252E-2</v>
      </c>
      <c r="J24" s="151">
        <v>20213856</v>
      </c>
      <c r="K24" s="2">
        <f t="shared" si="0"/>
        <v>0</v>
      </c>
      <c r="L24" s="2">
        <f t="shared" si="1"/>
        <v>1.2267565376937482E-2</v>
      </c>
    </row>
    <row r="25" spans="1:12" ht="14.1" customHeight="1" x14ac:dyDescent="0.2">
      <c r="A25" s="354" t="s">
        <v>121</v>
      </c>
      <c r="B25" s="352">
        <f>'- 3 -'!B23</f>
        <v>16670277</v>
      </c>
      <c r="C25" s="352">
        <v>547398</v>
      </c>
      <c r="D25" s="352">
        <v>-272826</v>
      </c>
      <c r="E25" s="352">
        <f t="shared" si="2"/>
        <v>16944849</v>
      </c>
      <c r="F25" s="352">
        <f>'- 62 -'!D25</f>
        <v>634895</v>
      </c>
      <c r="G25" s="291">
        <f t="shared" si="3"/>
        <v>3.7468318543293009</v>
      </c>
      <c r="H25" s="582">
        <f>+Data!P23</f>
        <v>4.24</v>
      </c>
      <c r="I25" s="400">
        <v>3.7468318543293008E-2</v>
      </c>
      <c r="J25" s="352">
        <v>16944849</v>
      </c>
      <c r="K25" s="2">
        <f t="shared" si="0"/>
        <v>0</v>
      </c>
      <c r="L25" s="2">
        <f t="shared" si="1"/>
        <v>4.9316814567069919E-3</v>
      </c>
    </row>
    <row r="26" spans="1:12" ht="14.1" customHeight="1" x14ac:dyDescent="0.2">
      <c r="A26" s="237" t="s">
        <v>122</v>
      </c>
      <c r="B26" s="151">
        <f>'- 3 -'!B24</f>
        <v>58095986</v>
      </c>
      <c r="C26" s="151">
        <v>1715953</v>
      </c>
      <c r="D26" s="151">
        <v>-357455</v>
      </c>
      <c r="E26" s="151">
        <f t="shared" si="2"/>
        <v>59454484</v>
      </c>
      <c r="F26" s="151">
        <f>'- 62 -'!D26</f>
        <v>1832653</v>
      </c>
      <c r="G26" s="70">
        <f t="shared" si="3"/>
        <v>3.0824470699299988</v>
      </c>
      <c r="H26" s="376">
        <f>+Data!P24</f>
        <v>3.71</v>
      </c>
      <c r="I26" s="140">
        <v>3.0824470699299989E-2</v>
      </c>
      <c r="J26" s="151">
        <v>59454484</v>
      </c>
      <c r="K26" s="2">
        <f t="shared" si="0"/>
        <v>0</v>
      </c>
      <c r="L26" s="2">
        <f t="shared" si="1"/>
        <v>6.2755293007000119E-3</v>
      </c>
    </row>
    <row r="27" spans="1:12" ht="14.1" customHeight="1" x14ac:dyDescent="0.2">
      <c r="A27" s="354" t="s">
        <v>123</v>
      </c>
      <c r="B27" s="352">
        <f>'- 3 -'!B25</f>
        <v>188202488</v>
      </c>
      <c r="C27" s="352">
        <v>1722295</v>
      </c>
      <c r="D27" s="352">
        <v>-1271002</v>
      </c>
      <c r="E27" s="352">
        <f t="shared" si="2"/>
        <v>188653781</v>
      </c>
      <c r="F27" s="352">
        <f>'- 62 -'!D27</f>
        <v>4986082</v>
      </c>
      <c r="G27" s="291">
        <f t="shared" si="3"/>
        <v>2.6429801584522705</v>
      </c>
      <c r="H27" s="582">
        <f>+Data!P25</f>
        <v>3.5000000000000004</v>
      </c>
      <c r="I27" s="400">
        <v>2.6429801584522707E-2</v>
      </c>
      <c r="J27" s="352">
        <v>188653781</v>
      </c>
      <c r="K27" s="2">
        <f t="shared" si="0"/>
        <v>0</v>
      </c>
      <c r="L27" s="2">
        <f t="shared" si="1"/>
        <v>8.570198415477296E-3</v>
      </c>
    </row>
    <row r="28" spans="1:12" ht="14.1" customHeight="1" x14ac:dyDescent="0.2">
      <c r="A28" s="237" t="s">
        <v>124</v>
      </c>
      <c r="B28" s="151">
        <f>'- 3 -'!B26</f>
        <v>40788504</v>
      </c>
      <c r="C28" s="151">
        <v>1562829</v>
      </c>
      <c r="D28" s="151">
        <v>0</v>
      </c>
      <c r="E28" s="151">
        <f t="shared" si="2"/>
        <v>42351333</v>
      </c>
      <c r="F28" s="151">
        <f>'- 62 -'!D28</f>
        <v>1389835</v>
      </c>
      <c r="G28" s="70">
        <f t="shared" si="3"/>
        <v>3.2816794692152902</v>
      </c>
      <c r="H28" s="376">
        <f>+Data!P26</f>
        <v>3.88</v>
      </c>
      <c r="I28" s="140">
        <v>3.2816794692152901E-2</v>
      </c>
      <c r="J28" s="151">
        <v>42351333</v>
      </c>
      <c r="K28" s="2">
        <f t="shared" si="0"/>
        <v>0</v>
      </c>
      <c r="L28" s="2">
        <f t="shared" si="1"/>
        <v>5.9832053078471004E-3</v>
      </c>
    </row>
    <row r="29" spans="1:12" ht="14.1" customHeight="1" x14ac:dyDescent="0.2">
      <c r="A29" s="354" t="s">
        <v>125</v>
      </c>
      <c r="B29" s="352">
        <f>'- 3 -'!B27</f>
        <v>40952254</v>
      </c>
      <c r="C29" s="352">
        <v>712338</v>
      </c>
      <c r="D29" s="352">
        <v>0</v>
      </c>
      <c r="E29" s="352">
        <f t="shared" si="2"/>
        <v>41664592</v>
      </c>
      <c r="F29" s="352">
        <f>'- 62 -'!D29</f>
        <v>1793322</v>
      </c>
      <c r="G29" s="291">
        <f t="shared" si="3"/>
        <v>4.304187114084784</v>
      </c>
      <c r="H29" s="582">
        <f>+Data!P27</f>
        <v>5</v>
      </c>
      <c r="I29" s="400">
        <v>4.3041871140847843E-2</v>
      </c>
      <c r="J29" s="352">
        <v>41664592</v>
      </c>
      <c r="K29" s="2">
        <f t="shared" si="0"/>
        <v>0</v>
      </c>
      <c r="L29" s="2">
        <f t="shared" si="1"/>
        <v>6.9581288591521601E-3</v>
      </c>
    </row>
    <row r="30" spans="1:12" ht="14.1" customHeight="1" x14ac:dyDescent="0.2">
      <c r="A30" s="237" t="s">
        <v>126</v>
      </c>
      <c r="B30" s="151">
        <f>'- 3 -'!B28</f>
        <v>29028277</v>
      </c>
      <c r="C30" s="151">
        <v>336471</v>
      </c>
      <c r="D30" s="151">
        <v>-127816</v>
      </c>
      <c r="E30" s="151">
        <f t="shared" si="2"/>
        <v>29236932</v>
      </c>
      <c r="F30" s="151">
        <f>'- 62 -'!D30</f>
        <v>900041</v>
      </c>
      <c r="G30" s="70">
        <f t="shared" si="3"/>
        <v>3.0784385995083206</v>
      </c>
      <c r="H30" s="376">
        <f>+Data!P28</f>
        <v>4.07</v>
      </c>
      <c r="I30" s="140">
        <v>3.0784385995083204E-2</v>
      </c>
      <c r="J30" s="151">
        <v>29236932</v>
      </c>
      <c r="K30" s="2">
        <f t="shared" si="0"/>
        <v>0</v>
      </c>
      <c r="L30" s="2">
        <f t="shared" si="1"/>
        <v>9.9156140049167958E-3</v>
      </c>
    </row>
    <row r="31" spans="1:12" ht="14.1" customHeight="1" x14ac:dyDescent="0.2">
      <c r="A31" s="354" t="s">
        <v>127</v>
      </c>
      <c r="B31" s="352">
        <f>'- 3 -'!B29</f>
        <v>164751845</v>
      </c>
      <c r="C31" s="352">
        <v>5055002</v>
      </c>
      <c r="D31" s="352">
        <v>0</v>
      </c>
      <c r="E31" s="352">
        <f t="shared" si="2"/>
        <v>169806847</v>
      </c>
      <c r="F31" s="352">
        <f>'- 62 -'!D31</f>
        <v>4490644</v>
      </c>
      <c r="G31" s="291">
        <f t="shared" si="3"/>
        <v>2.6445600276648444</v>
      </c>
      <c r="H31" s="582">
        <f>+Data!P29</f>
        <v>3.5000000000000004</v>
      </c>
      <c r="I31" s="400">
        <v>2.6445600276648443E-2</v>
      </c>
      <c r="J31" s="352">
        <v>169806847</v>
      </c>
      <c r="K31" s="2">
        <f t="shared" si="0"/>
        <v>0</v>
      </c>
      <c r="L31" s="2">
        <f t="shared" si="1"/>
        <v>8.5543997233515599E-3</v>
      </c>
    </row>
    <row r="32" spans="1:12" ht="14.1" customHeight="1" x14ac:dyDescent="0.2">
      <c r="A32" s="237" t="s">
        <v>128</v>
      </c>
      <c r="B32" s="151">
        <f>'- 3 -'!B30</f>
        <v>14731353</v>
      </c>
      <c r="C32" s="151">
        <v>771269</v>
      </c>
      <c r="D32" s="151">
        <v>0</v>
      </c>
      <c r="E32" s="151">
        <f t="shared" si="2"/>
        <v>15502622</v>
      </c>
      <c r="F32" s="151">
        <f>'- 62 -'!D32</f>
        <v>561901</v>
      </c>
      <c r="G32" s="70">
        <f t="shared" si="3"/>
        <v>3.6245546076012172</v>
      </c>
      <c r="H32" s="376">
        <f>+Data!P30</f>
        <v>4.25</v>
      </c>
      <c r="I32" s="140">
        <v>3.6245546076012172E-2</v>
      </c>
      <c r="J32" s="151">
        <v>15502622</v>
      </c>
      <c r="K32" s="2">
        <f t="shared" si="0"/>
        <v>0</v>
      </c>
      <c r="L32" s="2">
        <f t="shared" si="1"/>
        <v>6.2544539239878308E-3</v>
      </c>
    </row>
    <row r="33" spans="1:12" ht="14.1" customHeight="1" x14ac:dyDescent="0.2">
      <c r="A33" s="354" t="s">
        <v>129</v>
      </c>
      <c r="B33" s="352">
        <f>'- 3 -'!B31</f>
        <v>38071419</v>
      </c>
      <c r="C33" s="352">
        <v>3005672</v>
      </c>
      <c r="D33" s="352">
        <v>0</v>
      </c>
      <c r="E33" s="352">
        <f t="shared" si="2"/>
        <v>41077091</v>
      </c>
      <c r="F33" s="352">
        <f>'- 62 -'!D33</f>
        <v>1225016</v>
      </c>
      <c r="G33" s="291">
        <f t="shared" si="3"/>
        <v>2.9822364977110967</v>
      </c>
      <c r="H33" s="582">
        <f>+Data!P31</f>
        <v>3.82</v>
      </c>
      <c r="I33" s="400">
        <v>2.9822364977110966E-2</v>
      </c>
      <c r="J33" s="352">
        <v>41077091</v>
      </c>
      <c r="K33" s="2">
        <f t="shared" si="0"/>
        <v>0</v>
      </c>
      <c r="L33" s="2">
        <f t="shared" si="1"/>
        <v>8.3776350228890323E-3</v>
      </c>
    </row>
    <row r="34" spans="1:12" ht="14.1" customHeight="1" x14ac:dyDescent="0.2">
      <c r="A34" s="237" t="s">
        <v>130</v>
      </c>
      <c r="B34" s="151">
        <f>'- 3 -'!B32</f>
        <v>31668747</v>
      </c>
      <c r="C34" s="151">
        <v>423327</v>
      </c>
      <c r="D34" s="151">
        <v>-280075</v>
      </c>
      <c r="E34" s="151">
        <f t="shared" si="2"/>
        <v>31811999</v>
      </c>
      <c r="F34" s="151">
        <f>'- 62 -'!D34</f>
        <v>1084766</v>
      </c>
      <c r="G34" s="70">
        <f t="shared" si="3"/>
        <v>3.4099271787352938</v>
      </c>
      <c r="H34" s="376">
        <f>+Data!P32</f>
        <v>4.03</v>
      </c>
      <c r="I34" s="140">
        <v>3.409927178735294E-2</v>
      </c>
      <c r="J34" s="151">
        <v>31811999</v>
      </c>
      <c r="K34" s="2">
        <f t="shared" si="0"/>
        <v>0</v>
      </c>
      <c r="L34" s="2">
        <f t="shared" si="1"/>
        <v>6.2007282126470623E-3</v>
      </c>
    </row>
    <row r="35" spans="1:12" ht="14.1" customHeight="1" x14ac:dyDescent="0.2">
      <c r="A35" s="354" t="s">
        <v>131</v>
      </c>
      <c r="B35" s="352">
        <f>'- 3 -'!B33</f>
        <v>28427209</v>
      </c>
      <c r="C35" s="352">
        <v>642968</v>
      </c>
      <c r="D35" s="352">
        <v>0</v>
      </c>
      <c r="E35" s="352">
        <f t="shared" si="2"/>
        <v>29070177</v>
      </c>
      <c r="F35" s="352">
        <f>'- 62 -'!D35</f>
        <v>835102</v>
      </c>
      <c r="G35" s="291">
        <f t="shared" si="3"/>
        <v>2.8727104069576184</v>
      </c>
      <c r="H35" s="582">
        <f>+Data!P33</f>
        <v>4.04</v>
      </c>
      <c r="I35" s="400">
        <v>2.8727104069576185E-2</v>
      </c>
      <c r="J35" s="352">
        <v>29070177</v>
      </c>
      <c r="K35" s="2">
        <f t="shared" si="0"/>
        <v>0</v>
      </c>
      <c r="L35" s="2">
        <f t="shared" si="1"/>
        <v>1.1672895930423813E-2</v>
      </c>
    </row>
    <row r="36" spans="1:12" ht="14.1" customHeight="1" x14ac:dyDescent="0.2">
      <c r="A36" s="237" t="s">
        <v>132</v>
      </c>
      <c r="B36" s="151">
        <f>'- 3 -'!B34</f>
        <v>31182449</v>
      </c>
      <c r="C36" s="151">
        <v>1351240</v>
      </c>
      <c r="D36" s="151">
        <v>0</v>
      </c>
      <c r="E36" s="151">
        <f t="shared" si="2"/>
        <v>32533689</v>
      </c>
      <c r="F36" s="151">
        <f>'- 62 -'!D36</f>
        <v>1057888</v>
      </c>
      <c r="G36" s="70">
        <f t="shared" si="3"/>
        <v>3.2516693695571997</v>
      </c>
      <c r="H36" s="376">
        <f>+Data!P34</f>
        <v>4.04</v>
      </c>
      <c r="I36" s="140">
        <v>3.2516693695571995E-2</v>
      </c>
      <c r="J36" s="151">
        <v>32533689</v>
      </c>
      <c r="K36" s="2">
        <f t="shared" si="0"/>
        <v>0</v>
      </c>
      <c r="L36" s="2">
        <f t="shared" si="1"/>
        <v>7.8833063044280033E-3</v>
      </c>
    </row>
    <row r="37" spans="1:12" ht="14.1" customHeight="1" x14ac:dyDescent="0.2">
      <c r="A37" s="354" t="s">
        <v>133</v>
      </c>
      <c r="B37" s="352">
        <f>'- 3 -'!B35</f>
        <v>188982172</v>
      </c>
      <c r="C37" s="352">
        <v>3049174</v>
      </c>
      <c r="D37" s="352">
        <v>-1493615</v>
      </c>
      <c r="E37" s="352">
        <f t="shared" si="2"/>
        <v>190537731</v>
      </c>
      <c r="F37" s="352">
        <f>'- 62 -'!D37</f>
        <v>5020203</v>
      </c>
      <c r="G37" s="291">
        <f t="shared" si="3"/>
        <v>2.6347553178325609</v>
      </c>
      <c r="H37" s="582">
        <f>+Data!P35</f>
        <v>3.5000000000000004</v>
      </c>
      <c r="I37" s="400">
        <v>2.634755317832561E-2</v>
      </c>
      <c r="J37" s="352">
        <v>190537731</v>
      </c>
      <c r="K37" s="2">
        <f t="shared" si="0"/>
        <v>0</v>
      </c>
      <c r="L37" s="2">
        <f t="shared" si="1"/>
        <v>8.6524468216743929E-3</v>
      </c>
    </row>
    <row r="38" spans="1:12" ht="14.1" customHeight="1" x14ac:dyDescent="0.2">
      <c r="A38" s="237" t="s">
        <v>134</v>
      </c>
      <c r="B38" s="151">
        <f>'- 3 -'!B36</f>
        <v>23973808</v>
      </c>
      <c r="C38" s="151">
        <v>974384</v>
      </c>
      <c r="D38" s="151">
        <v>-122211</v>
      </c>
      <c r="E38" s="151">
        <f t="shared" si="2"/>
        <v>24825981</v>
      </c>
      <c r="F38" s="151">
        <f>'- 62 -'!D38</f>
        <v>859379</v>
      </c>
      <c r="G38" s="70">
        <f t="shared" si="3"/>
        <v>3.4616114464922854</v>
      </c>
      <c r="H38" s="376">
        <f>+Data!P36</f>
        <v>4.12</v>
      </c>
      <c r="I38" s="140">
        <v>3.4616114464922854E-2</v>
      </c>
      <c r="J38" s="151">
        <v>24825981</v>
      </c>
      <c r="K38" s="2">
        <f t="shared" si="0"/>
        <v>0</v>
      </c>
      <c r="L38" s="2">
        <f t="shared" si="1"/>
        <v>6.5838855350771469E-3</v>
      </c>
    </row>
    <row r="39" spans="1:12" ht="14.1" customHeight="1" x14ac:dyDescent="0.2">
      <c r="A39" s="354" t="s">
        <v>135</v>
      </c>
      <c r="B39" s="352">
        <f>'- 3 -'!B37</f>
        <v>52948140</v>
      </c>
      <c r="C39" s="352">
        <v>857199</v>
      </c>
      <c r="D39" s="352">
        <v>-313715</v>
      </c>
      <c r="E39" s="352">
        <f t="shared" si="2"/>
        <v>53491624</v>
      </c>
      <c r="F39" s="352">
        <f>'- 62 -'!D39</f>
        <v>1605909</v>
      </c>
      <c r="G39" s="291">
        <f t="shared" si="3"/>
        <v>3.002169087257474</v>
      </c>
      <c r="H39" s="582">
        <f>+Data!P37</f>
        <v>3.65</v>
      </c>
      <c r="I39" s="400">
        <v>3.0021690872574742E-2</v>
      </c>
      <c r="J39" s="352">
        <v>53491624</v>
      </c>
      <c r="K39" s="2">
        <f t="shared" si="0"/>
        <v>0</v>
      </c>
      <c r="L39" s="2">
        <f t="shared" si="1"/>
        <v>6.4783091274252559E-3</v>
      </c>
    </row>
    <row r="40" spans="1:12" ht="14.1" customHeight="1" x14ac:dyDescent="0.2">
      <c r="A40" s="237" t="s">
        <v>136</v>
      </c>
      <c r="B40" s="151">
        <f>'- 3 -'!B38</f>
        <v>142158891</v>
      </c>
      <c r="C40" s="151">
        <v>3925180</v>
      </c>
      <c r="D40" s="151">
        <v>-923875</v>
      </c>
      <c r="E40" s="151">
        <f t="shared" si="2"/>
        <v>145160196</v>
      </c>
      <c r="F40" s="151">
        <f>'- 62 -'!D40</f>
        <v>3978757</v>
      </c>
      <c r="G40" s="70">
        <f t="shared" si="3"/>
        <v>2.7409421519381247</v>
      </c>
      <c r="H40" s="376">
        <f>+Data!P38</f>
        <v>3.5000000000000004</v>
      </c>
      <c r="I40" s="140">
        <v>2.740942151938125E-2</v>
      </c>
      <c r="J40" s="151">
        <v>145160196</v>
      </c>
      <c r="K40" s="2">
        <f t="shared" si="0"/>
        <v>0</v>
      </c>
      <c r="L40" s="2">
        <f t="shared" si="1"/>
        <v>7.5905784806187537E-3</v>
      </c>
    </row>
    <row r="41" spans="1:12" ht="14.1" customHeight="1" x14ac:dyDescent="0.2">
      <c r="A41" s="354" t="s">
        <v>137</v>
      </c>
      <c r="B41" s="352">
        <f>'- 3 -'!B39</f>
        <v>22546474</v>
      </c>
      <c r="C41" s="352">
        <v>1012453</v>
      </c>
      <c r="D41" s="352">
        <v>0</v>
      </c>
      <c r="E41" s="352">
        <f t="shared" si="2"/>
        <v>23558927</v>
      </c>
      <c r="F41" s="352">
        <f>'- 62 -'!D41</f>
        <v>908402</v>
      </c>
      <c r="G41" s="291">
        <f t="shared" si="3"/>
        <v>3.8558717041739632</v>
      </c>
      <c r="H41" s="582">
        <f>+Data!P39</f>
        <v>4.1500000000000004</v>
      </c>
      <c r="I41" s="400">
        <v>3.8558717041739632E-2</v>
      </c>
      <c r="J41" s="352">
        <v>23558927</v>
      </c>
      <c r="K41" s="2">
        <f t="shared" si="0"/>
        <v>0</v>
      </c>
      <c r="L41" s="2">
        <f t="shared" si="1"/>
        <v>2.9412829582603703E-3</v>
      </c>
    </row>
    <row r="42" spans="1:12" ht="14.1" customHeight="1" x14ac:dyDescent="0.2">
      <c r="A42" s="237" t="s">
        <v>138</v>
      </c>
      <c r="B42" s="151">
        <f>'- 3 -'!B40</f>
        <v>106382984</v>
      </c>
      <c r="C42" s="151">
        <v>2591286</v>
      </c>
      <c r="D42" s="151">
        <v>0</v>
      </c>
      <c r="E42" s="151">
        <f t="shared" si="2"/>
        <v>108974270</v>
      </c>
      <c r="F42" s="151">
        <f>'- 62 -'!D42</f>
        <v>3312876</v>
      </c>
      <c r="G42" s="70">
        <f t="shared" si="3"/>
        <v>3.0400533997612467</v>
      </c>
      <c r="H42" s="376">
        <f>+Data!P40</f>
        <v>3.5000000000000004</v>
      </c>
      <c r="I42" s="140">
        <v>3.0400533997612465E-2</v>
      </c>
      <c r="J42" s="151">
        <v>108974270</v>
      </c>
      <c r="K42" s="2">
        <f t="shared" si="0"/>
        <v>0</v>
      </c>
      <c r="L42" s="2">
        <f t="shared" si="1"/>
        <v>4.5994660023875381E-3</v>
      </c>
    </row>
    <row r="43" spans="1:12" ht="14.1" customHeight="1" x14ac:dyDescent="0.2">
      <c r="A43" s="354" t="s">
        <v>139</v>
      </c>
      <c r="B43" s="352">
        <f>'- 3 -'!B41</f>
        <v>65738841</v>
      </c>
      <c r="C43" s="352">
        <v>1705000</v>
      </c>
      <c r="D43" s="352">
        <v>-1010985</v>
      </c>
      <c r="E43" s="352">
        <f t="shared" si="2"/>
        <v>66432856</v>
      </c>
      <c r="F43" s="352">
        <f>'- 62 -'!D43</f>
        <v>2212175</v>
      </c>
      <c r="G43" s="291">
        <f t="shared" si="3"/>
        <v>3.3299411363557816</v>
      </c>
      <c r="H43" s="582">
        <f>+Data!P41</f>
        <v>3.5999999999999996</v>
      </c>
      <c r="I43" s="400">
        <v>3.3299411363557817E-2</v>
      </c>
      <c r="J43" s="352">
        <v>66432856</v>
      </c>
      <c r="K43" s="2">
        <f t="shared" si="0"/>
        <v>0</v>
      </c>
      <c r="L43" s="2">
        <f t="shared" si="1"/>
        <v>2.7005886364421805E-3</v>
      </c>
    </row>
    <row r="44" spans="1:12" ht="14.1" customHeight="1" x14ac:dyDescent="0.2">
      <c r="A44" s="237" t="s">
        <v>140</v>
      </c>
      <c r="B44" s="151">
        <f>'- 3 -'!B42</f>
        <v>20929305</v>
      </c>
      <c r="C44" s="151">
        <v>842168</v>
      </c>
      <c r="D44" s="151">
        <v>0</v>
      </c>
      <c r="E44" s="151">
        <f t="shared" si="2"/>
        <v>21771473</v>
      </c>
      <c r="F44" s="151">
        <f>'- 62 -'!D44</f>
        <v>696812</v>
      </c>
      <c r="G44" s="70">
        <f t="shared" si="3"/>
        <v>3.2005735211393369</v>
      </c>
      <c r="H44" s="376">
        <f>+Data!P42</f>
        <v>4.17</v>
      </c>
      <c r="I44" s="140">
        <v>3.2005735211393369E-2</v>
      </c>
      <c r="J44" s="151">
        <v>21771473</v>
      </c>
      <c r="K44" s="2">
        <f t="shared" si="0"/>
        <v>0</v>
      </c>
      <c r="L44" s="2">
        <f t="shared" si="1"/>
        <v>9.6942647886066324E-3</v>
      </c>
    </row>
    <row r="45" spans="1:12" ht="14.1" customHeight="1" x14ac:dyDescent="0.2">
      <c r="A45" s="354" t="s">
        <v>141</v>
      </c>
      <c r="B45" s="352">
        <f>'- 3 -'!B43</f>
        <v>13477568</v>
      </c>
      <c r="C45" s="352">
        <v>290464</v>
      </c>
      <c r="D45" s="352">
        <v>-218884</v>
      </c>
      <c r="E45" s="352">
        <f t="shared" si="2"/>
        <v>13549148</v>
      </c>
      <c r="F45" s="352">
        <f>'- 62 -'!D45</f>
        <v>534367</v>
      </c>
      <c r="G45" s="291">
        <f t="shared" si="3"/>
        <v>3.9439158831241641</v>
      </c>
      <c r="H45" s="582">
        <f>+Data!P43</f>
        <v>4.25</v>
      </c>
      <c r="I45" s="400">
        <v>3.943915883124164E-2</v>
      </c>
      <c r="J45" s="352">
        <v>13549148</v>
      </c>
      <c r="K45" s="2">
        <f t="shared" si="0"/>
        <v>0</v>
      </c>
      <c r="L45" s="2">
        <f t="shared" si="1"/>
        <v>3.0608411687583631E-3</v>
      </c>
    </row>
    <row r="46" spans="1:12" ht="14.1" customHeight="1" x14ac:dyDescent="0.2">
      <c r="A46" s="237" t="s">
        <v>142</v>
      </c>
      <c r="B46" s="151">
        <f>'- 3 -'!B44</f>
        <v>11145593</v>
      </c>
      <c r="C46" s="151">
        <v>393307</v>
      </c>
      <c r="D46" s="151">
        <v>0</v>
      </c>
      <c r="E46" s="151">
        <f t="shared" si="2"/>
        <v>11538900</v>
      </c>
      <c r="F46" s="151">
        <f>'- 62 -'!D46</f>
        <v>361628</v>
      </c>
      <c r="G46" s="70">
        <f t="shared" si="3"/>
        <v>3.133990241704149</v>
      </c>
      <c r="H46" s="376">
        <f>+Data!P44</f>
        <v>4.25</v>
      </c>
      <c r="I46" s="140">
        <v>3.1339902417041487E-2</v>
      </c>
      <c r="J46" s="151">
        <v>11538900</v>
      </c>
      <c r="K46" s="2">
        <f t="shared" si="0"/>
        <v>0</v>
      </c>
      <c r="L46" s="2">
        <f t="shared" si="1"/>
        <v>1.1160097582958516E-2</v>
      </c>
    </row>
    <row r="47" spans="1:12" ht="14.1" customHeight="1" x14ac:dyDescent="0.2">
      <c r="A47" s="354" t="s">
        <v>143</v>
      </c>
      <c r="B47" s="352">
        <f>'- 3 -'!B45</f>
        <v>20068103</v>
      </c>
      <c r="C47" s="352">
        <v>468650</v>
      </c>
      <c r="D47" s="352">
        <v>-392331</v>
      </c>
      <c r="E47" s="352">
        <f t="shared" si="2"/>
        <v>20144422</v>
      </c>
      <c r="F47" s="352">
        <f>'- 62 -'!D47</f>
        <v>788074</v>
      </c>
      <c r="G47" s="291">
        <f t="shared" si="3"/>
        <v>3.9121201889039057</v>
      </c>
      <c r="H47" s="582">
        <f>+Data!P45</f>
        <v>4.1099999999999994</v>
      </c>
      <c r="I47" s="400">
        <v>3.9121201889039059E-2</v>
      </c>
      <c r="J47" s="352">
        <v>20144422</v>
      </c>
      <c r="K47" s="2">
        <f t="shared" si="0"/>
        <v>0</v>
      </c>
      <c r="L47" s="2">
        <f t="shared" si="1"/>
        <v>1.9787981109609387E-3</v>
      </c>
    </row>
    <row r="48" spans="1:12" ht="14.1" customHeight="1" x14ac:dyDescent="0.2">
      <c r="A48" s="237" t="s">
        <v>144</v>
      </c>
      <c r="B48" s="151">
        <f>'- 3 -'!B46</f>
        <v>399278185</v>
      </c>
      <c r="C48" s="151">
        <v>7018253</v>
      </c>
      <c r="D48" s="151">
        <v>-798009</v>
      </c>
      <c r="E48" s="151">
        <f t="shared" si="2"/>
        <v>405498429</v>
      </c>
      <c r="F48" s="151">
        <f>'- 62 -'!D48</f>
        <v>10772620</v>
      </c>
      <c r="G48" s="70">
        <f t="shared" si="3"/>
        <v>2.6566366795961125</v>
      </c>
      <c r="H48" s="376">
        <f>+Data!P46</f>
        <v>3.5000000000000004</v>
      </c>
      <c r="I48" s="140">
        <v>2.6566366795961124E-2</v>
      </c>
      <c r="J48" s="151">
        <v>405498429</v>
      </c>
      <c r="K48" s="2">
        <f t="shared" si="0"/>
        <v>0</v>
      </c>
      <c r="L48" s="2">
        <f t="shared" si="1"/>
        <v>8.4336332040388789E-3</v>
      </c>
    </row>
    <row r="49" spans="1:11" ht="5.0999999999999996" customHeight="1" x14ac:dyDescent="0.2">
      <c r="A49" s="130"/>
      <c r="B49" s="152"/>
      <c r="C49" s="152"/>
      <c r="D49" s="152"/>
      <c r="E49" s="152"/>
      <c r="F49" s="152"/>
      <c r="G49" s="581"/>
      <c r="H49" s="1"/>
      <c r="I49" s="131"/>
      <c r="J49" s="152"/>
    </row>
    <row r="50" spans="1:11" ht="14.45" customHeight="1" x14ac:dyDescent="0.2">
      <c r="A50" s="355" t="s">
        <v>145</v>
      </c>
      <c r="B50" s="356">
        <f>SUM(B13:B48)</f>
        <v>2150800913</v>
      </c>
      <c r="C50" s="356">
        <f>SUM(C13:C48)</f>
        <v>51932611</v>
      </c>
      <c r="D50" s="356">
        <f>SUM(D13:D48)</f>
        <v>-8835645</v>
      </c>
      <c r="E50" s="356">
        <f>SUM(E13:E48)</f>
        <v>2193897879</v>
      </c>
      <c r="F50" s="356">
        <f>SUM(F13:F48)</f>
        <v>64492926</v>
      </c>
      <c r="G50" s="294">
        <f>F50/E50*100</f>
        <v>2.9396503190657399</v>
      </c>
      <c r="H50" s="583" t="s">
        <v>95</v>
      </c>
      <c r="I50" s="401"/>
      <c r="J50" s="356">
        <f>SUM(J13:J48)</f>
        <v>2193897879</v>
      </c>
      <c r="K50" s="2">
        <f>J50-E50</f>
        <v>0</v>
      </c>
    </row>
    <row r="51" spans="1:11" ht="5.0999999999999996" customHeight="1" x14ac:dyDescent="0.2">
      <c r="A51" s="130" t="s">
        <v>7</v>
      </c>
      <c r="B51" s="152"/>
      <c r="C51" s="152"/>
      <c r="D51" s="152"/>
      <c r="E51" s="152"/>
      <c r="F51" s="152"/>
      <c r="G51" s="581"/>
      <c r="H51"/>
      <c r="I51" s="131"/>
      <c r="J51" s="152"/>
    </row>
    <row r="52" spans="1:11" ht="14.45" customHeight="1" x14ac:dyDescent="0.2">
      <c r="A52" s="237" t="s">
        <v>146</v>
      </c>
      <c r="B52" s="151"/>
      <c r="C52" s="151"/>
      <c r="D52" s="151"/>
      <c r="E52" s="151"/>
      <c r="F52" s="151"/>
      <c r="G52" s="580" t="s">
        <v>624</v>
      </c>
      <c r="H52" s="580" t="s">
        <v>624</v>
      </c>
      <c r="I52" s="140">
        <v>4.7018394986860723E-2</v>
      </c>
      <c r="J52" s="151">
        <v>3512370</v>
      </c>
    </row>
    <row r="53" spans="1:11" ht="50.1" customHeight="1" x14ac:dyDescent="0.2">
      <c r="A53" s="23"/>
      <c r="B53" s="23"/>
      <c r="C53" s="23"/>
      <c r="D53" s="23"/>
      <c r="E53" s="23"/>
      <c r="F53" s="23"/>
      <c r="G53" s="23"/>
      <c r="H53" s="23"/>
    </row>
    <row r="54" spans="1:11" ht="14.45" customHeight="1" x14ac:dyDescent="0.2">
      <c r="A54" s="602" t="s">
        <v>593</v>
      </c>
      <c r="B54" s="602"/>
      <c r="C54" s="602"/>
      <c r="D54" s="602"/>
      <c r="E54" s="602"/>
      <c r="F54" s="602"/>
      <c r="G54" s="602"/>
      <c r="H54" s="602"/>
    </row>
    <row r="55" spans="1:11" ht="12" customHeight="1" x14ac:dyDescent="0.2">
      <c r="A55" s="821"/>
      <c r="B55" s="821"/>
      <c r="C55" s="821"/>
      <c r="D55" s="821"/>
      <c r="E55" s="821"/>
      <c r="F55" s="821"/>
      <c r="G55" s="821"/>
      <c r="H55" s="821"/>
    </row>
    <row r="56" spans="1:11" ht="14.45" customHeight="1" x14ac:dyDescent="0.2">
      <c r="A56" s="38"/>
      <c r="B56" s="38"/>
      <c r="C56" s="38"/>
      <c r="D56" s="38"/>
    </row>
    <row r="57" spans="1:11" ht="14.45" customHeight="1" x14ac:dyDescent="0.2">
      <c r="A57" s="38"/>
      <c r="B57" s="38"/>
      <c r="C57" s="38"/>
      <c r="D57" s="38"/>
    </row>
    <row r="58" spans="1:11" ht="14.45" customHeight="1" x14ac:dyDescent="0.2">
      <c r="A58" s="38"/>
      <c r="B58" s="38"/>
      <c r="C58" s="38"/>
      <c r="D58" s="38"/>
    </row>
    <row r="59" spans="1:11" x14ac:dyDescent="0.2">
      <c r="A59" s="38"/>
    </row>
  </sheetData>
  <mergeCells count="9">
    <mergeCell ref="B4:H4"/>
    <mergeCell ref="A54:H55"/>
    <mergeCell ref="B8:B11"/>
    <mergeCell ref="C8:C11"/>
    <mergeCell ref="D8:D11"/>
    <mergeCell ref="E9:E11"/>
    <mergeCell ref="F8:F11"/>
    <mergeCell ref="H6:H11"/>
    <mergeCell ref="G6:G11"/>
  </mergeCells>
  <phoneticPr fontId="0" type="noConversion"/>
  <pageMargins left="0.5" right="0.5" top="0.6" bottom="0.2" header="0.3" footer="0.5"/>
  <pageSetup scale="85" orientation="portrait" r:id="rId1"/>
  <headerFooter alignWithMargins="0">
    <oddHeader>&amp;C&amp;"Arial,Regular"&amp;11&amp;A</oddHead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44">
    <pageSetUpPr autoPageBreaks="0" fitToPage="1"/>
  </sheetPr>
  <dimension ref="A1:I56"/>
  <sheetViews>
    <sheetView showGridLines="0" showZeros="0" defaultGridColor="0" colorId="22" workbookViewId="0"/>
  </sheetViews>
  <sheetFormatPr defaultColWidth="15.83203125" defaultRowHeight="12.75" x14ac:dyDescent="0.2"/>
  <cols>
    <col min="1" max="1" width="28.1640625" style="477" customWidth="1"/>
    <col min="2" max="2" width="16.83203125" style="481" bestFit="1" customWidth="1"/>
    <col min="3" max="3" width="13" style="477" customWidth="1"/>
    <col min="4" max="4" width="11.83203125" style="477" customWidth="1"/>
    <col min="5" max="5" width="15.1640625" style="477" customWidth="1"/>
    <col min="6" max="6" width="15.5" style="477" customWidth="1"/>
    <col min="7" max="7" width="14.33203125" style="477" customWidth="1"/>
    <col min="8" max="8" width="8.5" style="477" customWidth="1"/>
    <col min="9" max="9" width="11.83203125" style="477" customWidth="1"/>
    <col min="10" max="16384" width="15.83203125" style="477"/>
  </cols>
  <sheetData>
    <row r="1" spans="1:9" x14ac:dyDescent="0.2">
      <c r="A1" s="511"/>
      <c r="B1" s="512"/>
      <c r="C1" s="513"/>
      <c r="D1" s="513"/>
      <c r="E1" s="513"/>
      <c r="F1" s="513"/>
      <c r="G1" s="513"/>
      <c r="H1" s="513"/>
      <c r="I1" s="513"/>
    </row>
    <row r="2" spans="1:9" s="478" customFormat="1" ht="15.95" customHeight="1" x14ac:dyDescent="0.2">
      <c r="A2" s="822" t="s">
        <v>379</v>
      </c>
      <c r="B2" s="822"/>
      <c r="C2" s="822"/>
      <c r="D2" s="822"/>
      <c r="E2" s="822"/>
      <c r="F2" s="822"/>
      <c r="G2" s="822"/>
      <c r="H2" s="822"/>
      <c r="I2" s="514"/>
    </row>
    <row r="3" spans="1:9" s="478" customFormat="1" ht="16.5" customHeight="1" x14ac:dyDescent="0.2">
      <c r="A3" s="823" t="str">
        <f>Data!B5&amp;" "&amp;"ACTUAL"</f>
        <v>2017/18 ACTUAL</v>
      </c>
      <c r="B3" s="823"/>
      <c r="C3" s="823"/>
      <c r="D3" s="823"/>
      <c r="E3" s="823"/>
      <c r="F3" s="823"/>
      <c r="G3" s="823"/>
      <c r="H3" s="823"/>
      <c r="I3" s="515"/>
    </row>
    <row r="4" spans="1:9" x14ac:dyDescent="0.2">
      <c r="A4" s="513"/>
      <c r="B4" s="516"/>
      <c r="C4" s="513"/>
      <c r="D4" s="513"/>
      <c r="E4" s="513"/>
      <c r="F4" s="513"/>
      <c r="G4" s="513"/>
      <c r="H4" s="513"/>
      <c r="I4" s="513"/>
    </row>
    <row r="5" spans="1:9" x14ac:dyDescent="0.2">
      <c r="A5" s="513"/>
      <c r="B5" s="516"/>
      <c r="C5" s="513"/>
      <c r="D5" s="513"/>
      <c r="E5" s="513"/>
      <c r="F5" s="513"/>
      <c r="G5" s="513"/>
      <c r="H5" s="513"/>
      <c r="I5" s="513"/>
    </row>
    <row r="6" spans="1:9" x14ac:dyDescent="0.2">
      <c r="A6" s="513"/>
      <c r="B6" s="513"/>
      <c r="C6" s="513"/>
      <c r="D6" s="513"/>
      <c r="E6" s="513"/>
      <c r="F6" s="513"/>
      <c r="G6" s="513"/>
      <c r="H6" s="513"/>
      <c r="I6" s="513"/>
    </row>
    <row r="7" spans="1:9" x14ac:dyDescent="0.2">
      <c r="A7" s="513"/>
      <c r="B7" s="832"/>
      <c r="C7" s="832"/>
      <c r="D7" s="832"/>
      <c r="E7" s="832"/>
      <c r="F7" s="832"/>
      <c r="G7" s="832"/>
      <c r="H7" s="832"/>
      <c r="I7" s="513"/>
    </row>
    <row r="8" spans="1:9" ht="39" customHeight="1" x14ac:dyDescent="0.2">
      <c r="A8" s="517"/>
      <c r="B8" s="824" t="s">
        <v>285</v>
      </c>
      <c r="C8" s="830" t="s">
        <v>368</v>
      </c>
      <c r="D8" s="831"/>
      <c r="E8" s="826" t="s">
        <v>286</v>
      </c>
      <c r="F8" s="827" t="s">
        <v>287</v>
      </c>
      <c r="G8" s="827" t="s">
        <v>369</v>
      </c>
      <c r="H8" s="827" t="s">
        <v>370</v>
      </c>
      <c r="I8" s="827" t="s">
        <v>288</v>
      </c>
    </row>
    <row r="9" spans="1:9" ht="19.5" customHeight="1" x14ac:dyDescent="0.2">
      <c r="A9" s="518" t="s">
        <v>289</v>
      </c>
      <c r="B9" s="825"/>
      <c r="C9" s="507" t="s">
        <v>367</v>
      </c>
      <c r="D9" s="506" t="s">
        <v>24</v>
      </c>
      <c r="E9" s="825"/>
      <c r="F9" s="825"/>
      <c r="G9" s="825"/>
      <c r="H9" s="825"/>
      <c r="I9" s="825"/>
    </row>
    <row r="10" spans="1:9" ht="3.95" customHeight="1" x14ac:dyDescent="0.2">
      <c r="A10" s="519"/>
      <c r="B10" s="516"/>
      <c r="C10" s="513"/>
      <c r="D10" s="513"/>
      <c r="E10" s="513"/>
      <c r="F10" s="513"/>
      <c r="G10" s="513"/>
      <c r="H10" s="513"/>
      <c r="I10" s="513"/>
    </row>
    <row r="11" spans="1:9" x14ac:dyDescent="0.2">
      <c r="A11" s="354" t="s">
        <v>290</v>
      </c>
      <c r="B11" s="520">
        <v>11.65</v>
      </c>
      <c r="C11" s="520">
        <v>120.29</v>
      </c>
      <c r="D11" s="520">
        <v>53.34</v>
      </c>
      <c r="E11" s="520">
        <v>41.099999999999994</v>
      </c>
      <c r="F11" s="520">
        <v>9.49</v>
      </c>
      <c r="G11" s="520">
        <v>2</v>
      </c>
      <c r="H11" s="520">
        <v>2.25</v>
      </c>
      <c r="I11" s="520">
        <f t="shared" ref="I11:I46" si="0">SUM(B11:H11)</f>
        <v>240.12</v>
      </c>
    </row>
    <row r="12" spans="1:9" x14ac:dyDescent="0.2">
      <c r="A12" s="237" t="s">
        <v>291</v>
      </c>
      <c r="B12" s="521">
        <v>19.627500000000001</v>
      </c>
      <c r="C12" s="521">
        <v>162.69839999999999</v>
      </c>
      <c r="D12" s="521">
        <v>95.086500000000001</v>
      </c>
      <c r="E12" s="521">
        <v>71.798500000000004</v>
      </c>
      <c r="F12" s="521">
        <v>22.558600000000002</v>
      </c>
      <c r="G12" s="521">
        <v>4.7</v>
      </c>
      <c r="H12" s="521">
        <v>5</v>
      </c>
      <c r="I12" s="521">
        <f t="shared" si="0"/>
        <v>381.46949999999998</v>
      </c>
    </row>
    <row r="13" spans="1:9" x14ac:dyDescent="0.2">
      <c r="A13" s="354" t="s">
        <v>292</v>
      </c>
      <c r="B13" s="520">
        <v>47.75</v>
      </c>
      <c r="C13" s="520">
        <v>625.5</v>
      </c>
      <c r="D13" s="520">
        <v>296.49999999999994</v>
      </c>
      <c r="E13" s="520">
        <v>135.35</v>
      </c>
      <c r="F13" s="520">
        <v>50.35</v>
      </c>
      <c r="G13" s="520">
        <v>26.25</v>
      </c>
      <c r="H13" s="520">
        <v>8</v>
      </c>
      <c r="I13" s="520">
        <f t="shared" si="0"/>
        <v>1189.6999999999998</v>
      </c>
    </row>
    <row r="14" spans="1:9" x14ac:dyDescent="0.2">
      <c r="A14" s="237" t="s">
        <v>360</v>
      </c>
      <c r="B14" s="521">
        <v>57.22</v>
      </c>
      <c r="C14" s="521">
        <v>421.48</v>
      </c>
      <c r="D14" s="521">
        <v>245.10000000000002</v>
      </c>
      <c r="E14" s="521">
        <v>70.75</v>
      </c>
      <c r="F14" s="521">
        <v>53.35</v>
      </c>
      <c r="G14" s="521">
        <v>11.72</v>
      </c>
      <c r="H14" s="521">
        <v>8.68</v>
      </c>
      <c r="I14" s="521">
        <f t="shared" si="0"/>
        <v>868.30000000000007</v>
      </c>
    </row>
    <row r="15" spans="1:9" x14ac:dyDescent="0.2">
      <c r="A15" s="354" t="s">
        <v>293</v>
      </c>
      <c r="B15" s="520">
        <v>13.150000000000002</v>
      </c>
      <c r="C15" s="520">
        <v>98.85</v>
      </c>
      <c r="D15" s="520">
        <v>66</v>
      </c>
      <c r="E15" s="520">
        <v>37.6</v>
      </c>
      <c r="F15" s="520">
        <v>13.65</v>
      </c>
      <c r="G15" s="520">
        <v>2.25</v>
      </c>
      <c r="H15" s="520">
        <v>2</v>
      </c>
      <c r="I15" s="520">
        <f t="shared" si="0"/>
        <v>233.5</v>
      </c>
    </row>
    <row r="16" spans="1:9" x14ac:dyDescent="0.2">
      <c r="A16" s="237" t="s">
        <v>294</v>
      </c>
      <c r="B16" s="521">
        <v>11.17</v>
      </c>
      <c r="C16" s="521">
        <v>73.25</v>
      </c>
      <c r="D16" s="521">
        <v>33</v>
      </c>
      <c r="E16" s="521">
        <v>23.3</v>
      </c>
      <c r="F16" s="521">
        <v>8.1</v>
      </c>
      <c r="G16" s="521">
        <v>2.7</v>
      </c>
      <c r="H16" s="521">
        <v>0.5</v>
      </c>
      <c r="I16" s="521">
        <f t="shared" si="0"/>
        <v>152.01999999999998</v>
      </c>
    </row>
    <row r="17" spans="1:9" x14ac:dyDescent="0.2">
      <c r="A17" s="354" t="s">
        <v>295</v>
      </c>
      <c r="B17" s="520">
        <v>10.76</v>
      </c>
      <c r="C17" s="520">
        <v>103.55</v>
      </c>
      <c r="D17" s="520">
        <v>47.04</v>
      </c>
      <c r="E17" s="520">
        <v>50.4</v>
      </c>
      <c r="F17" s="520">
        <v>12.77</v>
      </c>
      <c r="G17" s="520">
        <v>3</v>
      </c>
      <c r="H17" s="520">
        <v>2</v>
      </c>
      <c r="I17" s="520">
        <f t="shared" si="0"/>
        <v>229.52</v>
      </c>
    </row>
    <row r="18" spans="1:9" x14ac:dyDescent="0.2">
      <c r="A18" s="237" t="s">
        <v>296</v>
      </c>
      <c r="B18" s="521">
        <v>70.91</v>
      </c>
      <c r="C18" s="521">
        <v>457.24</v>
      </c>
      <c r="D18" s="521">
        <v>405.5</v>
      </c>
      <c r="E18" s="521">
        <v>292.88</v>
      </c>
      <c r="F18" s="521">
        <v>68.750000000000014</v>
      </c>
      <c r="G18" s="521">
        <v>19.27</v>
      </c>
      <c r="H18" s="521">
        <v>10</v>
      </c>
      <c r="I18" s="521">
        <f t="shared" si="0"/>
        <v>1324.55</v>
      </c>
    </row>
    <row r="19" spans="1:9" x14ac:dyDescent="0.2">
      <c r="A19" s="354" t="s">
        <v>297</v>
      </c>
      <c r="B19" s="520">
        <v>21.000000000000004</v>
      </c>
      <c r="C19" s="520">
        <v>283.18</v>
      </c>
      <c r="D19" s="520">
        <v>164.36799999999999</v>
      </c>
      <c r="E19" s="520">
        <v>101.61800000000001</v>
      </c>
      <c r="F19" s="520">
        <v>19</v>
      </c>
      <c r="G19" s="520">
        <v>11.1</v>
      </c>
      <c r="H19" s="520">
        <v>8</v>
      </c>
      <c r="I19" s="520">
        <f t="shared" si="0"/>
        <v>608.26600000000008</v>
      </c>
    </row>
    <row r="20" spans="1:9" x14ac:dyDescent="0.2">
      <c r="A20" s="237" t="s">
        <v>298</v>
      </c>
      <c r="B20" s="521">
        <v>42.620000000000005</v>
      </c>
      <c r="C20" s="521">
        <v>512.73</v>
      </c>
      <c r="D20" s="521">
        <v>164.21</v>
      </c>
      <c r="E20" s="521">
        <v>209.57999999999998</v>
      </c>
      <c r="F20" s="521">
        <v>70.06</v>
      </c>
      <c r="G20" s="521">
        <v>18.600000000000001</v>
      </c>
      <c r="H20" s="521">
        <v>11.33</v>
      </c>
      <c r="I20" s="521">
        <f t="shared" si="0"/>
        <v>1029.1300000000001</v>
      </c>
    </row>
    <row r="21" spans="1:9" x14ac:dyDescent="0.2">
      <c r="A21" s="354" t="s">
        <v>299</v>
      </c>
      <c r="B21" s="520">
        <v>22.75</v>
      </c>
      <c r="C21" s="520">
        <v>215.76000000000002</v>
      </c>
      <c r="D21" s="520">
        <v>100.86</v>
      </c>
      <c r="E21" s="520">
        <v>73.53</v>
      </c>
      <c r="F21" s="520">
        <v>24.25</v>
      </c>
      <c r="G21" s="520">
        <v>6.5</v>
      </c>
      <c r="H21" s="520">
        <v>6</v>
      </c>
      <c r="I21" s="520">
        <f t="shared" si="0"/>
        <v>449.65</v>
      </c>
    </row>
    <row r="22" spans="1:9" x14ac:dyDescent="0.2">
      <c r="A22" s="237" t="s">
        <v>300</v>
      </c>
      <c r="B22" s="521">
        <v>10.95</v>
      </c>
      <c r="C22" s="521">
        <v>110.7</v>
      </c>
      <c r="D22" s="521">
        <v>60.68</v>
      </c>
      <c r="E22" s="521">
        <v>31.72</v>
      </c>
      <c r="F22" s="521">
        <v>19</v>
      </c>
      <c r="G22" s="521">
        <v>3</v>
      </c>
      <c r="H22" s="521">
        <v>2</v>
      </c>
      <c r="I22" s="521">
        <f t="shared" si="0"/>
        <v>238.05</v>
      </c>
    </row>
    <row r="23" spans="1:9" x14ac:dyDescent="0.2">
      <c r="A23" s="354" t="s">
        <v>301</v>
      </c>
      <c r="B23" s="520">
        <v>11.05</v>
      </c>
      <c r="C23" s="520">
        <v>85.2</v>
      </c>
      <c r="D23" s="520">
        <v>62.5</v>
      </c>
      <c r="E23" s="520">
        <v>33</v>
      </c>
      <c r="F23" s="520">
        <v>9.5</v>
      </c>
      <c r="G23" s="520">
        <v>4.5</v>
      </c>
      <c r="H23" s="520">
        <v>2</v>
      </c>
      <c r="I23" s="520">
        <f t="shared" si="0"/>
        <v>207.75</v>
      </c>
    </row>
    <row r="24" spans="1:9" x14ac:dyDescent="0.2">
      <c r="A24" s="237" t="s">
        <v>302</v>
      </c>
      <c r="B24" s="521">
        <v>29.999999999999996</v>
      </c>
      <c r="C24" s="521">
        <v>305.60000000000002</v>
      </c>
      <c r="D24" s="521">
        <v>177.63</v>
      </c>
      <c r="E24" s="521">
        <v>120.16999999999999</v>
      </c>
      <c r="F24" s="521">
        <v>33.5</v>
      </c>
      <c r="G24" s="521">
        <v>16.5</v>
      </c>
      <c r="H24" s="521">
        <v>9</v>
      </c>
      <c r="I24" s="521">
        <f t="shared" si="0"/>
        <v>692.4</v>
      </c>
    </row>
    <row r="25" spans="1:9" x14ac:dyDescent="0.2">
      <c r="A25" s="354" t="s">
        <v>303</v>
      </c>
      <c r="B25" s="520">
        <v>82.92</v>
      </c>
      <c r="C25" s="520">
        <v>999.37999999999988</v>
      </c>
      <c r="D25" s="520">
        <v>564.98</v>
      </c>
      <c r="E25" s="520">
        <v>180.3</v>
      </c>
      <c r="F25" s="520">
        <v>118.4</v>
      </c>
      <c r="G25" s="520">
        <v>35.08</v>
      </c>
      <c r="H25" s="520">
        <v>19</v>
      </c>
      <c r="I25" s="520">
        <f t="shared" si="0"/>
        <v>2000.06</v>
      </c>
    </row>
    <row r="26" spans="1:9" x14ac:dyDescent="0.2">
      <c r="A26" s="237" t="s">
        <v>304</v>
      </c>
      <c r="B26" s="521">
        <v>29.799999999999997</v>
      </c>
      <c r="C26" s="521">
        <v>212.96</v>
      </c>
      <c r="D26" s="521">
        <v>126.88</v>
      </c>
      <c r="E26" s="521">
        <v>104.58000000000001</v>
      </c>
      <c r="F26" s="521">
        <v>24.43</v>
      </c>
      <c r="G26" s="521">
        <v>7.1</v>
      </c>
      <c r="H26" s="521">
        <v>6</v>
      </c>
      <c r="I26" s="521">
        <f t="shared" si="0"/>
        <v>511.75000000000006</v>
      </c>
    </row>
    <row r="27" spans="1:9" x14ac:dyDescent="0.2">
      <c r="A27" s="354" t="s">
        <v>305</v>
      </c>
      <c r="B27" s="520">
        <v>19.559999999999999</v>
      </c>
      <c r="C27" s="520">
        <v>232.95</v>
      </c>
      <c r="D27" s="520">
        <v>92</v>
      </c>
      <c r="E27" s="520">
        <v>40.638000000000005</v>
      </c>
      <c r="F27" s="520">
        <v>21</v>
      </c>
      <c r="G27" s="520">
        <v>12.73</v>
      </c>
      <c r="H27" s="520">
        <v>5</v>
      </c>
      <c r="I27" s="520">
        <f t="shared" si="0"/>
        <v>423.87800000000004</v>
      </c>
    </row>
    <row r="28" spans="1:9" x14ac:dyDescent="0.2">
      <c r="A28" s="237" t="s">
        <v>306</v>
      </c>
      <c r="B28" s="521">
        <v>16.650000000000002</v>
      </c>
      <c r="C28" s="521">
        <v>162.21499999999997</v>
      </c>
      <c r="D28" s="521">
        <v>82.515000000000001</v>
      </c>
      <c r="E28" s="521">
        <v>57.774999999999999</v>
      </c>
      <c r="F28" s="521">
        <v>17.175999999999995</v>
      </c>
      <c r="G28" s="521">
        <v>4.2</v>
      </c>
      <c r="H28" s="521">
        <v>4</v>
      </c>
      <c r="I28" s="521">
        <f t="shared" si="0"/>
        <v>344.53099999999995</v>
      </c>
    </row>
    <row r="29" spans="1:9" x14ac:dyDescent="0.2">
      <c r="A29" s="354" t="s">
        <v>307</v>
      </c>
      <c r="B29" s="520">
        <v>76.320000000000007</v>
      </c>
      <c r="C29" s="520">
        <v>893.82</v>
      </c>
      <c r="D29" s="520">
        <v>443.71999999999997</v>
      </c>
      <c r="E29" s="520">
        <v>161.44</v>
      </c>
      <c r="F29" s="520">
        <v>104.21000000000001</v>
      </c>
      <c r="G29" s="520">
        <v>28.74</v>
      </c>
      <c r="H29" s="520">
        <v>22.32</v>
      </c>
      <c r="I29" s="520">
        <f t="shared" si="0"/>
        <v>1730.5700000000002</v>
      </c>
    </row>
    <row r="30" spans="1:9" x14ac:dyDescent="0.2">
      <c r="A30" s="237" t="s">
        <v>308</v>
      </c>
      <c r="B30" s="521">
        <v>11.399999999999999</v>
      </c>
      <c r="C30" s="521">
        <v>79.83</v>
      </c>
      <c r="D30" s="521">
        <v>41.739999999999995</v>
      </c>
      <c r="E30" s="521">
        <v>40.299999999999997</v>
      </c>
      <c r="F30" s="521">
        <v>10.65</v>
      </c>
      <c r="G30" s="521">
        <v>3.5</v>
      </c>
      <c r="H30" s="521">
        <v>2</v>
      </c>
      <c r="I30" s="521">
        <f t="shared" si="0"/>
        <v>189.42</v>
      </c>
    </row>
    <row r="31" spans="1:9" x14ac:dyDescent="0.2">
      <c r="A31" s="354" t="s">
        <v>309</v>
      </c>
      <c r="B31" s="520">
        <v>20.71</v>
      </c>
      <c r="C31" s="520">
        <v>230.87</v>
      </c>
      <c r="D31" s="520">
        <v>130.26</v>
      </c>
      <c r="E31" s="520">
        <v>73.14</v>
      </c>
      <c r="F31" s="520">
        <v>21.979999999999997</v>
      </c>
      <c r="G31" s="520">
        <v>5.85</v>
      </c>
      <c r="H31" s="520">
        <v>5.94</v>
      </c>
      <c r="I31" s="520">
        <f t="shared" si="0"/>
        <v>488.75000000000006</v>
      </c>
    </row>
    <row r="32" spans="1:9" x14ac:dyDescent="0.2">
      <c r="A32" s="237" t="s">
        <v>310</v>
      </c>
      <c r="B32" s="521">
        <v>16.400000000000002</v>
      </c>
      <c r="C32" s="521">
        <v>172.43</v>
      </c>
      <c r="D32" s="521">
        <v>104.94</v>
      </c>
      <c r="E32" s="521">
        <v>67.34</v>
      </c>
      <c r="F32" s="521">
        <v>21.43</v>
      </c>
      <c r="G32" s="521">
        <v>4</v>
      </c>
      <c r="H32" s="521">
        <v>5</v>
      </c>
      <c r="I32" s="521">
        <f t="shared" si="0"/>
        <v>391.54</v>
      </c>
    </row>
    <row r="33" spans="1:9" x14ac:dyDescent="0.2">
      <c r="A33" s="354" t="s">
        <v>311</v>
      </c>
      <c r="B33" s="520">
        <v>18.810000000000002</v>
      </c>
      <c r="C33" s="520">
        <v>148.81</v>
      </c>
      <c r="D33" s="520">
        <v>95.18</v>
      </c>
      <c r="E33" s="520">
        <v>78.775000000000006</v>
      </c>
      <c r="F33" s="520">
        <v>19.769999999999996</v>
      </c>
      <c r="G33" s="520">
        <v>3.6749999999999998</v>
      </c>
      <c r="H33" s="520">
        <v>5</v>
      </c>
      <c r="I33" s="520">
        <f t="shared" si="0"/>
        <v>370.02000000000004</v>
      </c>
    </row>
    <row r="34" spans="1:9" x14ac:dyDescent="0.2">
      <c r="A34" s="237" t="s">
        <v>312</v>
      </c>
      <c r="B34" s="521">
        <v>16.75</v>
      </c>
      <c r="C34" s="521">
        <v>159.22</v>
      </c>
      <c r="D34" s="521">
        <v>78.469999999999985</v>
      </c>
      <c r="E34" s="521">
        <v>84.68</v>
      </c>
      <c r="F34" s="521">
        <v>20.439999999999998</v>
      </c>
      <c r="G34" s="521">
        <v>5.17</v>
      </c>
      <c r="H34" s="521">
        <v>5</v>
      </c>
      <c r="I34" s="521">
        <f t="shared" si="0"/>
        <v>369.73</v>
      </c>
    </row>
    <row r="35" spans="1:9" x14ac:dyDescent="0.2">
      <c r="A35" s="354" t="s">
        <v>313</v>
      </c>
      <c r="B35" s="520">
        <v>93.96</v>
      </c>
      <c r="C35" s="520">
        <v>1085.04</v>
      </c>
      <c r="D35" s="520">
        <v>449.21000000000004</v>
      </c>
      <c r="E35" s="520">
        <v>295.55</v>
      </c>
      <c r="F35" s="520">
        <v>124.07000000000001</v>
      </c>
      <c r="G35" s="520">
        <v>28.57</v>
      </c>
      <c r="H35" s="520">
        <v>17</v>
      </c>
      <c r="I35" s="520">
        <f t="shared" si="0"/>
        <v>2093.4</v>
      </c>
    </row>
    <row r="36" spans="1:9" x14ac:dyDescent="0.2">
      <c r="A36" s="237" t="s">
        <v>314</v>
      </c>
      <c r="B36" s="521">
        <v>14.53</v>
      </c>
      <c r="C36" s="521">
        <v>127.18999999999998</v>
      </c>
      <c r="D36" s="521">
        <v>69.75</v>
      </c>
      <c r="E36" s="521">
        <v>60.569999999999993</v>
      </c>
      <c r="F36" s="521">
        <v>15.860000000000001</v>
      </c>
      <c r="G36" s="521">
        <v>2.5</v>
      </c>
      <c r="H36" s="521">
        <v>3</v>
      </c>
      <c r="I36" s="521">
        <f t="shared" si="0"/>
        <v>293.39999999999998</v>
      </c>
    </row>
    <row r="37" spans="1:9" x14ac:dyDescent="0.2">
      <c r="A37" s="354" t="s">
        <v>315</v>
      </c>
      <c r="B37" s="520">
        <v>29.5</v>
      </c>
      <c r="C37" s="520">
        <v>284.83</v>
      </c>
      <c r="D37" s="520">
        <v>143</v>
      </c>
      <c r="E37" s="520">
        <v>119.7</v>
      </c>
      <c r="F37" s="520">
        <v>31.5</v>
      </c>
      <c r="G37" s="520">
        <v>14.5</v>
      </c>
      <c r="H37" s="520">
        <v>5</v>
      </c>
      <c r="I37" s="520">
        <f t="shared" si="0"/>
        <v>628.03</v>
      </c>
    </row>
    <row r="38" spans="1:9" x14ac:dyDescent="0.2">
      <c r="A38" s="237" t="s">
        <v>316</v>
      </c>
      <c r="B38" s="521">
        <v>69.649999999999991</v>
      </c>
      <c r="C38" s="521">
        <v>756.9</v>
      </c>
      <c r="D38" s="521">
        <v>341.65999999999997</v>
      </c>
      <c r="E38" s="521">
        <v>151.81</v>
      </c>
      <c r="F38" s="521">
        <v>78.069999999999993</v>
      </c>
      <c r="G38" s="521">
        <v>19.899999999999999</v>
      </c>
      <c r="H38" s="521">
        <v>10</v>
      </c>
      <c r="I38" s="521">
        <f t="shared" si="0"/>
        <v>1427.99</v>
      </c>
    </row>
    <row r="39" spans="1:9" x14ac:dyDescent="0.2">
      <c r="A39" s="354" t="s">
        <v>317</v>
      </c>
      <c r="B39" s="520">
        <v>12.73</v>
      </c>
      <c r="C39" s="520">
        <v>120.32999999999998</v>
      </c>
      <c r="D39" s="520">
        <v>54.98</v>
      </c>
      <c r="E39" s="520">
        <v>56.05</v>
      </c>
      <c r="F39" s="520">
        <v>13.670000000000002</v>
      </c>
      <c r="G39" s="520">
        <v>2.38</v>
      </c>
      <c r="H39" s="520">
        <v>2.5</v>
      </c>
      <c r="I39" s="520">
        <f t="shared" si="0"/>
        <v>262.64</v>
      </c>
    </row>
    <row r="40" spans="1:9" x14ac:dyDescent="0.2">
      <c r="A40" s="237" t="s">
        <v>318</v>
      </c>
      <c r="B40" s="521">
        <v>58.28</v>
      </c>
      <c r="C40" s="521">
        <v>565.69999999999993</v>
      </c>
      <c r="D40" s="521">
        <v>323.68</v>
      </c>
      <c r="E40" s="521">
        <v>100.14000000000001</v>
      </c>
      <c r="F40" s="521">
        <v>70.95</v>
      </c>
      <c r="G40" s="521">
        <v>28.22</v>
      </c>
      <c r="H40" s="521">
        <v>12</v>
      </c>
      <c r="I40" s="521">
        <f t="shared" si="0"/>
        <v>1158.97</v>
      </c>
    </row>
    <row r="41" spans="1:9" x14ac:dyDescent="0.2">
      <c r="A41" s="354" t="s">
        <v>319</v>
      </c>
      <c r="B41" s="520">
        <v>30.41</v>
      </c>
      <c r="C41" s="520">
        <v>340.32</v>
      </c>
      <c r="D41" s="520">
        <v>143.97999999999999</v>
      </c>
      <c r="E41" s="520">
        <v>161.94450000000001</v>
      </c>
      <c r="F41" s="520">
        <v>41.4</v>
      </c>
      <c r="G41" s="520">
        <v>14.938960000000002</v>
      </c>
      <c r="H41" s="520">
        <v>6</v>
      </c>
      <c r="I41" s="520">
        <f t="shared" si="0"/>
        <v>738.99346000000003</v>
      </c>
    </row>
    <row r="42" spans="1:9" x14ac:dyDescent="0.2">
      <c r="A42" s="237" t="s">
        <v>320</v>
      </c>
      <c r="B42" s="521">
        <v>11.759999999999998</v>
      </c>
      <c r="C42" s="521">
        <v>104.41000000000001</v>
      </c>
      <c r="D42" s="521">
        <v>56.75</v>
      </c>
      <c r="E42" s="521">
        <v>60.85</v>
      </c>
      <c r="F42" s="521">
        <v>16.5</v>
      </c>
      <c r="G42" s="521">
        <v>3.2</v>
      </c>
      <c r="H42" s="521">
        <v>4</v>
      </c>
      <c r="I42" s="521">
        <f t="shared" si="0"/>
        <v>257.47000000000003</v>
      </c>
    </row>
    <row r="43" spans="1:9" x14ac:dyDescent="0.2">
      <c r="A43" s="354" t="s">
        <v>321</v>
      </c>
      <c r="B43" s="520">
        <v>7.61</v>
      </c>
      <c r="C43" s="520">
        <v>71.952500000000001</v>
      </c>
      <c r="D43" s="520">
        <v>42.05</v>
      </c>
      <c r="E43" s="520">
        <v>31.925000000000001</v>
      </c>
      <c r="F43" s="520">
        <v>7.03</v>
      </c>
      <c r="G43" s="520">
        <v>5</v>
      </c>
      <c r="H43" s="520">
        <v>1.27</v>
      </c>
      <c r="I43" s="520">
        <f t="shared" si="0"/>
        <v>166.83750000000001</v>
      </c>
    </row>
    <row r="44" spans="1:9" x14ac:dyDescent="0.2">
      <c r="A44" s="237" t="s">
        <v>322</v>
      </c>
      <c r="B44" s="521">
        <v>5.18</v>
      </c>
      <c r="C44" s="521">
        <v>62.12</v>
      </c>
      <c r="D44" s="521">
        <v>37.799999999999997</v>
      </c>
      <c r="E44" s="521">
        <v>35.1</v>
      </c>
      <c r="F44" s="521">
        <v>6.589999999999999</v>
      </c>
      <c r="G44" s="521">
        <v>1.45</v>
      </c>
      <c r="H44" s="521">
        <v>2</v>
      </c>
      <c r="I44" s="521">
        <f t="shared" si="0"/>
        <v>150.23999999999998</v>
      </c>
    </row>
    <row r="45" spans="1:9" x14ac:dyDescent="0.2">
      <c r="A45" s="354" t="s">
        <v>323</v>
      </c>
      <c r="B45" s="520">
        <v>10.25</v>
      </c>
      <c r="C45" s="520">
        <v>121.64999999999999</v>
      </c>
      <c r="D45" s="520">
        <v>53.31</v>
      </c>
      <c r="E45" s="520">
        <v>34.599999999999994</v>
      </c>
      <c r="F45" s="520">
        <v>12.000000000000002</v>
      </c>
      <c r="G45" s="520">
        <v>2.7</v>
      </c>
      <c r="H45" s="520">
        <v>3</v>
      </c>
      <c r="I45" s="520">
        <f t="shared" si="0"/>
        <v>237.50999999999996</v>
      </c>
    </row>
    <row r="46" spans="1:9" x14ac:dyDescent="0.2">
      <c r="A46" s="237" t="s">
        <v>324</v>
      </c>
      <c r="B46" s="521">
        <v>137.44999999999999</v>
      </c>
      <c r="C46" s="521">
        <v>2078.79</v>
      </c>
      <c r="D46" s="521">
        <v>1183.82</v>
      </c>
      <c r="E46" s="521">
        <v>692.29</v>
      </c>
      <c r="F46" s="521">
        <v>270.96000000000004</v>
      </c>
      <c r="G46" s="521">
        <v>108.825</v>
      </c>
      <c r="H46" s="521">
        <v>37.549999999999997</v>
      </c>
      <c r="I46" s="521">
        <f t="shared" si="0"/>
        <v>4509.6849999999995</v>
      </c>
    </row>
    <row r="47" spans="1:9" ht="6" customHeight="1" x14ac:dyDescent="0.2">
      <c r="A47" s="130"/>
      <c r="B47" s="521"/>
      <c r="C47" s="521"/>
      <c r="D47" s="521"/>
      <c r="E47" s="521"/>
      <c r="F47" s="521"/>
      <c r="G47" s="521"/>
      <c r="H47" s="521"/>
      <c r="I47" s="521"/>
    </row>
    <row r="48" spans="1:9" x14ac:dyDescent="0.2">
      <c r="A48" s="355" t="s">
        <v>221</v>
      </c>
      <c r="B48" s="522">
        <f t="shared" ref="B48:I48" si="1">SUM(B11:B46)</f>
        <v>1171.2375</v>
      </c>
      <c r="C48" s="522">
        <f t="shared" si="1"/>
        <v>12587.745899999998</v>
      </c>
      <c r="D48" s="522">
        <f t="shared" si="1"/>
        <v>6632.4894999999988</v>
      </c>
      <c r="E48" s="522">
        <f t="shared" si="1"/>
        <v>3982.2939999999999</v>
      </c>
      <c r="F48" s="522">
        <f t="shared" si="1"/>
        <v>1482.4146000000001</v>
      </c>
      <c r="G48" s="522">
        <f t="shared" si="1"/>
        <v>474.31895999999989</v>
      </c>
      <c r="H48" s="522">
        <f t="shared" si="1"/>
        <v>259.33999999999997</v>
      </c>
      <c r="I48" s="522">
        <f t="shared" si="1"/>
        <v>26589.840460000007</v>
      </c>
    </row>
    <row r="49" spans="1:9" ht="6" customHeight="1" x14ac:dyDescent="0.2">
      <c r="A49" s="513"/>
      <c r="B49" s="523"/>
      <c r="C49" s="523"/>
      <c r="D49" s="523"/>
      <c r="E49" s="523"/>
      <c r="F49" s="523"/>
      <c r="G49" s="523"/>
      <c r="H49" s="523"/>
      <c r="I49" s="523"/>
    </row>
    <row r="50" spans="1:9" x14ac:dyDescent="0.2">
      <c r="A50" s="524" t="s">
        <v>325</v>
      </c>
      <c r="B50" s="521">
        <v>2.75</v>
      </c>
      <c r="C50" s="521">
        <v>18.16</v>
      </c>
      <c r="D50" s="521">
        <v>5.62</v>
      </c>
      <c r="E50" s="521">
        <v>3.12</v>
      </c>
      <c r="F50" s="521">
        <v>3</v>
      </c>
      <c r="G50" s="521">
        <v>0.15</v>
      </c>
      <c r="H50" s="521">
        <v>0</v>
      </c>
      <c r="I50" s="521">
        <f>SUM(B50:H50)</f>
        <v>32.800000000000004</v>
      </c>
    </row>
    <row r="51" spans="1:9" x14ac:dyDescent="0.2">
      <c r="A51" s="576" t="s">
        <v>614</v>
      </c>
      <c r="B51" s="520">
        <v>20.5</v>
      </c>
      <c r="C51" s="520">
        <v>36</v>
      </c>
      <c r="D51" s="520">
        <v>9</v>
      </c>
      <c r="E51" s="520">
        <v>47.5</v>
      </c>
      <c r="F51" s="520">
        <v>22.5</v>
      </c>
      <c r="G51" s="520">
        <v>0</v>
      </c>
      <c r="H51" s="520">
        <v>5</v>
      </c>
      <c r="I51" s="520">
        <f>SUM(B51:H51)</f>
        <v>140.5</v>
      </c>
    </row>
    <row r="52" spans="1:9" ht="49.5" customHeight="1" x14ac:dyDescent="0.2">
      <c r="A52" s="479"/>
      <c r="B52" s="479"/>
      <c r="C52" s="480">
        <v>0</v>
      </c>
      <c r="D52" s="479"/>
      <c r="E52" s="479"/>
      <c r="F52" s="479"/>
      <c r="G52" s="479"/>
      <c r="H52" s="479"/>
      <c r="I52" s="479"/>
    </row>
    <row r="53" spans="1:9" x14ac:dyDescent="0.2">
      <c r="A53" s="828" t="s">
        <v>394</v>
      </c>
      <c r="B53" s="828"/>
      <c r="C53" s="828"/>
      <c r="D53" s="828"/>
      <c r="E53" s="828"/>
      <c r="F53" s="828"/>
      <c r="G53" s="828"/>
      <c r="H53" s="828"/>
      <c r="I53" s="828"/>
    </row>
    <row r="54" spans="1:9" ht="11.25" customHeight="1" x14ac:dyDescent="0.2">
      <c r="A54" s="829"/>
      <c r="B54" s="829"/>
      <c r="C54" s="829"/>
      <c r="D54" s="829"/>
      <c r="E54" s="829"/>
      <c r="F54" s="829"/>
      <c r="G54" s="829"/>
      <c r="H54" s="829"/>
      <c r="I54" s="829"/>
    </row>
    <row r="55" spans="1:9" x14ac:dyDescent="0.2">
      <c r="A55" s="133" t="s">
        <v>376</v>
      </c>
      <c r="B55" s="477"/>
      <c r="C55" s="481"/>
    </row>
    <row r="56" spans="1:9" x14ac:dyDescent="0.2">
      <c r="A56" s="133" t="s">
        <v>395</v>
      </c>
      <c r="B56" s="477"/>
      <c r="C56" s="481"/>
    </row>
  </sheetData>
  <mergeCells count="11">
    <mergeCell ref="A53:I54"/>
    <mergeCell ref="H8:H9"/>
    <mergeCell ref="C8:D8"/>
    <mergeCell ref="I8:I9"/>
    <mergeCell ref="B7:H7"/>
    <mergeCell ref="A2:H2"/>
    <mergeCell ref="A3:H3"/>
    <mergeCell ref="B8:B9"/>
    <mergeCell ref="E8:E9"/>
    <mergeCell ref="F8:F9"/>
    <mergeCell ref="G8:G9"/>
  </mergeCells>
  <phoneticPr fontId="6" type="noConversion"/>
  <pageMargins left="0.51181102362204722" right="0.51181102362204722" top="0.59055118110236227" bottom="0.19685039370078741" header="0.31496062992125984" footer="0.51181102362204722"/>
  <pageSetup scale="87" orientation="portrait" r:id="rId1"/>
  <headerFooter alignWithMargins="0">
    <oddHeader>&amp;C&amp;"Arial,Regular"&amp;11&amp;A</oddHead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dimension ref="A1:M57"/>
  <sheetViews>
    <sheetView showGridLines="0" workbookViewId="0"/>
  </sheetViews>
  <sheetFormatPr defaultColWidth="19.83203125" defaultRowHeight="12" x14ac:dyDescent="0.2"/>
  <cols>
    <col min="1" max="1" width="30.83203125" style="455" customWidth="1"/>
    <col min="2" max="2" width="17" style="455" customWidth="1"/>
    <col min="3" max="3" width="12" style="455" customWidth="1"/>
    <col min="4" max="4" width="16.83203125" style="455" customWidth="1"/>
    <col min="5" max="5" width="11.5" style="455" customWidth="1"/>
    <col min="6" max="6" width="13.33203125" style="455" customWidth="1"/>
    <col min="7" max="7" width="12.5" style="455" customWidth="1"/>
    <col min="8" max="9" width="19.83203125" style="455"/>
    <col min="10" max="10" width="25.5" style="455" bestFit="1" customWidth="1"/>
    <col min="11" max="11" width="21.1640625" style="455" bestFit="1" customWidth="1"/>
    <col min="12" max="16384" width="19.83203125" style="455"/>
  </cols>
  <sheetData>
    <row r="1" spans="1:13" ht="6.95" customHeight="1" x14ac:dyDescent="0.2">
      <c r="A1" s="453"/>
      <c r="B1" s="454"/>
      <c r="C1" s="454"/>
    </row>
    <row r="2" spans="1:13" ht="15.95" customHeight="1" x14ac:dyDescent="0.2">
      <c r="A2" s="456" t="s">
        <v>326</v>
      </c>
      <c r="B2" s="457"/>
      <c r="C2" s="457"/>
      <c r="D2" s="457"/>
      <c r="E2" s="457"/>
      <c r="F2" s="457"/>
      <c r="G2" s="457"/>
    </row>
    <row r="3" spans="1:13" ht="15.95" customHeight="1" x14ac:dyDescent="0.2">
      <c r="A3" s="543" t="str">
        <f>+'- 66 -'!A3</f>
        <v>2016/17 AND 2017/18 ACTUAL</v>
      </c>
      <c r="B3" s="458"/>
      <c r="C3" s="458"/>
      <c r="D3" s="458"/>
      <c r="E3" s="458"/>
      <c r="F3" s="458"/>
      <c r="G3" s="458"/>
    </row>
    <row r="4" spans="1:13" ht="15.95" customHeight="1" x14ac:dyDescent="0.2">
      <c r="B4" s="454"/>
      <c r="C4" s="454"/>
      <c r="J4" s="498"/>
      <c r="K4" s="498"/>
      <c r="L4" s="498"/>
      <c r="M4" s="498"/>
    </row>
    <row r="5" spans="1:13" ht="12" customHeight="1" x14ac:dyDescent="0.2">
      <c r="B5" s="454"/>
      <c r="C5" s="454"/>
      <c r="J5" s="498"/>
      <c r="K5" s="498"/>
      <c r="L5" s="498"/>
      <c r="M5" s="498"/>
    </row>
    <row r="6" spans="1:13" ht="15.75" customHeight="1" x14ac:dyDescent="0.2">
      <c r="B6" s="839" t="s">
        <v>600</v>
      </c>
      <c r="C6" s="840"/>
      <c r="D6" s="840"/>
      <c r="E6" s="841"/>
      <c r="F6" s="833" t="s">
        <v>599</v>
      </c>
      <c r="G6" s="834"/>
      <c r="J6" s="499"/>
      <c r="K6" s="498" t="str">
        <f>+'- 15 -'!E6</f>
        <v>STUDENT SUPPORT
 SERVICES</v>
      </c>
      <c r="L6" s="498" t="str">
        <f>+'- 16 -'!G6</f>
        <v>INSTRUCTIONAL &amp; OTHER 
SUPPORT SERVICES</v>
      </c>
      <c r="M6" s="498"/>
    </row>
    <row r="7" spans="1:13" x14ac:dyDescent="0.2">
      <c r="B7" s="842"/>
      <c r="C7" s="835"/>
      <c r="D7" s="835"/>
      <c r="E7" s="843"/>
      <c r="F7" s="835"/>
      <c r="G7" s="836"/>
      <c r="J7" s="499" t="str">
        <f>+'- 15 -'!B7</f>
        <v>REGULAR INSTRUCTION</v>
      </c>
      <c r="K7" s="498">
        <f>+'- 15 -'!E7</f>
        <v>0</v>
      </c>
      <c r="L7" s="498">
        <f>+'- 16 -'!G7</f>
        <v>0</v>
      </c>
      <c r="M7" s="498"/>
    </row>
    <row r="8" spans="1:13" x14ac:dyDescent="0.2">
      <c r="A8" s="568"/>
      <c r="B8" s="844"/>
      <c r="C8" s="845"/>
      <c r="D8" s="845"/>
      <c r="E8" s="846"/>
      <c r="F8" s="837"/>
      <c r="G8" s="838"/>
      <c r="J8" s="499"/>
      <c r="K8" s="498"/>
      <c r="L8" s="498"/>
      <c r="M8" s="498"/>
    </row>
    <row r="9" spans="1:13" ht="29.25" customHeight="1" x14ac:dyDescent="0.2">
      <c r="A9" s="459" t="s">
        <v>42</v>
      </c>
      <c r="B9" s="569" t="str">
        <f>+'- 66 -'!B9</f>
        <v>2016/17</v>
      </c>
      <c r="C9" s="570" t="s">
        <v>377</v>
      </c>
      <c r="D9" s="569" t="str">
        <f>+'- 66 -'!C9</f>
        <v>2017/18</v>
      </c>
      <c r="E9" s="570" t="s">
        <v>377</v>
      </c>
      <c r="F9" s="476" t="str">
        <f>+B9</f>
        <v>2016/17</v>
      </c>
      <c r="G9" s="476" t="str">
        <f>+D9</f>
        <v>2017/18</v>
      </c>
      <c r="J9" s="498"/>
      <c r="K9" s="498"/>
      <c r="L9" s="498"/>
      <c r="M9" s="498"/>
    </row>
    <row r="10" spans="1:13" ht="5.0999999999999996" customHeight="1" x14ac:dyDescent="0.2">
      <c r="A10" s="460"/>
      <c r="B10" s="461"/>
      <c r="C10" s="461"/>
      <c r="D10" s="453"/>
      <c r="E10" s="453"/>
      <c r="F10" s="453"/>
      <c r="J10" s="498"/>
      <c r="K10" s="498"/>
      <c r="L10" s="498"/>
      <c r="M10" s="498"/>
    </row>
    <row r="11" spans="1:13" ht="14.1" customHeight="1" x14ac:dyDescent="0.2">
      <c r="A11" s="470" t="s">
        <v>110</v>
      </c>
      <c r="B11" s="471">
        <v>14976675</v>
      </c>
      <c r="C11" s="472">
        <v>78.429563806010577</v>
      </c>
      <c r="D11" s="471">
        <v>15714424</v>
      </c>
      <c r="E11" s="472">
        <f>+D11/'- 3 -'!F11*100</f>
        <v>79.513230646610211</v>
      </c>
      <c r="F11" s="471">
        <v>8480.5634201585508</v>
      </c>
      <c r="G11" s="471">
        <f>+D11/'- 7 -'!E11</f>
        <v>8738.9745300856412</v>
      </c>
      <c r="I11" s="462" t="str">
        <f>IF(D11=M11,"",M11-D11)</f>
        <v/>
      </c>
      <c r="J11" s="499">
        <f>+'- 15 -'!B11</f>
        <v>12731597</v>
      </c>
      <c r="K11" s="498">
        <f>+'- 15 -'!E11</f>
        <v>2421012</v>
      </c>
      <c r="L11" s="498">
        <f>+'- 16 -'!G11</f>
        <v>561815</v>
      </c>
      <c r="M11" s="499">
        <f>+J11+K11+L11</f>
        <v>15714424</v>
      </c>
    </row>
    <row r="12" spans="1:13" ht="14.1" customHeight="1" x14ac:dyDescent="0.2">
      <c r="A12" s="463" t="s">
        <v>111</v>
      </c>
      <c r="B12" s="464">
        <v>25074202</v>
      </c>
      <c r="C12" s="465">
        <v>76.447189835343522</v>
      </c>
      <c r="D12" s="464">
        <v>25486462</v>
      </c>
      <c r="E12" s="465">
        <f>+D12/'- 3 -'!F12*100</f>
        <v>76.226244220738664</v>
      </c>
      <c r="F12" s="464">
        <v>11829.964851029699</v>
      </c>
      <c r="G12" s="464">
        <f>+D12/'- 7 -'!E12</f>
        <v>12309.327215648394</v>
      </c>
      <c r="I12" s="462" t="str">
        <f>IF(D12=M12,"",M12-D12)</f>
        <v/>
      </c>
      <c r="J12" s="499">
        <f>+'- 15 -'!B12</f>
        <v>19417739</v>
      </c>
      <c r="K12" s="498">
        <f>+'- 15 -'!E12</f>
        <v>5247866</v>
      </c>
      <c r="L12" s="498">
        <f>+'- 16 -'!G12</f>
        <v>820857</v>
      </c>
      <c r="M12" s="499">
        <f t="shared" ref="M12:M48" si="0">+J12+K12+L12</f>
        <v>25486462</v>
      </c>
    </row>
    <row r="13" spans="1:13" ht="14.1" customHeight="1" x14ac:dyDescent="0.2">
      <c r="A13" s="470" t="s">
        <v>112</v>
      </c>
      <c r="B13" s="471">
        <v>80227841</v>
      </c>
      <c r="C13" s="472">
        <v>83.901849282915322</v>
      </c>
      <c r="D13" s="471">
        <v>83216529</v>
      </c>
      <c r="E13" s="472">
        <f>+D13/'- 3 -'!F13*100</f>
        <v>84.363949580005723</v>
      </c>
      <c r="F13" s="471">
        <v>9581.1597301009133</v>
      </c>
      <c r="G13" s="471">
        <f>+D13/'- 7 -'!E13</f>
        <v>9868.5143246306397</v>
      </c>
      <c r="I13" s="462" t="str">
        <f t="shared" ref="I13:I48" si="1">IF(D13=M13,"",M13-D13)</f>
        <v/>
      </c>
      <c r="J13" s="499">
        <f>+'- 15 -'!B13</f>
        <v>59916103</v>
      </c>
      <c r="K13" s="498">
        <f>+'- 15 -'!E13</f>
        <v>20271570</v>
      </c>
      <c r="L13" s="498">
        <f>+'- 16 -'!G13</f>
        <v>3028856</v>
      </c>
      <c r="M13" s="500">
        <f t="shared" si="0"/>
        <v>83216529</v>
      </c>
    </row>
    <row r="14" spans="1:13" ht="14.1" customHeight="1" x14ac:dyDescent="0.2">
      <c r="A14" s="463" t="s">
        <v>359</v>
      </c>
      <c r="B14" s="464">
        <v>59023163</v>
      </c>
      <c r="C14" s="465">
        <v>72.561486294322179</v>
      </c>
      <c r="D14" s="464">
        <v>62467899</v>
      </c>
      <c r="E14" s="465">
        <f>+D14/'- 3 -'!F14*100</f>
        <v>72.145240008908104</v>
      </c>
      <c r="F14" s="464">
        <v>10764.482212746711</v>
      </c>
      <c r="G14" s="464">
        <f>+D14/'- 7 -'!E14</f>
        <v>11139.823846836984</v>
      </c>
      <c r="I14" s="462" t="str">
        <f t="shared" si="1"/>
        <v/>
      </c>
      <c r="J14" s="499">
        <f>+'- 15 -'!B14</f>
        <v>48971240</v>
      </c>
      <c r="K14" s="498">
        <f>+'- 15 -'!E14</f>
        <v>10381241</v>
      </c>
      <c r="L14" s="498">
        <f>+'- 16 -'!G14</f>
        <v>3115418</v>
      </c>
      <c r="M14" s="499">
        <f t="shared" si="0"/>
        <v>62467899</v>
      </c>
    </row>
    <row r="15" spans="1:13" ht="14.1" customHeight="1" x14ac:dyDescent="0.2">
      <c r="A15" s="470" t="s">
        <v>113</v>
      </c>
      <c r="B15" s="471">
        <v>14281257</v>
      </c>
      <c r="C15" s="472">
        <v>73.387675172601305</v>
      </c>
      <c r="D15" s="471">
        <v>14417697</v>
      </c>
      <c r="E15" s="472">
        <f>+D15/'- 3 -'!F15*100</f>
        <v>72.342700867985144</v>
      </c>
      <c r="F15" s="471">
        <v>10206.730274442538</v>
      </c>
      <c r="G15" s="471">
        <f>+D15/'- 7 -'!E15</f>
        <v>10449.120887085086</v>
      </c>
      <c r="I15" s="462" t="str">
        <f t="shared" si="1"/>
        <v/>
      </c>
      <c r="J15" s="499">
        <f>+'- 15 -'!B15</f>
        <v>10624945</v>
      </c>
      <c r="K15" s="498">
        <f>+'- 15 -'!E15</f>
        <v>3268798</v>
      </c>
      <c r="L15" s="498">
        <f>+'- 16 -'!G15</f>
        <v>523954</v>
      </c>
      <c r="M15" s="499">
        <f t="shared" si="0"/>
        <v>14417697</v>
      </c>
    </row>
    <row r="16" spans="1:13" ht="14.1" customHeight="1" x14ac:dyDescent="0.2">
      <c r="A16" s="463" t="s">
        <v>114</v>
      </c>
      <c r="B16" s="464">
        <v>10427309</v>
      </c>
      <c r="C16" s="465">
        <v>72.44393959131213</v>
      </c>
      <c r="D16" s="464">
        <v>10680371</v>
      </c>
      <c r="E16" s="465">
        <f>+D16/'- 3 -'!F16*100</f>
        <v>74.387679376558182</v>
      </c>
      <c r="F16" s="464">
        <v>11537.186324408056</v>
      </c>
      <c r="G16" s="464">
        <f>+D16/'- 7 -'!E16</f>
        <v>11699.387665680797</v>
      </c>
      <c r="I16" s="462" t="str">
        <f t="shared" si="1"/>
        <v/>
      </c>
      <c r="J16" s="499">
        <f>+'- 15 -'!B16</f>
        <v>7795567</v>
      </c>
      <c r="K16" s="498">
        <f>+'- 15 -'!E16</f>
        <v>2566252</v>
      </c>
      <c r="L16" s="498">
        <f>+'- 16 -'!G16</f>
        <v>318552</v>
      </c>
      <c r="M16" s="499">
        <f t="shared" si="0"/>
        <v>10680371</v>
      </c>
    </row>
    <row r="17" spans="1:13" ht="14.1" customHeight="1" x14ac:dyDescent="0.2">
      <c r="A17" s="470" t="s">
        <v>115</v>
      </c>
      <c r="B17" s="471">
        <v>13135973</v>
      </c>
      <c r="C17" s="472">
        <v>74.812193159602316</v>
      </c>
      <c r="D17" s="471">
        <v>13569612</v>
      </c>
      <c r="E17" s="472">
        <f>+D17/'- 3 -'!F17*100</f>
        <v>75.091768694137826</v>
      </c>
      <c r="F17" s="471">
        <v>9399.6228980322012</v>
      </c>
      <c r="G17" s="471">
        <f>+D17/'- 7 -'!E17</f>
        <v>9714.8845819483504</v>
      </c>
      <c r="I17" s="462" t="str">
        <f t="shared" si="1"/>
        <v/>
      </c>
      <c r="J17" s="499">
        <f>+'- 15 -'!B17</f>
        <v>10659225</v>
      </c>
      <c r="K17" s="498">
        <f>+'- 15 -'!E17</f>
        <v>2489308</v>
      </c>
      <c r="L17" s="498">
        <f>+'- 16 -'!G17</f>
        <v>421079</v>
      </c>
      <c r="M17" s="499">
        <f t="shared" si="0"/>
        <v>13569612</v>
      </c>
    </row>
    <row r="18" spans="1:13" ht="14.1" customHeight="1" x14ac:dyDescent="0.2">
      <c r="A18" s="463" t="s">
        <v>116</v>
      </c>
      <c r="B18" s="464">
        <v>81811740</v>
      </c>
      <c r="C18" s="465">
        <v>66.106988357983553</v>
      </c>
      <c r="D18" s="464">
        <v>84332014</v>
      </c>
      <c r="E18" s="465">
        <f>+D18/'- 3 -'!F18*100</f>
        <v>65.743170634214749</v>
      </c>
      <c r="F18" s="464">
        <v>13422.983149846594</v>
      </c>
      <c r="G18" s="464">
        <f>+D18/'- 7 -'!E18</f>
        <v>13842.847950624579</v>
      </c>
      <c r="I18" s="462" t="str">
        <f t="shared" si="1"/>
        <v/>
      </c>
      <c r="J18" s="499">
        <f>+'- 15 -'!B18</f>
        <v>56545373</v>
      </c>
      <c r="K18" s="498">
        <f>+'- 15 -'!E18</f>
        <v>20314037</v>
      </c>
      <c r="L18" s="498">
        <f>+'- 16 -'!G18</f>
        <v>7472604</v>
      </c>
      <c r="M18" s="499">
        <f t="shared" si="0"/>
        <v>84332014</v>
      </c>
    </row>
    <row r="19" spans="1:13" ht="14.1" customHeight="1" x14ac:dyDescent="0.2">
      <c r="A19" s="470" t="s">
        <v>117</v>
      </c>
      <c r="B19" s="471">
        <v>36672327.510000005</v>
      </c>
      <c r="C19" s="472">
        <v>79.572495858034401</v>
      </c>
      <c r="D19" s="471">
        <v>39550999</v>
      </c>
      <c r="E19" s="472">
        <f>+D19/'- 3 -'!F19*100</f>
        <v>80.439288297662515</v>
      </c>
      <c r="F19" s="471">
        <v>8370.7663798219601</v>
      </c>
      <c r="G19" s="471">
        <f>+D19/'- 7 -'!E19</f>
        <v>8920.7413839769033</v>
      </c>
      <c r="I19" s="462" t="str">
        <f t="shared" si="1"/>
        <v/>
      </c>
      <c r="J19" s="499">
        <f>+'- 15 -'!B19</f>
        <v>28911558</v>
      </c>
      <c r="K19" s="498">
        <f>+'- 15 -'!E19</f>
        <v>8986217</v>
      </c>
      <c r="L19" s="498">
        <f>+'- 16 -'!G19</f>
        <v>1653224</v>
      </c>
      <c r="M19" s="499">
        <f t="shared" si="0"/>
        <v>39550999</v>
      </c>
    </row>
    <row r="20" spans="1:13" ht="14.1" customHeight="1" x14ac:dyDescent="0.2">
      <c r="A20" s="463" t="s">
        <v>118</v>
      </c>
      <c r="B20" s="464">
        <v>65338963</v>
      </c>
      <c r="C20" s="465">
        <v>79.603394584329664</v>
      </c>
      <c r="D20" s="464">
        <v>68040769</v>
      </c>
      <c r="E20" s="465">
        <f>+D20/'- 3 -'!F20*100</f>
        <v>80.405719793109583</v>
      </c>
      <c r="F20" s="464">
        <v>8557.2605592299133</v>
      </c>
      <c r="G20" s="464">
        <f>+D20/'- 7 -'!E20</f>
        <v>8731.0110355447196</v>
      </c>
      <c r="I20" s="462" t="str">
        <f t="shared" si="1"/>
        <v/>
      </c>
      <c r="J20" s="499">
        <f>+'- 15 -'!B20</f>
        <v>53261029</v>
      </c>
      <c r="K20" s="498">
        <f>+'- 15 -'!E20</f>
        <v>12116226</v>
      </c>
      <c r="L20" s="498">
        <f>+'- 16 -'!G20</f>
        <v>2663514</v>
      </c>
      <c r="M20" s="499">
        <f t="shared" si="0"/>
        <v>68040769</v>
      </c>
    </row>
    <row r="21" spans="1:13" ht="14.1" customHeight="1" x14ac:dyDescent="0.2">
      <c r="A21" s="470" t="s">
        <v>119</v>
      </c>
      <c r="B21" s="471">
        <v>27928741</v>
      </c>
      <c r="C21" s="472">
        <v>78.140649381146005</v>
      </c>
      <c r="D21" s="471">
        <v>28694446</v>
      </c>
      <c r="E21" s="472">
        <f>+D21/'- 3 -'!F21*100</f>
        <v>78.447037440121633</v>
      </c>
      <c r="F21" s="471">
        <v>10185.165019510594</v>
      </c>
      <c r="G21" s="471">
        <f>+D21/'- 7 -'!E21</f>
        <v>10313.581338509095</v>
      </c>
      <c r="I21" s="462" t="str">
        <f t="shared" si="1"/>
        <v/>
      </c>
      <c r="J21" s="499">
        <f>+'- 15 -'!B21</f>
        <v>21750556</v>
      </c>
      <c r="K21" s="498">
        <f>+'- 15 -'!E21</f>
        <v>5999537</v>
      </c>
      <c r="L21" s="498">
        <f>+'- 16 -'!G21</f>
        <v>944353</v>
      </c>
      <c r="M21" s="499">
        <f t="shared" si="0"/>
        <v>28694446</v>
      </c>
    </row>
    <row r="22" spans="1:13" ht="14.1" customHeight="1" x14ac:dyDescent="0.2">
      <c r="A22" s="463" t="s">
        <v>120</v>
      </c>
      <c r="B22" s="464">
        <v>15283612</v>
      </c>
      <c r="C22" s="465">
        <v>78.816066406026593</v>
      </c>
      <c r="D22" s="464">
        <v>15805250</v>
      </c>
      <c r="E22" s="465">
        <f>+D22/'- 3 -'!F22*100</f>
        <v>79.14648538326999</v>
      </c>
      <c r="F22" s="464">
        <v>10031.249671829877</v>
      </c>
      <c r="G22" s="464">
        <f>+D22/'- 7 -'!E22</f>
        <v>10583.400294629704</v>
      </c>
      <c r="I22" s="462" t="str">
        <f t="shared" si="1"/>
        <v/>
      </c>
      <c r="J22" s="499">
        <f>+'- 15 -'!B22</f>
        <v>10588643</v>
      </c>
      <c r="K22" s="498">
        <f>+'- 15 -'!E22</f>
        <v>4756912</v>
      </c>
      <c r="L22" s="498">
        <f>+'- 16 -'!G22</f>
        <v>459695</v>
      </c>
      <c r="M22" s="499">
        <f t="shared" si="0"/>
        <v>15805250</v>
      </c>
    </row>
    <row r="23" spans="1:13" ht="14.1" customHeight="1" x14ac:dyDescent="0.2">
      <c r="A23" s="470" t="s">
        <v>121</v>
      </c>
      <c r="B23" s="471">
        <v>12435371</v>
      </c>
      <c r="C23" s="472">
        <v>74.747860477708429</v>
      </c>
      <c r="D23" s="471">
        <v>11887572</v>
      </c>
      <c r="E23" s="472">
        <f>+D23/'- 3 -'!F23*100</f>
        <v>74.289817085360809</v>
      </c>
      <c r="F23" s="471">
        <v>11157.802602063706</v>
      </c>
      <c r="G23" s="471">
        <f>+D23/'- 7 -'!E23</f>
        <v>11402.946762589929</v>
      </c>
      <c r="I23" s="462" t="str">
        <f t="shared" si="1"/>
        <v/>
      </c>
      <c r="J23" s="499">
        <f>+'- 15 -'!B23</f>
        <v>8445810</v>
      </c>
      <c r="K23" s="498">
        <f>+'- 15 -'!E23</f>
        <v>2863469</v>
      </c>
      <c r="L23" s="498">
        <f>+'- 16 -'!G23</f>
        <v>578293</v>
      </c>
      <c r="M23" s="499">
        <f t="shared" si="0"/>
        <v>11887572</v>
      </c>
    </row>
    <row r="24" spans="1:13" ht="14.1" customHeight="1" x14ac:dyDescent="0.2">
      <c r="A24" s="463" t="s">
        <v>122</v>
      </c>
      <c r="B24" s="464">
        <v>44537332</v>
      </c>
      <c r="C24" s="465">
        <v>78.888929353229315</v>
      </c>
      <c r="D24" s="464">
        <v>44921672</v>
      </c>
      <c r="E24" s="465">
        <f>+D24/'- 3 -'!F24*100</f>
        <v>78.774646015664629</v>
      </c>
      <c r="F24" s="464">
        <v>11280.128662968873</v>
      </c>
      <c r="G24" s="464">
        <f>+D24/'- 7 -'!E24</f>
        <v>11544.129725284609</v>
      </c>
      <c r="I24" s="462" t="str">
        <f t="shared" si="1"/>
        <v/>
      </c>
      <c r="J24" s="499">
        <f>+'- 15 -'!B24</f>
        <v>33957543</v>
      </c>
      <c r="K24" s="498">
        <f>+'- 15 -'!E24</f>
        <v>9415613</v>
      </c>
      <c r="L24" s="498">
        <f>+'- 16 -'!G24</f>
        <v>1548516</v>
      </c>
      <c r="M24" s="499">
        <f t="shared" si="0"/>
        <v>44921672</v>
      </c>
    </row>
    <row r="25" spans="1:13" ht="14.1" customHeight="1" x14ac:dyDescent="0.2">
      <c r="A25" s="470" t="s">
        <v>123</v>
      </c>
      <c r="B25" s="471">
        <v>142304384</v>
      </c>
      <c r="C25" s="472">
        <v>81.510239341057385</v>
      </c>
      <c r="D25" s="471">
        <v>149118031</v>
      </c>
      <c r="E25" s="472">
        <f>+D25/'- 3 -'!F25*100</f>
        <v>81.407491106842983</v>
      </c>
      <c r="F25" s="471">
        <v>9926.4353127463219</v>
      </c>
      <c r="G25" s="471">
        <f>+D25/'- 7 -'!E25</f>
        <v>10194.919633273397</v>
      </c>
      <c r="I25" s="462" t="str">
        <f t="shared" si="1"/>
        <v/>
      </c>
      <c r="J25" s="499">
        <f>+'- 15 -'!B25</f>
        <v>102324383</v>
      </c>
      <c r="K25" s="498">
        <f>+'- 15 -'!E25</f>
        <v>38293861</v>
      </c>
      <c r="L25" s="498">
        <f>+'- 16 -'!G25</f>
        <v>8499787</v>
      </c>
      <c r="M25" s="499">
        <f t="shared" si="0"/>
        <v>149118031</v>
      </c>
    </row>
    <row r="26" spans="1:13" ht="14.1" customHeight="1" x14ac:dyDescent="0.2">
      <c r="A26" s="463" t="s">
        <v>124</v>
      </c>
      <c r="B26" s="464">
        <v>30319415</v>
      </c>
      <c r="C26" s="465">
        <v>74.161440389720994</v>
      </c>
      <c r="D26" s="464">
        <v>30352597</v>
      </c>
      <c r="E26" s="465">
        <f>+D26/'- 3 -'!F26*100</f>
        <v>74.57967261809037</v>
      </c>
      <c r="F26" s="464">
        <v>9921.2745418848172</v>
      </c>
      <c r="G26" s="464">
        <f>+D26/'- 7 -'!E26</f>
        <v>10271.606429780033</v>
      </c>
      <c r="I26" s="462" t="str">
        <f t="shared" si="1"/>
        <v/>
      </c>
      <c r="J26" s="499">
        <f>+'- 15 -'!B26</f>
        <v>23033128</v>
      </c>
      <c r="K26" s="498">
        <f>+'- 15 -'!E26</f>
        <v>5920438</v>
      </c>
      <c r="L26" s="498">
        <f>+'- 16 -'!G26</f>
        <v>1399031</v>
      </c>
      <c r="M26" s="499">
        <f t="shared" si="0"/>
        <v>30352597</v>
      </c>
    </row>
    <row r="27" spans="1:13" ht="14.1" customHeight="1" x14ac:dyDescent="0.2">
      <c r="A27" s="470" t="s">
        <v>125</v>
      </c>
      <c r="B27" s="471">
        <v>33880377</v>
      </c>
      <c r="C27" s="472">
        <v>81.753332237670705</v>
      </c>
      <c r="D27" s="471">
        <v>33516542</v>
      </c>
      <c r="E27" s="472">
        <f>+D27/'- 3 -'!F27*100</f>
        <v>81.856164759268466</v>
      </c>
      <c r="F27" s="471">
        <v>11339.763032382225</v>
      </c>
      <c r="G27" s="471">
        <f>+D27/'- 7 -'!E27</f>
        <v>11058.280378765383</v>
      </c>
      <c r="I27" s="462" t="str">
        <f t="shared" si="1"/>
        <v/>
      </c>
      <c r="J27" s="499">
        <f>+'- 15 -'!B27</f>
        <v>23477392</v>
      </c>
      <c r="K27" s="498">
        <f>+'- 15 -'!E27</f>
        <v>8454652</v>
      </c>
      <c r="L27" s="498">
        <f>+'- 16 -'!G27</f>
        <v>1584498</v>
      </c>
      <c r="M27" s="499">
        <f t="shared" si="0"/>
        <v>33516542</v>
      </c>
    </row>
    <row r="28" spans="1:13" ht="14.1" customHeight="1" x14ac:dyDescent="0.2">
      <c r="A28" s="463" t="s">
        <v>126</v>
      </c>
      <c r="B28" s="464">
        <v>21092881</v>
      </c>
      <c r="C28" s="465">
        <v>75.310472234993426</v>
      </c>
      <c r="D28" s="464">
        <v>21775771</v>
      </c>
      <c r="E28" s="465">
        <f>+D28/'- 3 -'!F28*100</f>
        <v>75.915154858120744</v>
      </c>
      <c r="F28" s="464">
        <v>10745.227203260316</v>
      </c>
      <c r="G28" s="464">
        <f>+D28/'- 7 -'!E28</f>
        <v>11169.926134906385</v>
      </c>
      <c r="I28" s="462" t="str">
        <f t="shared" si="1"/>
        <v/>
      </c>
      <c r="J28" s="499">
        <f>+'- 15 -'!B28</f>
        <v>17496888</v>
      </c>
      <c r="K28" s="498">
        <f>+'- 15 -'!E28</f>
        <v>3483401</v>
      </c>
      <c r="L28" s="498">
        <f>+'- 16 -'!G28</f>
        <v>795482</v>
      </c>
      <c r="M28" s="499">
        <f t="shared" si="0"/>
        <v>21775771</v>
      </c>
    </row>
    <row r="29" spans="1:13" ht="14.1" customHeight="1" x14ac:dyDescent="0.2">
      <c r="A29" s="470" t="s">
        <v>127</v>
      </c>
      <c r="B29" s="471">
        <v>127932131</v>
      </c>
      <c r="C29" s="472">
        <v>80.78091203786532</v>
      </c>
      <c r="D29" s="471">
        <v>130005471</v>
      </c>
      <c r="E29" s="472">
        <f>+D29/'- 3 -'!F29*100</f>
        <v>80.294411032669657</v>
      </c>
      <c r="F29" s="471">
        <v>9778.9496575551893</v>
      </c>
      <c r="G29" s="471">
        <f>+D29/'- 7 -'!E29</f>
        <v>9707.0441054588628</v>
      </c>
      <c r="I29" s="462" t="str">
        <f t="shared" si="1"/>
        <v/>
      </c>
      <c r="J29" s="499">
        <f>+'- 15 -'!B29</f>
        <v>93194297</v>
      </c>
      <c r="K29" s="498">
        <f>+'- 15 -'!E29</f>
        <v>30466992</v>
      </c>
      <c r="L29" s="498">
        <f>+'- 16 -'!G29</f>
        <v>6344182</v>
      </c>
      <c r="M29" s="499">
        <f t="shared" si="0"/>
        <v>130005471</v>
      </c>
    </row>
    <row r="30" spans="1:13" ht="14.1" customHeight="1" x14ac:dyDescent="0.2">
      <c r="A30" s="463" t="s">
        <v>128</v>
      </c>
      <c r="B30" s="464">
        <v>10610973</v>
      </c>
      <c r="C30" s="465">
        <v>75.305288458808874</v>
      </c>
      <c r="D30" s="464">
        <v>11118472</v>
      </c>
      <c r="E30" s="465">
        <f>+D30/'- 3 -'!F30*100</f>
        <v>75.730253721679503</v>
      </c>
      <c r="F30" s="464">
        <v>10620.075922219045</v>
      </c>
      <c r="G30" s="464">
        <f>+D30/'- 7 -'!E30</f>
        <v>11038.991262907068</v>
      </c>
      <c r="I30" s="462" t="str">
        <f t="shared" si="1"/>
        <v/>
      </c>
      <c r="J30" s="499">
        <f>+'- 15 -'!B30</f>
        <v>8980094</v>
      </c>
      <c r="K30" s="498">
        <f>+'- 15 -'!E30</f>
        <v>1609493</v>
      </c>
      <c r="L30" s="498">
        <f>+'- 16 -'!G30</f>
        <v>528885</v>
      </c>
      <c r="M30" s="499">
        <f t="shared" si="0"/>
        <v>11118472</v>
      </c>
    </row>
    <row r="31" spans="1:13" ht="14.1" customHeight="1" x14ac:dyDescent="0.2">
      <c r="A31" s="470" t="s">
        <v>129</v>
      </c>
      <c r="B31" s="471">
        <v>30347999</v>
      </c>
      <c r="C31" s="472">
        <v>81.00597044024029</v>
      </c>
      <c r="D31" s="471">
        <v>31211438</v>
      </c>
      <c r="E31" s="472">
        <f>+D31/'- 3 -'!F31*100</f>
        <v>82.193564853765395</v>
      </c>
      <c r="F31" s="471">
        <v>9329.23424531202</v>
      </c>
      <c r="G31" s="471">
        <f>+D31/'- 7 -'!E31</f>
        <v>9428.2980908651516</v>
      </c>
      <c r="I31" s="462" t="str">
        <f t="shared" si="1"/>
        <v/>
      </c>
      <c r="J31" s="499">
        <f>+'- 15 -'!B31</f>
        <v>22428272</v>
      </c>
      <c r="K31" s="498">
        <f>+'- 15 -'!E31</f>
        <v>7358247</v>
      </c>
      <c r="L31" s="498">
        <f>+'- 16 -'!G31</f>
        <v>1424919</v>
      </c>
      <c r="M31" s="499">
        <f t="shared" si="0"/>
        <v>31211438</v>
      </c>
    </row>
    <row r="32" spans="1:13" ht="14.1" customHeight="1" x14ac:dyDescent="0.2">
      <c r="A32" s="463" t="s">
        <v>130</v>
      </c>
      <c r="B32" s="464">
        <v>22173773</v>
      </c>
      <c r="C32" s="465">
        <v>76.490030632890935</v>
      </c>
      <c r="D32" s="464">
        <v>23767421</v>
      </c>
      <c r="E32" s="465">
        <f>+D32/'- 3 -'!F32*100</f>
        <v>76.471743697330282</v>
      </c>
      <c r="F32" s="464">
        <v>10298.055452349992</v>
      </c>
      <c r="G32" s="464">
        <f>+D32/'- 7 -'!E32</f>
        <v>10870.075920420764</v>
      </c>
      <c r="I32" s="462" t="str">
        <f t="shared" si="1"/>
        <v/>
      </c>
      <c r="J32" s="499">
        <f>+'- 15 -'!B32</f>
        <v>17910580</v>
      </c>
      <c r="K32" s="498">
        <f>+'- 15 -'!E32</f>
        <v>4750630</v>
      </c>
      <c r="L32" s="498">
        <f>+'- 16 -'!G32</f>
        <v>1106211</v>
      </c>
      <c r="M32" s="499">
        <f t="shared" si="0"/>
        <v>23767421</v>
      </c>
    </row>
    <row r="33" spans="1:13" ht="14.1" customHeight="1" x14ac:dyDescent="0.2">
      <c r="A33" s="470" t="s">
        <v>131</v>
      </c>
      <c r="B33" s="471">
        <v>20731098</v>
      </c>
      <c r="C33" s="472">
        <v>74.639080832219477</v>
      </c>
      <c r="D33" s="471">
        <v>21124837</v>
      </c>
      <c r="E33" s="472">
        <f>+D33/'- 3 -'!F33*100</f>
        <v>74.607421547969196</v>
      </c>
      <c r="F33" s="471">
        <v>10265.460757613271</v>
      </c>
      <c r="G33" s="471">
        <f>+D33/'- 7 -'!E33</f>
        <v>10085.380024825743</v>
      </c>
      <c r="I33" s="462" t="str">
        <f t="shared" si="1"/>
        <v/>
      </c>
      <c r="J33" s="499">
        <f>+'- 15 -'!B33</f>
        <v>16617181</v>
      </c>
      <c r="K33" s="498">
        <f>+'- 15 -'!E33</f>
        <v>3691006</v>
      </c>
      <c r="L33" s="498">
        <f>+'- 16 -'!G33</f>
        <v>816650</v>
      </c>
      <c r="M33" s="499">
        <f t="shared" si="0"/>
        <v>21124837</v>
      </c>
    </row>
    <row r="34" spans="1:13" ht="14.1" customHeight="1" x14ac:dyDescent="0.2">
      <c r="A34" s="463" t="s">
        <v>132</v>
      </c>
      <c r="B34" s="464">
        <v>21788760</v>
      </c>
      <c r="C34" s="465">
        <v>75.076033022654542</v>
      </c>
      <c r="D34" s="464">
        <v>23016121</v>
      </c>
      <c r="E34" s="465">
        <f>+D34/'- 3 -'!F34*100</f>
        <v>75.000780439367489</v>
      </c>
      <c r="F34" s="464">
        <v>10707.533539731681</v>
      </c>
      <c r="G34" s="464">
        <f>+D34/'- 7 -'!E34</f>
        <v>10975.632564305539</v>
      </c>
      <c r="I34" s="462" t="str">
        <f t="shared" si="1"/>
        <v/>
      </c>
      <c r="J34" s="499">
        <f>+'- 15 -'!B34</f>
        <v>16944362</v>
      </c>
      <c r="K34" s="498">
        <f>+'- 15 -'!E34</f>
        <v>5118022</v>
      </c>
      <c r="L34" s="498">
        <f>+'- 16 -'!G34</f>
        <v>953737</v>
      </c>
      <c r="M34" s="499">
        <f t="shared" si="0"/>
        <v>23016121</v>
      </c>
    </row>
    <row r="35" spans="1:13" ht="14.1" customHeight="1" x14ac:dyDescent="0.2">
      <c r="A35" s="470" t="s">
        <v>133</v>
      </c>
      <c r="B35" s="471">
        <v>147262457</v>
      </c>
      <c r="C35" s="472">
        <v>81.224812785611377</v>
      </c>
      <c r="D35" s="471">
        <v>150535935</v>
      </c>
      <c r="E35" s="472">
        <f>+D35/'- 3 -'!F35*100</f>
        <v>81.236299301387817</v>
      </c>
      <c r="F35" s="471">
        <v>9435.0625961045625</v>
      </c>
      <c r="G35" s="471">
        <f>+D35/'- 7 -'!E35</f>
        <v>9492.1454694495242</v>
      </c>
      <c r="I35" s="462" t="str">
        <f t="shared" si="1"/>
        <v/>
      </c>
      <c r="J35" s="499">
        <f>+'- 15 -'!B35</f>
        <v>106478843</v>
      </c>
      <c r="K35" s="498">
        <f>+'- 15 -'!E35</f>
        <v>36032347</v>
      </c>
      <c r="L35" s="498">
        <f>+'- 16 -'!G35</f>
        <v>8024745</v>
      </c>
      <c r="M35" s="499">
        <f t="shared" si="0"/>
        <v>150535935</v>
      </c>
    </row>
    <row r="36" spans="1:13" ht="14.1" customHeight="1" x14ac:dyDescent="0.2">
      <c r="A36" s="463" t="s">
        <v>134</v>
      </c>
      <c r="B36" s="464">
        <v>17298678</v>
      </c>
      <c r="C36" s="465">
        <v>74.365583007102842</v>
      </c>
      <c r="D36" s="464">
        <v>17596900</v>
      </c>
      <c r="E36" s="465">
        <f>+D36/'- 3 -'!F36*100</f>
        <v>74.818561724558734</v>
      </c>
      <c r="F36" s="464">
        <v>10374.019790104947</v>
      </c>
      <c r="G36" s="464">
        <f>+D36/'- 7 -'!E36</f>
        <v>10407.440264963332</v>
      </c>
      <c r="I36" s="462" t="str">
        <f t="shared" si="1"/>
        <v/>
      </c>
      <c r="J36" s="499">
        <f>+'- 15 -'!B36</f>
        <v>13879938</v>
      </c>
      <c r="K36" s="498">
        <f>+'- 15 -'!E36</f>
        <v>3033938</v>
      </c>
      <c r="L36" s="498">
        <f>+'- 16 -'!G36</f>
        <v>683024</v>
      </c>
      <c r="M36" s="499">
        <f t="shared" si="0"/>
        <v>17596900</v>
      </c>
    </row>
    <row r="37" spans="1:13" ht="14.1" customHeight="1" x14ac:dyDescent="0.2">
      <c r="A37" s="470" t="s">
        <v>135</v>
      </c>
      <c r="B37" s="471">
        <v>38611512</v>
      </c>
      <c r="C37" s="472">
        <v>78.113652430921647</v>
      </c>
      <c r="D37" s="471">
        <v>40633976</v>
      </c>
      <c r="E37" s="472">
        <f>+D37/'- 3 -'!F37*100</f>
        <v>78.725969181111097</v>
      </c>
      <c r="F37" s="471">
        <v>9230.5790102797037</v>
      </c>
      <c r="G37" s="471">
        <f>+D37/'- 7 -'!E37</f>
        <v>9686.2874851013112</v>
      </c>
      <c r="I37" s="462" t="str">
        <f t="shared" si="1"/>
        <v/>
      </c>
      <c r="J37" s="499">
        <f>+'- 15 -'!B37</f>
        <v>30090344</v>
      </c>
      <c r="K37" s="498">
        <f>+'- 15 -'!E37</f>
        <v>8800573</v>
      </c>
      <c r="L37" s="498">
        <f>+'- 16 -'!G37</f>
        <v>1743059</v>
      </c>
      <c r="M37" s="499">
        <f t="shared" si="0"/>
        <v>40633976</v>
      </c>
    </row>
    <row r="38" spans="1:13" ht="14.1" customHeight="1" x14ac:dyDescent="0.2">
      <c r="A38" s="463" t="s">
        <v>136</v>
      </c>
      <c r="B38" s="464">
        <v>109962514</v>
      </c>
      <c r="C38" s="465">
        <v>82.840015344790174</v>
      </c>
      <c r="D38" s="464">
        <v>113795797</v>
      </c>
      <c r="E38" s="465">
        <f>+D38/'- 3 -'!F38*100</f>
        <v>82.636454873204883</v>
      </c>
      <c r="F38" s="464">
        <v>10002.229802252179</v>
      </c>
      <c r="G38" s="464">
        <f>+D38/'- 7 -'!E38</f>
        <v>10280.399396523686</v>
      </c>
      <c r="I38" s="462" t="str">
        <f t="shared" si="1"/>
        <v/>
      </c>
      <c r="J38" s="499">
        <f>+'- 15 -'!B38</f>
        <v>82297309</v>
      </c>
      <c r="K38" s="498">
        <f>+'- 15 -'!E38</f>
        <v>26376733</v>
      </c>
      <c r="L38" s="498">
        <f>+'- 16 -'!G38</f>
        <v>5121755</v>
      </c>
      <c r="M38" s="499">
        <f t="shared" si="0"/>
        <v>113795797</v>
      </c>
    </row>
    <row r="39" spans="1:13" ht="14.1" customHeight="1" x14ac:dyDescent="0.2">
      <c r="A39" s="470" t="s">
        <v>137</v>
      </c>
      <c r="B39" s="471">
        <v>15749413</v>
      </c>
      <c r="C39" s="472">
        <v>73.948957165805979</v>
      </c>
      <c r="D39" s="471">
        <v>16468047</v>
      </c>
      <c r="E39" s="472">
        <f>+D39/'- 3 -'!F39*100</f>
        <v>74.079956822502538</v>
      </c>
      <c r="F39" s="471">
        <v>10499.608666666667</v>
      </c>
      <c r="G39" s="471">
        <f>+D39/'- 7 -'!E39</f>
        <v>10884.366820885658</v>
      </c>
      <c r="I39" s="462" t="str">
        <f t="shared" si="1"/>
        <v/>
      </c>
      <c r="J39" s="499">
        <f>+'- 15 -'!B39</f>
        <v>12932924</v>
      </c>
      <c r="K39" s="498">
        <f>+'- 15 -'!E39</f>
        <v>3051762</v>
      </c>
      <c r="L39" s="498">
        <f>+'- 16 -'!G39</f>
        <v>483361</v>
      </c>
      <c r="M39" s="499">
        <f t="shared" si="0"/>
        <v>16468047</v>
      </c>
    </row>
    <row r="40" spans="1:13" ht="14.1" customHeight="1" x14ac:dyDescent="0.2">
      <c r="A40" s="463" t="s">
        <v>138</v>
      </c>
      <c r="B40" s="464">
        <v>84906607</v>
      </c>
      <c r="C40" s="465">
        <v>82.154791986562032</v>
      </c>
      <c r="D40" s="464">
        <v>85789732</v>
      </c>
      <c r="E40" s="465">
        <f>+D40/'- 3 -'!F40*100</f>
        <v>81.694173520775919</v>
      </c>
      <c r="F40" s="464">
        <v>10278.752481720014</v>
      </c>
      <c r="G40" s="464">
        <f>+D40/'- 7 -'!E40</f>
        <v>10556.00792410577</v>
      </c>
      <c r="I40" s="462" t="str">
        <f t="shared" si="1"/>
        <v/>
      </c>
      <c r="J40" s="499">
        <f>+'- 15 -'!B40</f>
        <v>58751619</v>
      </c>
      <c r="K40" s="498">
        <f>+'- 15 -'!E40</f>
        <v>23622856</v>
      </c>
      <c r="L40" s="498">
        <f>+'- 16 -'!G40</f>
        <v>3415257</v>
      </c>
      <c r="M40" s="499">
        <f t="shared" si="0"/>
        <v>85789732</v>
      </c>
    </row>
    <row r="41" spans="1:13" ht="14.1" customHeight="1" x14ac:dyDescent="0.2">
      <c r="A41" s="470" t="s">
        <v>139</v>
      </c>
      <c r="B41" s="471">
        <v>46529944</v>
      </c>
      <c r="C41" s="472">
        <v>75.818574357498321</v>
      </c>
      <c r="D41" s="471">
        <v>48504660</v>
      </c>
      <c r="E41" s="472">
        <f>+D41/'- 3 -'!F41*100</f>
        <v>76.309066392420917</v>
      </c>
      <c r="F41" s="471">
        <v>10436.23281372659</v>
      </c>
      <c r="G41" s="471">
        <f>+D41/'- 7 -'!E41</f>
        <v>10910.957147677427</v>
      </c>
      <c r="I41" s="462" t="str">
        <f t="shared" si="1"/>
        <v/>
      </c>
      <c r="J41" s="499">
        <f>+'- 15 -'!B41</f>
        <v>34056944</v>
      </c>
      <c r="K41" s="498">
        <f>+'- 15 -'!E41</f>
        <v>12843831</v>
      </c>
      <c r="L41" s="498">
        <f>+'- 16 -'!G41</f>
        <v>1603885</v>
      </c>
      <c r="M41" s="499">
        <f t="shared" si="0"/>
        <v>48504660</v>
      </c>
    </row>
    <row r="42" spans="1:13" ht="14.1" customHeight="1" x14ac:dyDescent="0.2">
      <c r="A42" s="463" t="s">
        <v>140</v>
      </c>
      <c r="B42" s="464">
        <v>14677941</v>
      </c>
      <c r="C42" s="465">
        <v>73.132691126938042</v>
      </c>
      <c r="D42" s="464">
        <v>15345960</v>
      </c>
      <c r="E42" s="465">
        <f>+D42/'- 3 -'!F42*100</f>
        <v>73.762482840300393</v>
      </c>
      <c r="F42" s="464">
        <v>10646.990425068911</v>
      </c>
      <c r="G42" s="464">
        <f>+D42/'- 7 -'!E42</f>
        <v>10868.243626062324</v>
      </c>
      <c r="I42" s="462" t="str">
        <f t="shared" si="1"/>
        <v/>
      </c>
      <c r="J42" s="499">
        <f>+'- 15 -'!B42</f>
        <v>12094647</v>
      </c>
      <c r="K42" s="498">
        <f>+'- 15 -'!E42</f>
        <v>2841316</v>
      </c>
      <c r="L42" s="498">
        <f>+'- 16 -'!G42</f>
        <v>409997</v>
      </c>
      <c r="M42" s="499">
        <f t="shared" si="0"/>
        <v>15345960</v>
      </c>
    </row>
    <row r="43" spans="1:13" ht="14.1" customHeight="1" x14ac:dyDescent="0.2">
      <c r="A43" s="470" t="s">
        <v>141</v>
      </c>
      <c r="B43" s="471">
        <v>9960999</v>
      </c>
      <c r="C43" s="472">
        <v>76.526822035363224</v>
      </c>
      <c r="D43" s="471">
        <v>10142130</v>
      </c>
      <c r="E43" s="472">
        <f>+D43/'- 3 -'!F43*100</f>
        <v>76.740305493928602</v>
      </c>
      <c r="F43" s="471">
        <v>10346.939856653162</v>
      </c>
      <c r="G43" s="471">
        <f>+D43/'- 7 -'!E43</f>
        <v>10466.594427244581</v>
      </c>
      <c r="I43" s="462" t="str">
        <f t="shared" si="1"/>
        <v/>
      </c>
      <c r="J43" s="499">
        <f>+'- 15 -'!B43</f>
        <v>7300609</v>
      </c>
      <c r="K43" s="498">
        <f>+'- 15 -'!E43</f>
        <v>2416097</v>
      </c>
      <c r="L43" s="498">
        <f>+'- 16 -'!G43</f>
        <v>425424</v>
      </c>
      <c r="M43" s="499">
        <f t="shared" si="0"/>
        <v>10142130</v>
      </c>
    </row>
    <row r="44" spans="1:13" ht="14.1" customHeight="1" x14ac:dyDescent="0.2">
      <c r="A44" s="463" t="s">
        <v>142</v>
      </c>
      <c r="B44" s="464">
        <v>8020370</v>
      </c>
      <c r="C44" s="465">
        <v>74.436922722817854</v>
      </c>
      <c r="D44" s="464">
        <v>8032311</v>
      </c>
      <c r="E44" s="465">
        <f>+D44/'- 3 -'!F44*100</f>
        <v>73.409230469463651</v>
      </c>
      <c r="F44" s="464">
        <v>11565.061283345349</v>
      </c>
      <c r="G44" s="464">
        <f>+D44/'- 7 -'!E44</f>
        <v>11573.935158501441</v>
      </c>
      <c r="I44" s="462" t="str">
        <f t="shared" si="1"/>
        <v/>
      </c>
      <c r="J44" s="499">
        <f>+'- 15 -'!B44</f>
        <v>6185701</v>
      </c>
      <c r="K44" s="498">
        <f>+'- 15 -'!E44</f>
        <v>1595923</v>
      </c>
      <c r="L44" s="498">
        <f>+'- 16 -'!G44</f>
        <v>250687</v>
      </c>
      <c r="M44" s="499">
        <f t="shared" si="0"/>
        <v>8032311</v>
      </c>
    </row>
    <row r="45" spans="1:13" ht="14.1" customHeight="1" x14ac:dyDescent="0.2">
      <c r="A45" s="470" t="s">
        <v>143</v>
      </c>
      <c r="B45" s="471">
        <v>14992496</v>
      </c>
      <c r="C45" s="472">
        <v>79.676195430228191</v>
      </c>
      <c r="D45" s="471">
        <v>15572516</v>
      </c>
      <c r="E45" s="472">
        <f>+D45/'- 3 -'!F45*100</f>
        <v>79.785203952239087</v>
      </c>
      <c r="F45" s="471">
        <v>8897.6237388724039</v>
      </c>
      <c r="G45" s="471">
        <f>+D45/'- 7 -'!E45</f>
        <v>9011.8726851851843</v>
      </c>
      <c r="I45" s="462" t="str">
        <f t="shared" si="1"/>
        <v/>
      </c>
      <c r="J45" s="499">
        <f>+'- 15 -'!B45</f>
        <v>12337583</v>
      </c>
      <c r="K45" s="498">
        <f>+'- 15 -'!E45</f>
        <v>2698705</v>
      </c>
      <c r="L45" s="498">
        <f>+'- 16 -'!G45</f>
        <v>536228</v>
      </c>
      <c r="M45" s="499">
        <f t="shared" si="0"/>
        <v>15572516</v>
      </c>
    </row>
    <row r="46" spans="1:13" ht="14.1" customHeight="1" x14ac:dyDescent="0.2">
      <c r="A46" s="463" t="s">
        <v>144</v>
      </c>
      <c r="B46" s="464">
        <v>309129513</v>
      </c>
      <c r="C46" s="465">
        <v>81.27983600194267</v>
      </c>
      <c r="D46" s="464">
        <v>313959588</v>
      </c>
      <c r="E46" s="465">
        <f>+D46/'- 3 -'!F46*100</f>
        <v>81.287840314763002</v>
      </c>
      <c r="F46" s="464">
        <v>10346.04615281636</v>
      </c>
      <c r="G46" s="464">
        <f>+D46/'- 7 -'!E46</f>
        <v>10500.636741574162</v>
      </c>
      <c r="I46" s="462" t="str">
        <f t="shared" si="1"/>
        <v/>
      </c>
      <c r="J46" s="499">
        <f>+'- 15 -'!B46</f>
        <v>209618354</v>
      </c>
      <c r="K46" s="498">
        <f>+'- 15 -'!E46</f>
        <v>94875937</v>
      </c>
      <c r="L46" s="498">
        <f>+'- 16 -'!G46</f>
        <v>9465297</v>
      </c>
      <c r="M46" s="499">
        <f t="shared" si="0"/>
        <v>313959588</v>
      </c>
    </row>
    <row r="47" spans="1:13" ht="5.0999999999999996" customHeight="1" x14ac:dyDescent="0.2">
      <c r="B47" s="462"/>
      <c r="C47" s="462"/>
      <c r="D47" s="462"/>
      <c r="E47" s="462"/>
      <c r="F47" s="462"/>
      <c r="G47" s="462"/>
      <c r="I47" s="462" t="str">
        <f t="shared" si="1"/>
        <v/>
      </c>
      <c r="J47" s="499">
        <f>+'- 15 -'!B47</f>
        <v>0</v>
      </c>
      <c r="K47" s="498">
        <f>+'- 15 -'!E47</f>
        <v>0</v>
      </c>
      <c r="L47" s="498">
        <f>+'- 16 -'!G47</f>
        <v>0</v>
      </c>
      <c r="M47" s="499">
        <f t="shared" si="0"/>
        <v>0</v>
      </c>
    </row>
    <row r="48" spans="1:13" ht="14.1" customHeight="1" x14ac:dyDescent="0.2">
      <c r="A48" s="473" t="s">
        <v>145</v>
      </c>
      <c r="B48" s="474">
        <v>1779438741.51</v>
      </c>
      <c r="C48" s="475">
        <v>78.847679514964298</v>
      </c>
      <c r="D48" s="474">
        <f>SUM(D11:D46)</f>
        <v>1830169969</v>
      </c>
      <c r="E48" s="475">
        <f>+D48/'- 3 -'!F48*100</f>
        <v>78.878455301044156</v>
      </c>
      <c r="F48" s="474">
        <v>10108.300365690184</v>
      </c>
      <c r="G48" s="474">
        <f>+D48/'- 7 -'!E48</f>
        <v>10317.858779559148</v>
      </c>
      <c r="I48" s="462" t="str">
        <f t="shared" si="1"/>
        <v/>
      </c>
      <c r="J48" s="499">
        <f>+'- 15 -'!B48</f>
        <v>1312008320</v>
      </c>
      <c r="K48" s="498">
        <f>+'- 15 -'!E48</f>
        <v>438434818</v>
      </c>
      <c r="L48" s="498">
        <f>+'- 16 -'!G48</f>
        <v>79726831</v>
      </c>
      <c r="M48" s="499">
        <f t="shared" si="0"/>
        <v>1830169969</v>
      </c>
    </row>
    <row r="49" spans="1:7" ht="5.0999999999999996" customHeight="1" x14ac:dyDescent="0.2">
      <c r="B49" s="462"/>
      <c r="C49" s="462"/>
      <c r="D49" s="462"/>
      <c r="E49" s="462"/>
      <c r="F49" s="462"/>
      <c r="G49" s="462"/>
    </row>
    <row r="50" spans="1:7" ht="49.5" customHeight="1" x14ac:dyDescent="0.2">
      <c r="A50" s="466"/>
      <c r="B50" s="467"/>
      <c r="C50" s="467"/>
      <c r="D50" s="467"/>
      <c r="E50" s="467"/>
      <c r="F50" s="467"/>
      <c r="G50" s="467"/>
    </row>
    <row r="51" spans="1:7" ht="12" customHeight="1" x14ac:dyDescent="0.2">
      <c r="A51" s="847" t="s">
        <v>601</v>
      </c>
      <c r="B51" s="848"/>
      <c r="C51" s="848"/>
      <c r="D51" s="848"/>
      <c r="E51" s="848"/>
      <c r="F51" s="848"/>
      <c r="G51" s="848"/>
    </row>
    <row r="52" spans="1:7" x14ac:dyDescent="0.2">
      <c r="A52" s="849"/>
      <c r="B52" s="849"/>
      <c r="C52" s="849"/>
      <c r="D52" s="849"/>
      <c r="E52" s="849"/>
      <c r="F52" s="849"/>
      <c r="G52" s="849"/>
    </row>
    <row r="53" spans="1:7" ht="10.5" customHeight="1" x14ac:dyDescent="0.2">
      <c r="A53" s="468" t="s">
        <v>378</v>
      </c>
      <c r="B53" s="468"/>
      <c r="C53" s="468"/>
    </row>
    <row r="54" spans="1:7" ht="12" customHeight="1" x14ac:dyDescent="0.2">
      <c r="B54" s="468"/>
      <c r="C54" s="468"/>
    </row>
    <row r="55" spans="1:7" ht="12" customHeight="1" x14ac:dyDescent="0.2">
      <c r="A55" s="469"/>
      <c r="B55" s="468"/>
      <c r="C55" s="468"/>
    </row>
    <row r="56" spans="1:7" ht="12" customHeight="1" x14ac:dyDescent="0.2">
      <c r="A56" s="469"/>
      <c r="B56" s="468"/>
      <c r="C56" s="468"/>
    </row>
    <row r="57" spans="1:7" ht="14.45" customHeight="1" x14ac:dyDescent="0.2">
      <c r="A57" s="468"/>
    </row>
  </sheetData>
  <mergeCells count="3">
    <mergeCell ref="F6:G8"/>
    <mergeCell ref="B6:E8"/>
    <mergeCell ref="A51:G52"/>
  </mergeCells>
  <phoneticPr fontId="19" type="noConversion"/>
  <pageMargins left="0.51181102362204722" right="0.51181102362204722" top="0.59055118110236227" bottom="0.19685039370078741" header="0.31496062992125984" footer="0.51181102362204722"/>
  <pageSetup scale="95" orientation="portrait" r:id="rId1"/>
  <headerFooter alignWithMargins="0">
    <oddHeader>&amp;C&amp;"Arial,Regular"&amp;10&amp;A</oddHead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I58"/>
  <sheetViews>
    <sheetView showGridLines="0" showZeros="0" workbookViewId="0"/>
  </sheetViews>
  <sheetFormatPr defaultColWidth="12.83203125" defaultRowHeight="12" x14ac:dyDescent="0.2"/>
  <cols>
    <col min="1" max="1" width="30.83203125" style="2" customWidth="1"/>
    <col min="2" max="8" width="12.83203125" style="2" customWidth="1"/>
    <col min="9" max="16384" width="12.83203125" style="2"/>
  </cols>
  <sheetData>
    <row r="1" spans="1:9" ht="6.95" customHeight="1" x14ac:dyDescent="0.2">
      <c r="A1" s="7"/>
      <c r="B1" s="8"/>
      <c r="C1" s="8"/>
    </row>
    <row r="2" spans="1:9" ht="15.95" customHeight="1" x14ac:dyDescent="0.2">
      <c r="A2" s="245" t="s">
        <v>231</v>
      </c>
      <c r="B2" s="246"/>
      <c r="C2" s="246"/>
      <c r="D2" s="246"/>
      <c r="E2" s="246"/>
      <c r="F2" s="142"/>
      <c r="G2" s="142"/>
      <c r="H2" s="142"/>
      <c r="I2" s="142"/>
    </row>
    <row r="3" spans="1:9" ht="15.95" customHeight="1" x14ac:dyDescent="0.2">
      <c r="A3" s="544" t="str">
        <f>B9&amp;" AND "&amp;C9&amp;" ACTUAL"</f>
        <v>2016/17 AND 2017/18 ACTUAL</v>
      </c>
      <c r="B3" s="247"/>
      <c r="C3" s="248"/>
      <c r="D3" s="248"/>
      <c r="E3" s="248"/>
      <c r="F3" s="249"/>
      <c r="G3" s="249"/>
      <c r="H3" s="249"/>
      <c r="I3" s="249"/>
    </row>
    <row r="4" spans="1:9" ht="15.95" customHeight="1" x14ac:dyDescent="0.2">
      <c r="B4" s="31"/>
      <c r="C4" s="8"/>
    </row>
    <row r="5" spans="1:9" ht="15.95" customHeight="1" x14ac:dyDescent="0.2">
      <c r="B5" s="227"/>
      <c r="C5" s="8"/>
    </row>
    <row r="6" spans="1:9" ht="15.95" customHeight="1" x14ac:dyDescent="0.2">
      <c r="B6" s="859" t="s">
        <v>605</v>
      </c>
      <c r="C6" s="860"/>
      <c r="D6" s="571"/>
      <c r="E6" s="377"/>
      <c r="F6" s="854" t="s">
        <v>603</v>
      </c>
      <c r="G6" s="855"/>
      <c r="H6" s="380"/>
      <c r="I6" s="381"/>
    </row>
    <row r="7" spans="1:9" ht="15.95" customHeight="1" x14ac:dyDescent="0.2">
      <c r="B7" s="861"/>
      <c r="C7" s="862"/>
      <c r="D7" s="857" t="s">
        <v>604</v>
      </c>
      <c r="E7" s="851"/>
      <c r="F7" s="856"/>
      <c r="G7" s="851"/>
      <c r="H7" s="850" t="s">
        <v>602</v>
      </c>
      <c r="I7" s="851"/>
    </row>
    <row r="8" spans="1:9" ht="15.95" customHeight="1" x14ac:dyDescent="0.2">
      <c r="A8" s="403"/>
      <c r="B8" s="863"/>
      <c r="C8" s="864"/>
      <c r="D8" s="858"/>
      <c r="E8" s="853"/>
      <c r="F8" s="852"/>
      <c r="G8" s="853"/>
      <c r="H8" s="852"/>
      <c r="I8" s="853"/>
    </row>
    <row r="9" spans="1:9" ht="15.95" customHeight="1" x14ac:dyDescent="0.2">
      <c r="A9" s="35" t="s">
        <v>42</v>
      </c>
      <c r="B9" s="572" t="str">
        <f>PrevY</f>
        <v>2016/17</v>
      </c>
      <c r="C9" s="573" t="str">
        <f>+CurrY</f>
        <v>2017/18</v>
      </c>
      <c r="D9" s="490" t="str">
        <f>+B9</f>
        <v>2016/17</v>
      </c>
      <c r="E9" s="491" t="s">
        <v>640</v>
      </c>
      <c r="F9" s="491">
        <v>2016</v>
      </c>
      <c r="G9" s="491" t="s">
        <v>641</v>
      </c>
      <c r="H9" s="491">
        <f>+F9</f>
        <v>2016</v>
      </c>
      <c r="I9" s="491" t="s">
        <v>642</v>
      </c>
    </row>
    <row r="10" spans="1:9" ht="5.0999999999999996" customHeight="1" x14ac:dyDescent="0.2">
      <c r="A10" s="6"/>
      <c r="C10" s="250"/>
    </row>
    <row r="11" spans="1:9" ht="14.1" customHeight="1" x14ac:dyDescent="0.2">
      <c r="A11" s="352" t="s">
        <v>110</v>
      </c>
      <c r="B11" s="352">
        <v>10813</v>
      </c>
      <c r="C11" s="352">
        <f>'- 4 -'!E11</f>
        <v>10991</v>
      </c>
      <c r="D11" s="353">
        <v>13.934038188417233</v>
      </c>
      <c r="E11" s="353">
        <f>'- 9 -'!C11</f>
        <v>13.967686810626068</v>
      </c>
      <c r="F11" s="352">
        <v>426198</v>
      </c>
      <c r="G11" s="352">
        <f>'- 55 -'!F11</f>
        <v>412611</v>
      </c>
      <c r="H11" s="353">
        <v>11.451137547056465</v>
      </c>
      <c r="I11" s="353">
        <f>'- 53 -'!G11</f>
        <v>11.888023994984442</v>
      </c>
    </row>
    <row r="12" spans="1:9" ht="14.1" customHeight="1" x14ac:dyDescent="0.2">
      <c r="A12" s="151" t="s">
        <v>111</v>
      </c>
      <c r="B12" s="151">
        <v>15475</v>
      </c>
      <c r="C12" s="151">
        <f>'- 4 -'!E12</f>
        <v>16148</v>
      </c>
      <c r="D12" s="238">
        <v>11.076243729096992</v>
      </c>
      <c r="E12" s="238">
        <f>'- 9 -'!C12</f>
        <v>11.63686680803638</v>
      </c>
      <c r="F12" s="151">
        <v>431678</v>
      </c>
      <c r="G12" s="151">
        <f>'- 55 -'!F12</f>
        <v>440677</v>
      </c>
      <c r="H12" s="238">
        <v>14.963803228821055</v>
      </c>
      <c r="I12" s="238">
        <f>'- 53 -'!G12</f>
        <v>16.89729453848889</v>
      </c>
    </row>
    <row r="13" spans="1:9" ht="14.1" customHeight="1" x14ac:dyDescent="0.2">
      <c r="A13" s="352" t="s">
        <v>112</v>
      </c>
      <c r="B13" s="352">
        <v>11419</v>
      </c>
      <c r="C13" s="352">
        <f>'- 4 -'!E13</f>
        <v>11698</v>
      </c>
      <c r="D13" s="353">
        <v>12.829214481606888</v>
      </c>
      <c r="E13" s="353">
        <f>'- 9 -'!C13</f>
        <v>12.733149975732081</v>
      </c>
      <c r="F13" s="352">
        <v>367136</v>
      </c>
      <c r="G13" s="352">
        <f>'- 55 -'!F13</f>
        <v>368527</v>
      </c>
      <c r="H13" s="353">
        <v>14.496671226684288</v>
      </c>
      <c r="I13" s="353">
        <f>'- 53 -'!G13</f>
        <v>14.909560390442531</v>
      </c>
    </row>
    <row r="14" spans="1:9" ht="14.1" customHeight="1" x14ac:dyDescent="0.2">
      <c r="A14" s="151" t="s">
        <v>359</v>
      </c>
      <c r="B14" s="151">
        <v>14835</v>
      </c>
      <c r="C14" s="151">
        <f>'- 4 -'!E14</f>
        <v>15441</v>
      </c>
      <c r="D14" s="238">
        <v>11.864673042800884</v>
      </c>
      <c r="E14" s="238">
        <f>'- 9 -'!C14</f>
        <v>11.926031475967672</v>
      </c>
      <c r="F14" s="151">
        <v>447781</v>
      </c>
      <c r="G14" s="151">
        <f>'- 55 -'!F14</f>
        <v>448183</v>
      </c>
      <c r="H14" s="238">
        <v>0</v>
      </c>
      <c r="I14" s="238">
        <f>'- 53 -'!G14</f>
        <v>0</v>
      </c>
    </row>
    <row r="15" spans="1:9" ht="14.1" customHeight="1" x14ac:dyDescent="0.2">
      <c r="A15" s="352" t="s">
        <v>113</v>
      </c>
      <c r="B15" s="352">
        <v>13908</v>
      </c>
      <c r="C15" s="352">
        <f>'- 4 -'!E15</f>
        <v>14444</v>
      </c>
      <c r="D15" s="353">
        <v>12.257555847568989</v>
      </c>
      <c r="E15" s="353">
        <f>'- 9 -'!C15</f>
        <v>12.681985294117647</v>
      </c>
      <c r="F15" s="352">
        <v>655610</v>
      </c>
      <c r="G15" s="352">
        <f>'- 55 -'!F15</f>
        <v>678168</v>
      </c>
      <c r="H15" s="353">
        <v>10.697684987662338</v>
      </c>
      <c r="I15" s="353">
        <f>'- 53 -'!G15</f>
        <v>10.944426401436637</v>
      </c>
    </row>
    <row r="16" spans="1:9" ht="14.1" customHeight="1" x14ac:dyDescent="0.2">
      <c r="A16" s="151" t="s">
        <v>114</v>
      </c>
      <c r="B16" s="151">
        <v>15926</v>
      </c>
      <c r="C16" s="151">
        <f>'- 4 -'!E16</f>
        <v>15728</v>
      </c>
      <c r="D16" s="238">
        <v>11.447751741608611</v>
      </c>
      <c r="E16" s="238">
        <f>'- 9 -'!C16</f>
        <v>11.305263157894737</v>
      </c>
      <c r="F16" s="151">
        <v>200703</v>
      </c>
      <c r="G16" s="151">
        <f>'- 55 -'!F16</f>
        <v>207103</v>
      </c>
      <c r="H16" s="238">
        <v>19.707525662850252</v>
      </c>
      <c r="I16" s="238">
        <f>'- 53 -'!G16</f>
        <v>20.706451376073211</v>
      </c>
    </row>
    <row r="17" spans="1:9" ht="14.1" customHeight="1" x14ac:dyDescent="0.2">
      <c r="A17" s="352" t="s">
        <v>115</v>
      </c>
      <c r="B17" s="352">
        <v>12564</v>
      </c>
      <c r="C17" s="352">
        <f>'- 4 -'!E17</f>
        <v>12937</v>
      </c>
      <c r="D17" s="353">
        <v>12.431062088596335</v>
      </c>
      <c r="E17" s="353">
        <f>'- 9 -'!C17</f>
        <v>12.54860941771372</v>
      </c>
      <c r="F17" s="352">
        <v>865949</v>
      </c>
      <c r="G17" s="352">
        <f>'- 55 -'!F17</f>
        <v>868924</v>
      </c>
      <c r="H17" s="353">
        <v>7.7675100411131464</v>
      </c>
      <c r="I17" s="353">
        <f>'- 53 -'!G17</f>
        <v>7.8996980158645282</v>
      </c>
    </row>
    <row r="18" spans="1:9" ht="14.1" customHeight="1" x14ac:dyDescent="0.2">
      <c r="A18" s="151" t="s">
        <v>116</v>
      </c>
      <c r="B18" s="151">
        <v>20305</v>
      </c>
      <c r="C18" s="151">
        <f>'- 4 -'!E18</f>
        <v>21056</v>
      </c>
      <c r="D18" s="238">
        <v>11.796961192296523</v>
      </c>
      <c r="E18" s="238">
        <f>'- 9 -'!C18</f>
        <v>12.190295147573787</v>
      </c>
      <c r="F18" s="151">
        <v>101055</v>
      </c>
      <c r="G18" s="151">
        <f>'- 55 -'!F18</f>
        <v>105285</v>
      </c>
      <c r="H18" s="238">
        <v>13.501126808906184</v>
      </c>
      <c r="I18" s="238">
        <f>'- 53 -'!G18</f>
        <v>13.499995315651919</v>
      </c>
    </row>
    <row r="19" spans="1:9" ht="14.1" customHeight="1" x14ac:dyDescent="0.2">
      <c r="A19" s="352" t="s">
        <v>117</v>
      </c>
      <c r="B19" s="352">
        <v>10520</v>
      </c>
      <c r="C19" s="352">
        <f>'- 4 -'!E19</f>
        <v>11090</v>
      </c>
      <c r="D19" s="353">
        <v>14.979314117687283</v>
      </c>
      <c r="E19" s="353">
        <f>'- 9 -'!C19</f>
        <v>14.794447410571276</v>
      </c>
      <c r="F19" s="352">
        <v>269173</v>
      </c>
      <c r="G19" s="352">
        <f>'- 55 -'!F19</f>
        <v>272222</v>
      </c>
      <c r="H19" s="353">
        <v>15.986978437482181</v>
      </c>
      <c r="I19" s="353">
        <f>'- 53 -'!G19</f>
        <v>15.990820281699635</v>
      </c>
    </row>
    <row r="20" spans="1:9" ht="14.1" customHeight="1" x14ac:dyDescent="0.2">
      <c r="A20" s="151" t="s">
        <v>118</v>
      </c>
      <c r="B20" s="151">
        <v>10750</v>
      </c>
      <c r="C20" s="151">
        <f>'- 4 -'!E20</f>
        <v>10859</v>
      </c>
      <c r="D20" s="238">
        <v>14.447082864251724</v>
      </c>
      <c r="E20" s="238">
        <f>'- 9 -'!C20</f>
        <v>14.324051098244645</v>
      </c>
      <c r="F20" s="151">
        <v>263343</v>
      </c>
      <c r="G20" s="151">
        <f>'- 55 -'!F20</f>
        <v>266510</v>
      </c>
      <c r="H20" s="238">
        <v>14.943420292054606</v>
      </c>
      <c r="I20" s="238">
        <f>'- 53 -'!G20</f>
        <v>15.294547408361383</v>
      </c>
    </row>
    <row r="21" spans="1:9" ht="14.1" customHeight="1" x14ac:dyDescent="0.2">
      <c r="A21" s="352" t="s">
        <v>119</v>
      </c>
      <c r="B21" s="352">
        <v>13034</v>
      </c>
      <c r="C21" s="352">
        <f>'- 4 -'!E21</f>
        <v>13147</v>
      </c>
      <c r="D21" s="353">
        <v>11.764630169898746</v>
      </c>
      <c r="E21" s="353">
        <f>'- 9 -'!C21</f>
        <v>11.96593694894843</v>
      </c>
      <c r="F21" s="352">
        <v>468821</v>
      </c>
      <c r="G21" s="352">
        <f>'- 55 -'!F21</f>
        <v>467949</v>
      </c>
      <c r="H21" s="353">
        <v>13.156761198914246</v>
      </c>
      <c r="I21" s="353">
        <f>'- 53 -'!G21</f>
        <v>13.732616919080982</v>
      </c>
    </row>
    <row r="22" spans="1:9" ht="14.1" customHeight="1" x14ac:dyDescent="0.2">
      <c r="A22" s="151" t="s">
        <v>120</v>
      </c>
      <c r="B22" s="151">
        <v>12727</v>
      </c>
      <c r="C22" s="151">
        <f>'- 4 -'!E22</f>
        <v>13372</v>
      </c>
      <c r="D22" s="238">
        <v>12.851961197806832</v>
      </c>
      <c r="E22" s="238">
        <f>'- 9 -'!C22</f>
        <v>12.570707070707071</v>
      </c>
      <c r="F22" s="151">
        <v>171241</v>
      </c>
      <c r="G22" s="151">
        <f>'- 55 -'!F22</f>
        <v>172842</v>
      </c>
      <c r="H22" s="238">
        <v>17.338417914110664</v>
      </c>
      <c r="I22" s="238">
        <f>'- 53 -'!G22</f>
        <v>17.321164680864037</v>
      </c>
    </row>
    <row r="23" spans="1:9" ht="14.1" customHeight="1" x14ac:dyDescent="0.2">
      <c r="A23" s="352" t="s">
        <v>121</v>
      </c>
      <c r="B23" s="352">
        <v>14927</v>
      </c>
      <c r="C23" s="352">
        <f>'- 4 -'!E23</f>
        <v>15349</v>
      </c>
      <c r="D23" s="353">
        <v>11.818663838812302</v>
      </c>
      <c r="E23" s="353">
        <f>'- 9 -'!C23</f>
        <v>11.245954692556634</v>
      </c>
      <c r="F23" s="352">
        <v>280115</v>
      </c>
      <c r="G23" s="352">
        <f>'- 55 -'!F23</f>
        <v>289162</v>
      </c>
      <c r="H23" s="353">
        <v>16.116129461525475</v>
      </c>
      <c r="I23" s="353">
        <f>'- 53 -'!G23</f>
        <v>16.195092096437396</v>
      </c>
    </row>
    <row r="24" spans="1:9" ht="14.1" customHeight="1" x14ac:dyDescent="0.2">
      <c r="A24" s="151" t="s">
        <v>122</v>
      </c>
      <c r="B24" s="151">
        <v>14299</v>
      </c>
      <c r="C24" s="151">
        <f>'- 4 -'!E24</f>
        <v>14655</v>
      </c>
      <c r="D24" s="238">
        <v>11.61264705882353</v>
      </c>
      <c r="E24" s="238">
        <f>'- 9 -'!C24</f>
        <v>11.806128640776699</v>
      </c>
      <c r="F24" s="151">
        <v>506891</v>
      </c>
      <c r="G24" s="151">
        <f>'- 55 -'!F24</f>
        <v>524987</v>
      </c>
      <c r="H24" s="238">
        <v>13.819839248448121</v>
      </c>
      <c r="I24" s="238">
        <f>'- 53 -'!G24</f>
        <v>14.306008715611425</v>
      </c>
    </row>
    <row r="25" spans="1:9" ht="14.1" customHeight="1" x14ac:dyDescent="0.2">
      <c r="A25" s="352" t="s">
        <v>123</v>
      </c>
      <c r="B25" s="352">
        <v>12178</v>
      </c>
      <c r="C25" s="352">
        <f>'- 4 -'!E25</f>
        <v>12523</v>
      </c>
      <c r="D25" s="353">
        <v>13.790353611143177</v>
      </c>
      <c r="E25" s="353">
        <f>'- 9 -'!C25</f>
        <v>13.730122970055383</v>
      </c>
      <c r="F25" s="352">
        <v>484170</v>
      </c>
      <c r="G25" s="352">
        <f>'- 55 -'!F25</f>
        <v>481407</v>
      </c>
      <c r="H25" s="353">
        <v>12.679022158127459</v>
      </c>
      <c r="I25" s="353">
        <f>'- 53 -'!G25</f>
        <v>13.260228145370151</v>
      </c>
    </row>
    <row r="26" spans="1:9" ht="14.1" customHeight="1" x14ac:dyDescent="0.2">
      <c r="A26" s="151" t="s">
        <v>124</v>
      </c>
      <c r="B26" s="151">
        <v>13378</v>
      </c>
      <c r="C26" s="151">
        <f>'- 4 -'!E26</f>
        <v>13773</v>
      </c>
      <c r="D26" s="238">
        <v>12.940927376667373</v>
      </c>
      <c r="E26" s="238">
        <f>'- 9 -'!C26</f>
        <v>12.565912570164993</v>
      </c>
      <c r="F26" s="151">
        <v>350850</v>
      </c>
      <c r="G26" s="151">
        <f>'- 55 -'!F26</f>
        <v>357556</v>
      </c>
      <c r="H26" s="238">
        <v>14.996851936873073</v>
      </c>
      <c r="I26" s="238">
        <f>'- 53 -'!G26</f>
        <v>15.651645161689501</v>
      </c>
    </row>
    <row r="27" spans="1:9" ht="14.1" customHeight="1" x14ac:dyDescent="0.2">
      <c r="A27" s="352" t="s">
        <v>125</v>
      </c>
      <c r="B27" s="352">
        <v>13871</v>
      </c>
      <c r="C27" s="352">
        <f>'- 4 -'!E27</f>
        <v>13509</v>
      </c>
      <c r="D27" s="353">
        <v>11.829393831413075</v>
      </c>
      <c r="E27" s="353">
        <f>'- 9 -'!C27</f>
        <v>12.193345938769763</v>
      </c>
      <c r="F27" s="352">
        <v>184869</v>
      </c>
      <c r="G27" s="352">
        <f>'- 55 -'!F27</f>
        <v>187707</v>
      </c>
      <c r="H27" s="353">
        <v>18.528571178179497</v>
      </c>
      <c r="I27" s="353">
        <f>'- 53 -'!G27</f>
        <v>18.577838958886439</v>
      </c>
    </row>
    <row r="28" spans="1:9" ht="14.1" customHeight="1" x14ac:dyDescent="0.2">
      <c r="A28" s="151" t="s">
        <v>126</v>
      </c>
      <c r="B28" s="151">
        <v>14268</v>
      </c>
      <c r="C28" s="151">
        <f>'- 4 -'!E28</f>
        <v>14714</v>
      </c>
      <c r="D28" s="238">
        <v>11.169910094457723</v>
      </c>
      <c r="E28" s="238">
        <f>'- 9 -'!C28</f>
        <v>11.161366043569119</v>
      </c>
      <c r="F28" s="151">
        <v>532498</v>
      </c>
      <c r="G28" s="151">
        <f>'- 55 -'!F28</f>
        <v>540078</v>
      </c>
      <c r="H28" s="238">
        <v>10.63448002179722</v>
      </c>
      <c r="I28" s="238">
        <f>'- 53 -'!G28</f>
        <v>11.28979402252317</v>
      </c>
    </row>
    <row r="29" spans="1:9" ht="14.1" customHeight="1" x14ac:dyDescent="0.2">
      <c r="A29" s="352" t="s">
        <v>127</v>
      </c>
      <c r="B29" s="352">
        <v>12106</v>
      </c>
      <c r="C29" s="352">
        <f>'- 4 -'!E29</f>
        <v>12089</v>
      </c>
      <c r="D29" s="353">
        <v>14.160740379931807</v>
      </c>
      <c r="E29" s="353">
        <f>'- 9 -'!C29</f>
        <v>14.085631349782291</v>
      </c>
      <c r="F29" s="352">
        <v>609410</v>
      </c>
      <c r="G29" s="352">
        <f>'- 55 -'!F29</f>
        <v>602030</v>
      </c>
      <c r="H29" s="353">
        <v>12.001809868751904</v>
      </c>
      <c r="I29" s="353">
        <f>'- 53 -'!G29</f>
        <v>12.482952404756249</v>
      </c>
    </row>
    <row r="30" spans="1:9" ht="14.1" customHeight="1" x14ac:dyDescent="0.2">
      <c r="A30" s="151" t="s">
        <v>128</v>
      </c>
      <c r="B30" s="151">
        <v>14103</v>
      </c>
      <c r="C30" s="151">
        <f>'- 4 -'!E30</f>
        <v>14577</v>
      </c>
      <c r="D30" s="238">
        <v>10.951310978712742</v>
      </c>
      <c r="E30" s="238">
        <f>'- 9 -'!C30</f>
        <v>11.389799841682686</v>
      </c>
      <c r="F30" s="151">
        <v>450654</v>
      </c>
      <c r="G30" s="151">
        <f>'- 55 -'!F30</f>
        <v>473896</v>
      </c>
      <c r="H30" s="238">
        <v>13.831392067473258</v>
      </c>
      <c r="I30" s="238">
        <f>'- 53 -'!G30</f>
        <v>14.806834922234753</v>
      </c>
    </row>
    <row r="31" spans="1:9" ht="14.1" customHeight="1" x14ac:dyDescent="0.2">
      <c r="A31" s="352" t="s">
        <v>129</v>
      </c>
      <c r="B31" s="352">
        <v>11517</v>
      </c>
      <c r="C31" s="352">
        <f>'- 4 -'!E31</f>
        <v>11471</v>
      </c>
      <c r="D31" s="353">
        <v>12.920522699289034</v>
      </c>
      <c r="E31" s="353">
        <f>'- 9 -'!C31</f>
        <v>13.37103158575006</v>
      </c>
      <c r="F31" s="352">
        <v>401369</v>
      </c>
      <c r="G31" s="352">
        <f>'- 55 -'!F31</f>
        <v>407771</v>
      </c>
      <c r="H31" s="353">
        <v>13.22893093788228</v>
      </c>
      <c r="I31" s="353">
        <f>'- 53 -'!G31</f>
        <v>13.894999987753902</v>
      </c>
    </row>
    <row r="32" spans="1:9" ht="14.1" customHeight="1" x14ac:dyDescent="0.2">
      <c r="A32" s="151" t="s">
        <v>130</v>
      </c>
      <c r="B32" s="151">
        <v>13463</v>
      </c>
      <c r="C32" s="151">
        <f>'- 4 -'!E32</f>
        <v>14214</v>
      </c>
      <c r="D32" s="238">
        <v>11.678056188306755</v>
      </c>
      <c r="E32" s="238">
        <f>'- 9 -'!C32</f>
        <v>11.829789536330681</v>
      </c>
      <c r="F32" s="151">
        <v>574923</v>
      </c>
      <c r="G32" s="151">
        <f>'- 55 -'!F32</f>
        <v>574746</v>
      </c>
      <c r="H32" s="238">
        <v>11.56324914800193</v>
      </c>
      <c r="I32" s="238">
        <f>'- 53 -'!G32</f>
        <v>12.374335186899202</v>
      </c>
    </row>
    <row r="33" spans="1:9" ht="14.1" customHeight="1" x14ac:dyDescent="0.2">
      <c r="A33" s="352" t="s">
        <v>131</v>
      </c>
      <c r="B33" s="352">
        <v>13753</v>
      </c>
      <c r="C33" s="352">
        <f>'- 4 -'!E33</f>
        <v>13518</v>
      </c>
      <c r="D33" s="353">
        <v>12.474519735622954</v>
      </c>
      <c r="E33" s="353">
        <f>'- 9 -'!C33</f>
        <v>12.801613494682801</v>
      </c>
      <c r="F33" s="352">
        <v>582797</v>
      </c>
      <c r="G33" s="352">
        <f>'- 55 -'!F33</f>
        <v>591795</v>
      </c>
      <c r="H33" s="353">
        <v>10.569852746667964</v>
      </c>
      <c r="I33" s="353">
        <f>'- 53 -'!G33</f>
        <v>10.83516010129939</v>
      </c>
    </row>
    <row r="34" spans="1:9" ht="14.1" customHeight="1" x14ac:dyDescent="0.2">
      <c r="A34" s="151" t="s">
        <v>132</v>
      </c>
      <c r="B34" s="151">
        <v>14262</v>
      </c>
      <c r="C34" s="151">
        <f>'- 4 -'!E34</f>
        <v>14634</v>
      </c>
      <c r="D34" s="238">
        <v>12.164634146341465</v>
      </c>
      <c r="E34" s="238">
        <f>'- 9 -'!C34</f>
        <v>12.204749156093587</v>
      </c>
      <c r="F34" s="151">
        <v>610264</v>
      </c>
      <c r="G34" s="151">
        <f>'- 55 -'!F34</f>
        <v>617094</v>
      </c>
      <c r="H34" s="238">
        <v>12.966003036364162</v>
      </c>
      <c r="I34" s="238">
        <f>'- 53 -'!G34</f>
        <v>14.065536861120943</v>
      </c>
    </row>
    <row r="35" spans="1:9" ht="14.1" customHeight="1" x14ac:dyDescent="0.2">
      <c r="A35" s="352" t="s">
        <v>133</v>
      </c>
      <c r="B35" s="352">
        <v>11616</v>
      </c>
      <c r="C35" s="352">
        <f>'- 4 -'!E35</f>
        <v>11685</v>
      </c>
      <c r="D35" s="353">
        <v>13.579967633598411</v>
      </c>
      <c r="E35" s="353">
        <f>'- 9 -'!C35</f>
        <v>13.707000864304234</v>
      </c>
      <c r="F35" s="352">
        <v>425693</v>
      </c>
      <c r="G35" s="352">
        <f>'- 55 -'!F35</f>
        <v>419815</v>
      </c>
      <c r="H35" s="353">
        <v>12.851057459864924</v>
      </c>
      <c r="I35" s="353">
        <f>'- 53 -'!G35</f>
        <v>13.359953121750669</v>
      </c>
    </row>
    <row r="36" spans="1:9" ht="14.1" customHeight="1" x14ac:dyDescent="0.2">
      <c r="A36" s="151" t="s">
        <v>134</v>
      </c>
      <c r="B36" s="151">
        <v>13950</v>
      </c>
      <c r="C36" s="151">
        <f>'- 4 -'!E36</f>
        <v>13910</v>
      </c>
      <c r="D36" s="238">
        <v>12.053635969350877</v>
      </c>
      <c r="E36" s="238">
        <f>'- 9 -'!C36</f>
        <v>12.188581314878896</v>
      </c>
      <c r="F36" s="151">
        <v>597054</v>
      </c>
      <c r="G36" s="151">
        <f>'- 55 -'!F36</f>
        <v>589649</v>
      </c>
      <c r="H36" s="238">
        <v>11.298269102446946</v>
      </c>
      <c r="I36" s="238">
        <f>'- 53 -'!G36</f>
        <v>11.969495353960687</v>
      </c>
    </row>
    <row r="37" spans="1:9" ht="14.1" customHeight="1" x14ac:dyDescent="0.2">
      <c r="A37" s="352" t="s">
        <v>135</v>
      </c>
      <c r="B37" s="352">
        <v>11817</v>
      </c>
      <c r="C37" s="352">
        <f>'- 4 -'!E37</f>
        <v>12304</v>
      </c>
      <c r="D37" s="353">
        <v>13.794354306819681</v>
      </c>
      <c r="E37" s="353">
        <f>'- 9 -'!C37</f>
        <v>13.638728135769556</v>
      </c>
      <c r="F37" s="352">
        <v>313398</v>
      </c>
      <c r="G37" s="352">
        <f>'- 55 -'!F37</f>
        <v>317664</v>
      </c>
      <c r="H37" s="353">
        <v>14.036827695365218</v>
      </c>
      <c r="I37" s="353">
        <f>'- 53 -'!G37</f>
        <v>14.453544902793038</v>
      </c>
    </row>
    <row r="38" spans="1:9" ht="14.1" customHeight="1" x14ac:dyDescent="0.2">
      <c r="A38" s="151" t="s">
        <v>136</v>
      </c>
      <c r="B38" s="151">
        <v>12074</v>
      </c>
      <c r="C38" s="151">
        <f>'- 4 -'!E38</f>
        <v>12441</v>
      </c>
      <c r="D38" s="238">
        <v>13.636397464680419</v>
      </c>
      <c r="E38" s="238">
        <f>'- 9 -'!C38</f>
        <v>13.611903590752584</v>
      </c>
      <c r="F38" s="151">
        <v>323900</v>
      </c>
      <c r="G38" s="151">
        <f>'- 55 -'!F38</f>
        <v>319411</v>
      </c>
      <c r="H38" s="238">
        <v>15.238621334558534</v>
      </c>
      <c r="I38" s="238">
        <f>'- 53 -'!G38</f>
        <v>16.163825222442334</v>
      </c>
    </row>
    <row r="39" spans="1:9" ht="14.1" customHeight="1" x14ac:dyDescent="0.2">
      <c r="A39" s="352" t="s">
        <v>137</v>
      </c>
      <c r="B39" s="352">
        <v>14198</v>
      </c>
      <c r="C39" s="352">
        <f>'- 4 -'!E39</f>
        <v>14693</v>
      </c>
      <c r="D39" s="353">
        <v>11.493372155390393</v>
      </c>
      <c r="E39" s="353">
        <f>'- 9 -'!C39</f>
        <v>11.633092418883594</v>
      </c>
      <c r="F39" s="352">
        <v>794896</v>
      </c>
      <c r="G39" s="352">
        <f>'- 55 -'!F39</f>
        <v>789792</v>
      </c>
      <c r="H39" s="353">
        <v>10.001962097911349</v>
      </c>
      <c r="I39" s="353">
        <f>'- 53 -'!G39</f>
        <v>10.552386038590681</v>
      </c>
    </row>
    <row r="40" spans="1:9" ht="14.1" customHeight="1" x14ac:dyDescent="0.2">
      <c r="A40" s="151" t="s">
        <v>138</v>
      </c>
      <c r="B40" s="151">
        <v>12511</v>
      </c>
      <c r="C40" s="151">
        <f>'- 4 -'!E40</f>
        <v>12921</v>
      </c>
      <c r="D40" s="238">
        <v>13.505771557503024</v>
      </c>
      <c r="E40" s="238">
        <f>'- 9 -'!C40</f>
        <v>13.292824547342942</v>
      </c>
      <c r="F40" s="151">
        <v>589299</v>
      </c>
      <c r="G40" s="151">
        <f>'- 55 -'!F40</f>
        <v>573170</v>
      </c>
      <c r="H40" s="238">
        <v>12.243473305972472</v>
      </c>
      <c r="I40" s="238">
        <f>'- 53 -'!G40</f>
        <v>13.098715885464619</v>
      </c>
    </row>
    <row r="41" spans="1:9" ht="14.1" customHeight="1" x14ac:dyDescent="0.2">
      <c r="A41" s="352" t="s">
        <v>139</v>
      </c>
      <c r="B41" s="352">
        <v>13765</v>
      </c>
      <c r="C41" s="352">
        <f>'- 4 -'!E41</f>
        <v>14298</v>
      </c>
      <c r="D41" s="353">
        <v>12.079709555934867</v>
      </c>
      <c r="E41" s="353">
        <f>'- 9 -'!C41</f>
        <v>12.315086708404896</v>
      </c>
      <c r="F41" s="352">
        <v>540810</v>
      </c>
      <c r="G41" s="352">
        <f>'- 55 -'!F41</f>
        <v>544768</v>
      </c>
      <c r="H41" s="353">
        <v>13.294637840180883</v>
      </c>
      <c r="I41" s="353">
        <f>'- 53 -'!G41</f>
        <v>13.718101059710044</v>
      </c>
    </row>
    <row r="42" spans="1:9" ht="14.1" customHeight="1" x14ac:dyDescent="0.2">
      <c r="A42" s="151" t="s">
        <v>140</v>
      </c>
      <c r="B42" s="151">
        <v>14558</v>
      </c>
      <c r="C42" s="151">
        <f>'- 4 -'!E42</f>
        <v>14734</v>
      </c>
      <c r="D42" s="238">
        <v>11.980533588250628</v>
      </c>
      <c r="E42" s="238">
        <f>'- 9 -'!C42</f>
        <v>12.465789706012183</v>
      </c>
      <c r="F42" s="151">
        <v>389698</v>
      </c>
      <c r="G42" s="151">
        <f>'- 55 -'!F42</f>
        <v>400267</v>
      </c>
      <c r="H42" s="238">
        <v>13.435665187773052</v>
      </c>
      <c r="I42" s="238">
        <f>'- 53 -'!G42</f>
        <v>14.03955062695027</v>
      </c>
    </row>
    <row r="43" spans="1:9" ht="14.1" customHeight="1" x14ac:dyDescent="0.2">
      <c r="A43" s="352" t="s">
        <v>141</v>
      </c>
      <c r="B43" s="352">
        <v>13521</v>
      </c>
      <c r="C43" s="352">
        <f>'- 4 -'!E43</f>
        <v>13639</v>
      </c>
      <c r="D43" s="353">
        <v>11.967182547081858</v>
      </c>
      <c r="E43" s="353">
        <f>'- 9 -'!C43</f>
        <v>12.639817381379423</v>
      </c>
      <c r="F43" s="352">
        <v>604941</v>
      </c>
      <c r="G43" s="352">
        <f>'- 55 -'!F43</f>
        <v>612522</v>
      </c>
      <c r="H43" s="353">
        <v>11.520951505411723</v>
      </c>
      <c r="I43" s="353">
        <f>'- 53 -'!G43</f>
        <v>12.025742958250314</v>
      </c>
    </row>
    <row r="44" spans="1:9" ht="14.1" customHeight="1" x14ac:dyDescent="0.2">
      <c r="A44" s="151" t="s">
        <v>142</v>
      </c>
      <c r="B44" s="151">
        <v>15537</v>
      </c>
      <c r="C44" s="151">
        <f>'- 4 -'!E44</f>
        <v>15766</v>
      </c>
      <c r="D44" s="238">
        <v>10.78538102643857</v>
      </c>
      <c r="E44" s="238">
        <f>'- 9 -'!C44</f>
        <v>10.611620795107035</v>
      </c>
      <c r="F44" s="151">
        <v>262413</v>
      </c>
      <c r="G44" s="151">
        <f>'- 55 -'!F44</f>
        <v>269085</v>
      </c>
      <c r="H44" s="238">
        <v>15.943048102976809</v>
      </c>
      <c r="I44" s="238">
        <f>'- 53 -'!G44</f>
        <v>16.431144694325873</v>
      </c>
    </row>
    <row r="45" spans="1:9" ht="14.1" customHeight="1" x14ac:dyDescent="0.2">
      <c r="A45" s="352" t="s">
        <v>143</v>
      </c>
      <c r="B45" s="352">
        <v>11167</v>
      </c>
      <c r="C45" s="352">
        <f>'- 4 -'!E45</f>
        <v>11295</v>
      </c>
      <c r="D45" s="353">
        <v>13.676948051948052</v>
      </c>
      <c r="E45" s="353">
        <f>'- 9 -'!C45</f>
        <v>13.405740884406519</v>
      </c>
      <c r="F45" s="352">
        <v>326648</v>
      </c>
      <c r="G45" s="352">
        <f>'- 55 -'!F45</f>
        <v>327895</v>
      </c>
      <c r="H45" s="353">
        <v>15.993254874992084</v>
      </c>
      <c r="I45" s="353">
        <f>'- 53 -'!G45</f>
        <v>16.605961149875736</v>
      </c>
    </row>
    <row r="46" spans="1:9" ht="14.1" customHeight="1" x14ac:dyDescent="0.2">
      <c r="A46" s="151" t="s">
        <v>144</v>
      </c>
      <c r="B46" s="151">
        <v>12729</v>
      </c>
      <c r="C46" s="151">
        <f>'- 4 -'!E46</f>
        <v>12918</v>
      </c>
      <c r="D46" s="238">
        <v>13.476309676837381</v>
      </c>
      <c r="E46" s="238">
        <f>'- 9 -'!C46</f>
        <v>13.570514333436213</v>
      </c>
      <c r="F46" s="151">
        <v>417464</v>
      </c>
      <c r="G46" s="151">
        <f>'- 55 -'!F46</f>
        <v>408977</v>
      </c>
      <c r="H46" s="238">
        <v>14.190948621361464</v>
      </c>
      <c r="I46" s="238">
        <f>'- 53 -'!G46</f>
        <v>15.031143382924444</v>
      </c>
    </row>
    <row r="47" spans="1:9" ht="5.0999999999999996" customHeight="1" x14ac:dyDescent="0.2">
      <c r="A47"/>
      <c r="B47"/>
      <c r="C47"/>
      <c r="D47" s="378"/>
      <c r="E47" s="378"/>
      <c r="F47"/>
      <c r="G47"/>
      <c r="H47" s="378"/>
      <c r="I47" s="378"/>
    </row>
    <row r="48" spans="1:9" ht="14.1" customHeight="1" x14ac:dyDescent="0.2">
      <c r="A48" s="355" t="s">
        <v>145</v>
      </c>
      <c r="B48" s="356">
        <v>12820</v>
      </c>
      <c r="C48" s="356">
        <f>'- 4 -'!E48</f>
        <v>13081</v>
      </c>
      <c r="D48" s="379">
        <v>13.08346128672618</v>
      </c>
      <c r="E48" s="379">
        <f>'- 9 -'!C48</f>
        <v>13.144760038233306</v>
      </c>
      <c r="F48" s="356">
        <v>435010.95248891297</v>
      </c>
      <c r="G48" s="356">
        <f>'- 55 -'!F48</f>
        <v>433460.34210356022</v>
      </c>
      <c r="H48" s="379">
        <v>13.20872414256054</v>
      </c>
      <c r="I48" s="379">
        <f>'- 53 -'!G48</f>
        <v>13.819810294287814</v>
      </c>
    </row>
    <row r="49" spans="1:9" ht="5.0999999999999996" customHeight="1" x14ac:dyDescent="0.2">
      <c r="A49" s="130"/>
      <c r="B49" s="152"/>
      <c r="C49" s="152"/>
      <c r="D49" s="240"/>
      <c r="E49" s="240"/>
      <c r="F49" s="152"/>
      <c r="G49" s="152"/>
      <c r="H49" s="240"/>
      <c r="I49" s="240"/>
    </row>
    <row r="50" spans="1:9" ht="14.1" customHeight="1" x14ac:dyDescent="0.2">
      <c r="A50" s="151" t="s">
        <v>146</v>
      </c>
      <c r="B50" s="151">
        <v>20093</v>
      </c>
      <c r="C50" s="151">
        <f>'- 4 -'!E50</f>
        <v>18972</v>
      </c>
      <c r="D50" s="238">
        <v>7.9365079365079358</v>
      </c>
      <c r="E50" s="238">
        <f>'- 9 -'!C50</f>
        <v>7.9883097905504137</v>
      </c>
      <c r="F50" s="151"/>
      <c r="G50" s="151"/>
      <c r="H50" s="238">
        <v>0</v>
      </c>
      <c r="I50" s="238">
        <f>'- 53 -'!G50</f>
        <v>0</v>
      </c>
    </row>
    <row r="51" spans="1:9" ht="14.1" customHeight="1" x14ac:dyDescent="0.2">
      <c r="A51" s="352" t="s">
        <v>607</v>
      </c>
      <c r="B51" s="352">
        <v>13426</v>
      </c>
      <c r="C51" s="352">
        <f>'- 4 -'!E51</f>
        <v>16738</v>
      </c>
      <c r="D51" s="353">
        <v>28.841463414634145</v>
      </c>
      <c r="E51" s="353">
        <f>'- 9 -'!C51</f>
        <v>24.727272727272727</v>
      </c>
      <c r="F51" s="352"/>
      <c r="G51" s="352"/>
      <c r="H51" s="353">
        <v>0</v>
      </c>
      <c r="I51" s="353">
        <f>'- 53 -'!G51</f>
        <v>0</v>
      </c>
    </row>
    <row r="52" spans="1:9" ht="50.1" customHeight="1" x14ac:dyDescent="0.2">
      <c r="A52" s="23"/>
      <c r="B52" s="23"/>
      <c r="C52" s="23"/>
      <c r="D52" s="23"/>
      <c r="E52" s="23"/>
      <c r="F52" s="23"/>
      <c r="G52" s="23"/>
      <c r="H52" s="23"/>
      <c r="I52" s="23"/>
    </row>
    <row r="53" spans="1:9" ht="15" customHeight="1" x14ac:dyDescent="0.2">
      <c r="A53" s="38" t="s">
        <v>335</v>
      </c>
      <c r="B53" s="38"/>
      <c r="C53" s="38"/>
    </row>
    <row r="54" spans="1:9" ht="12" customHeight="1" x14ac:dyDescent="0.2">
      <c r="A54" s="38" t="s">
        <v>336</v>
      </c>
      <c r="B54" s="38"/>
      <c r="C54" s="38"/>
    </row>
    <row r="55" spans="1:9" ht="12" customHeight="1" x14ac:dyDescent="0.2">
      <c r="A55" s="133" t="s">
        <v>417</v>
      </c>
      <c r="B55" s="38"/>
      <c r="C55" s="38"/>
    </row>
    <row r="56" spans="1:9" ht="12" customHeight="1" x14ac:dyDescent="0.2">
      <c r="A56" s="133" t="s">
        <v>418</v>
      </c>
      <c r="B56" s="38"/>
      <c r="C56" s="38"/>
    </row>
    <row r="57" spans="1:9" ht="12" customHeight="1" x14ac:dyDescent="0.2">
      <c r="A57" s="38"/>
      <c r="B57" s="38"/>
      <c r="C57" s="38"/>
    </row>
    <row r="58" spans="1:9" ht="12" customHeight="1" x14ac:dyDescent="0.2">
      <c r="B58" s="38"/>
      <c r="C58" s="38"/>
    </row>
  </sheetData>
  <mergeCells count="4">
    <mergeCell ref="H7:I8"/>
    <mergeCell ref="F6:G8"/>
    <mergeCell ref="D7:E8"/>
    <mergeCell ref="B6:C8"/>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H57"/>
  <sheetViews>
    <sheetView showGridLines="0" showZeros="0" workbookViewId="0"/>
  </sheetViews>
  <sheetFormatPr defaultColWidth="16.83203125" defaultRowHeight="12" x14ac:dyDescent="0.2"/>
  <cols>
    <col min="1" max="1" width="32.83203125" style="2" customWidth="1"/>
    <col min="2" max="6" width="16.83203125" style="2" customWidth="1"/>
    <col min="7" max="16384" width="16.83203125" style="2"/>
  </cols>
  <sheetData>
    <row r="1" spans="1:7" ht="6.95" customHeight="1" x14ac:dyDescent="0.2">
      <c r="A1" s="7"/>
      <c r="B1" s="8"/>
      <c r="C1" s="8"/>
      <c r="D1" s="8"/>
      <c r="E1" s="8"/>
      <c r="F1" s="8"/>
      <c r="G1" s="8"/>
    </row>
    <row r="2" spans="1:7" ht="15.95" customHeight="1" x14ac:dyDescent="0.2">
      <c r="A2" s="63"/>
      <c r="B2" s="72" t="s">
        <v>86</v>
      </c>
      <c r="C2" s="10"/>
      <c r="D2" s="10"/>
      <c r="E2" s="10"/>
      <c r="F2" s="73"/>
      <c r="G2" s="73"/>
    </row>
    <row r="3" spans="1:7" ht="15.95" customHeight="1" x14ac:dyDescent="0.2">
      <c r="A3" s="542"/>
      <c r="B3" s="74" t="s">
        <v>227</v>
      </c>
      <c r="C3" s="12"/>
      <c r="D3" s="12"/>
      <c r="E3" s="12"/>
      <c r="F3" s="75"/>
      <c r="G3" s="75"/>
    </row>
    <row r="4" spans="1:7" ht="15.95" customHeight="1" x14ac:dyDescent="0.2">
      <c r="B4" s="8"/>
      <c r="C4" s="8"/>
      <c r="D4" s="8"/>
      <c r="E4" s="8"/>
      <c r="F4" s="8"/>
      <c r="G4" s="8"/>
    </row>
    <row r="5" spans="1:7" ht="15.95" customHeight="1" x14ac:dyDescent="0.2"/>
    <row r="6" spans="1:7" ht="15.95" customHeight="1" x14ac:dyDescent="0.2">
      <c r="B6" s="528" t="s">
        <v>238</v>
      </c>
      <c r="C6" s="529"/>
      <c r="D6" s="530"/>
      <c r="E6" s="531" t="s">
        <v>239</v>
      </c>
      <c r="F6" s="531" t="s">
        <v>240</v>
      </c>
      <c r="G6" s="532" t="s">
        <v>240</v>
      </c>
    </row>
    <row r="7" spans="1:7" ht="15.95" customHeight="1" x14ac:dyDescent="0.2">
      <c r="B7" s="619" t="s">
        <v>635</v>
      </c>
      <c r="C7" s="620"/>
      <c r="D7" s="621"/>
      <c r="E7" s="394" t="s">
        <v>635</v>
      </c>
      <c r="F7" s="452" t="s">
        <v>632</v>
      </c>
      <c r="G7" s="452" t="s">
        <v>615</v>
      </c>
    </row>
    <row r="8" spans="1:7" ht="15.95" customHeight="1" x14ac:dyDescent="0.2">
      <c r="A8" s="403"/>
      <c r="B8" s="589" t="s">
        <v>456</v>
      </c>
      <c r="C8" s="612" t="s">
        <v>457</v>
      </c>
      <c r="D8" s="612" t="s">
        <v>458</v>
      </c>
      <c r="E8" s="613" t="s">
        <v>453</v>
      </c>
      <c r="F8" s="613" t="s">
        <v>458</v>
      </c>
      <c r="G8" s="617" t="s">
        <v>458</v>
      </c>
    </row>
    <row r="9" spans="1:7" ht="15.95" customHeight="1" x14ac:dyDescent="0.2">
      <c r="A9" s="404" t="s">
        <v>42</v>
      </c>
      <c r="B9" s="622"/>
      <c r="C9" s="623"/>
      <c r="D9" s="623"/>
      <c r="E9" s="616"/>
      <c r="F9" s="616"/>
      <c r="G9" s="618"/>
    </row>
    <row r="10" spans="1:7" ht="5.0999999999999996" customHeight="1" x14ac:dyDescent="0.2">
      <c r="A10" s="6"/>
    </row>
    <row r="11" spans="1:7" ht="14.1" customHeight="1" x14ac:dyDescent="0.2">
      <c r="A11" s="284" t="s">
        <v>110</v>
      </c>
      <c r="B11" s="285">
        <v>1864</v>
      </c>
      <c r="C11" s="285">
        <v>0</v>
      </c>
      <c r="D11" s="285">
        <f>+B11-C11</f>
        <v>1864</v>
      </c>
      <c r="E11" s="291">
        <f>'- 7 -'!E11</f>
        <v>1798.2</v>
      </c>
      <c r="F11" s="291">
        <v>1756</v>
      </c>
      <c r="G11" s="291">
        <v>1685.9</v>
      </c>
    </row>
    <row r="12" spans="1:7" ht="14.1" customHeight="1" x14ac:dyDescent="0.2">
      <c r="A12" s="19" t="s">
        <v>111</v>
      </c>
      <c r="B12" s="20">
        <v>2162</v>
      </c>
      <c r="C12" s="20">
        <v>0</v>
      </c>
      <c r="D12" s="20">
        <f t="shared" ref="D12:D46" si="0">+B12-C12</f>
        <v>2162</v>
      </c>
      <c r="E12" s="70">
        <f>'- 7 -'!E12</f>
        <v>2070.5</v>
      </c>
      <c r="F12" s="70">
        <v>1984.8</v>
      </c>
      <c r="G12" s="70">
        <v>1998.2</v>
      </c>
    </row>
    <row r="13" spans="1:7" ht="14.1" customHeight="1" x14ac:dyDescent="0.2">
      <c r="A13" s="284" t="s">
        <v>112</v>
      </c>
      <c r="B13" s="285">
        <v>8805</v>
      </c>
      <c r="C13" s="285">
        <v>0</v>
      </c>
      <c r="D13" s="285">
        <f t="shared" si="0"/>
        <v>8805</v>
      </c>
      <c r="E13" s="291">
        <f>'- 7 -'!E13</f>
        <v>8432.528571428571</v>
      </c>
      <c r="F13" s="291">
        <v>8322.2999999999993</v>
      </c>
      <c r="G13" s="291">
        <v>8207.7999999999993</v>
      </c>
    </row>
    <row r="14" spans="1:7" ht="14.1" customHeight="1" x14ac:dyDescent="0.2">
      <c r="A14" s="19" t="s">
        <v>359</v>
      </c>
      <c r="B14" s="20">
        <v>5642</v>
      </c>
      <c r="C14" s="20">
        <v>34</v>
      </c>
      <c r="D14" s="20">
        <f t="shared" si="0"/>
        <v>5608</v>
      </c>
      <c r="E14" s="70">
        <f>'- 7 -'!E14</f>
        <v>5607.62</v>
      </c>
      <c r="F14" s="70">
        <v>5199.5</v>
      </c>
      <c r="G14" s="70">
        <v>5069.5</v>
      </c>
    </row>
    <row r="15" spans="1:7" ht="14.1" customHeight="1" x14ac:dyDescent="0.2">
      <c r="A15" s="284" t="s">
        <v>113</v>
      </c>
      <c r="B15" s="285">
        <v>1443</v>
      </c>
      <c r="C15" s="285">
        <v>0</v>
      </c>
      <c r="D15" s="285">
        <f t="shared" si="0"/>
        <v>1443</v>
      </c>
      <c r="E15" s="291">
        <f>'- 7 -'!E15</f>
        <v>1379.8</v>
      </c>
      <c r="F15" s="291">
        <v>1381.1999999999998</v>
      </c>
      <c r="G15" s="291">
        <v>1394</v>
      </c>
    </row>
    <row r="16" spans="1:7" ht="14.1" customHeight="1" x14ac:dyDescent="0.2">
      <c r="A16" s="19" t="s">
        <v>114</v>
      </c>
      <c r="B16" s="20">
        <v>950</v>
      </c>
      <c r="C16" s="20">
        <v>0</v>
      </c>
      <c r="D16" s="20">
        <f t="shared" si="0"/>
        <v>950</v>
      </c>
      <c r="E16" s="70">
        <f>'- 7 -'!E16</f>
        <v>912.9</v>
      </c>
      <c r="F16" s="70">
        <v>885.8</v>
      </c>
      <c r="G16" s="70">
        <v>910.1</v>
      </c>
    </row>
    <row r="17" spans="1:7" ht="14.1" customHeight="1" x14ac:dyDescent="0.2">
      <c r="A17" s="284" t="s">
        <v>115</v>
      </c>
      <c r="B17" s="285">
        <v>1448</v>
      </c>
      <c r="C17" s="285">
        <v>5</v>
      </c>
      <c r="D17" s="285">
        <f t="shared" si="0"/>
        <v>1443</v>
      </c>
      <c r="E17" s="291">
        <f>'- 7 -'!E17</f>
        <v>1396.7857142857142</v>
      </c>
      <c r="F17" s="291">
        <v>1320.5</v>
      </c>
      <c r="G17" s="291">
        <v>1284.5</v>
      </c>
    </row>
    <row r="18" spans="1:7" ht="14.1" customHeight="1" x14ac:dyDescent="0.2">
      <c r="A18" s="19" t="s">
        <v>116</v>
      </c>
      <c r="B18" s="20">
        <v>6656</v>
      </c>
      <c r="C18" s="20">
        <v>469</v>
      </c>
      <c r="D18" s="20">
        <f t="shared" si="0"/>
        <v>6187</v>
      </c>
      <c r="E18" s="70">
        <f>'- 7 -'!E18</f>
        <v>6092.1</v>
      </c>
      <c r="F18" s="70">
        <v>2256.5</v>
      </c>
      <c r="G18" s="70">
        <v>2281.1</v>
      </c>
    </row>
    <row r="19" spans="1:7" ht="14.1" customHeight="1" x14ac:dyDescent="0.2">
      <c r="A19" s="284" t="s">
        <v>117</v>
      </c>
      <c r="B19" s="285">
        <v>4576</v>
      </c>
      <c r="C19" s="285">
        <v>0</v>
      </c>
      <c r="D19" s="285">
        <f t="shared" si="0"/>
        <v>4576</v>
      </c>
      <c r="E19" s="291">
        <f>'- 7 -'!E19</f>
        <v>4433.6000000000004</v>
      </c>
      <c r="F19" s="291">
        <v>4264.8999999999996</v>
      </c>
      <c r="G19" s="291">
        <v>4201</v>
      </c>
    </row>
    <row r="20" spans="1:7" ht="14.1" customHeight="1" x14ac:dyDescent="0.2">
      <c r="A20" s="19" t="s">
        <v>118</v>
      </c>
      <c r="B20" s="20">
        <v>8101</v>
      </c>
      <c r="C20" s="20">
        <v>0</v>
      </c>
      <c r="D20" s="20">
        <f t="shared" si="0"/>
        <v>8101</v>
      </c>
      <c r="E20" s="70">
        <f>'- 7 -'!E20</f>
        <v>7793</v>
      </c>
      <c r="F20" s="70">
        <v>7630.2</v>
      </c>
      <c r="G20" s="70">
        <v>7559.9</v>
      </c>
    </row>
    <row r="21" spans="1:7" ht="14.1" customHeight="1" x14ac:dyDescent="0.2">
      <c r="A21" s="284" t="s">
        <v>119</v>
      </c>
      <c r="B21" s="285">
        <v>2901</v>
      </c>
      <c r="C21" s="285">
        <v>0</v>
      </c>
      <c r="D21" s="285">
        <f t="shared" si="0"/>
        <v>2901</v>
      </c>
      <c r="E21" s="291">
        <f>'- 7 -'!E21</f>
        <v>2782.2</v>
      </c>
      <c r="F21" s="291">
        <v>2742.1</v>
      </c>
      <c r="G21" s="291">
        <v>2686.1</v>
      </c>
    </row>
    <row r="22" spans="1:7" ht="14.1" customHeight="1" x14ac:dyDescent="0.2">
      <c r="A22" s="19" t="s">
        <v>120</v>
      </c>
      <c r="B22" s="20">
        <v>1569</v>
      </c>
      <c r="C22" s="20">
        <v>0</v>
      </c>
      <c r="D22" s="20">
        <f t="shared" si="0"/>
        <v>1569</v>
      </c>
      <c r="E22" s="70">
        <f>'- 7 -'!E22</f>
        <v>1493.4</v>
      </c>
      <c r="F22" s="70">
        <v>1523.6</v>
      </c>
      <c r="G22" s="70">
        <v>1532.3</v>
      </c>
    </row>
    <row r="23" spans="1:7" ht="14.1" customHeight="1" x14ac:dyDescent="0.2">
      <c r="A23" s="284" t="s">
        <v>121</v>
      </c>
      <c r="B23" s="285">
        <v>1072</v>
      </c>
      <c r="C23" s="285">
        <v>0</v>
      </c>
      <c r="D23" s="285">
        <f t="shared" si="0"/>
        <v>1072</v>
      </c>
      <c r="E23" s="291">
        <f>'- 7 -'!E23</f>
        <v>1042.5</v>
      </c>
      <c r="F23" s="291">
        <v>990.8</v>
      </c>
      <c r="G23" s="291">
        <v>986</v>
      </c>
    </row>
    <row r="24" spans="1:7" ht="14.1" customHeight="1" x14ac:dyDescent="0.2">
      <c r="A24" s="19" t="s">
        <v>122</v>
      </c>
      <c r="B24" s="20">
        <v>4021</v>
      </c>
      <c r="C24" s="20">
        <v>0</v>
      </c>
      <c r="D24" s="20">
        <f t="shared" si="0"/>
        <v>4021</v>
      </c>
      <c r="E24" s="70">
        <f>'- 7 -'!E24</f>
        <v>3891.3</v>
      </c>
      <c r="F24" s="70">
        <v>3863.8</v>
      </c>
      <c r="G24" s="70">
        <v>3917</v>
      </c>
    </row>
    <row r="25" spans="1:7" ht="14.1" customHeight="1" x14ac:dyDescent="0.2">
      <c r="A25" s="284" t="s">
        <v>123</v>
      </c>
      <c r="B25" s="285">
        <v>15263</v>
      </c>
      <c r="C25" s="285">
        <v>0</v>
      </c>
      <c r="D25" s="285">
        <f t="shared" si="0"/>
        <v>15263</v>
      </c>
      <c r="E25" s="291">
        <f>'- 7 -'!E25</f>
        <v>14626.699999999999</v>
      </c>
      <c r="F25" s="291">
        <v>14048.5</v>
      </c>
      <c r="G25" s="291">
        <v>13915</v>
      </c>
    </row>
    <row r="26" spans="1:7" ht="14.1" customHeight="1" x14ac:dyDescent="0.2">
      <c r="A26" s="19" t="s">
        <v>124</v>
      </c>
      <c r="B26" s="20">
        <v>3055</v>
      </c>
      <c r="C26" s="20">
        <v>0</v>
      </c>
      <c r="D26" s="20">
        <f t="shared" si="0"/>
        <v>3055</v>
      </c>
      <c r="E26" s="70">
        <f>'- 7 -'!E26</f>
        <v>2955</v>
      </c>
      <c r="F26" s="70">
        <v>2903.2</v>
      </c>
      <c r="G26" s="70">
        <v>2935.6</v>
      </c>
    </row>
    <row r="27" spans="1:7" ht="14.1" customHeight="1" x14ac:dyDescent="0.2">
      <c r="A27" s="284" t="s">
        <v>125</v>
      </c>
      <c r="B27" s="285">
        <v>3163</v>
      </c>
      <c r="C27" s="285">
        <v>0</v>
      </c>
      <c r="D27" s="285">
        <f t="shared" si="0"/>
        <v>3163</v>
      </c>
      <c r="E27" s="291">
        <f>'- 7 -'!E27</f>
        <v>3030.9</v>
      </c>
      <c r="F27" s="291">
        <v>2925.8</v>
      </c>
      <c r="G27" s="291">
        <v>2857.7</v>
      </c>
    </row>
    <row r="28" spans="1:7" ht="14.1" customHeight="1" x14ac:dyDescent="0.2">
      <c r="A28" s="19" t="s">
        <v>126</v>
      </c>
      <c r="B28" s="20">
        <v>2059</v>
      </c>
      <c r="C28" s="20">
        <v>34</v>
      </c>
      <c r="D28" s="20">
        <f t="shared" si="0"/>
        <v>2025</v>
      </c>
      <c r="E28" s="70">
        <f>'- 7 -'!E28</f>
        <v>1949.5</v>
      </c>
      <c r="F28" s="70">
        <v>1490.5</v>
      </c>
      <c r="G28" s="70">
        <v>1517.4</v>
      </c>
    </row>
    <row r="29" spans="1:7" ht="14.1" customHeight="1" x14ac:dyDescent="0.2">
      <c r="A29" s="284" t="s">
        <v>127</v>
      </c>
      <c r="B29" s="285">
        <v>13920</v>
      </c>
      <c r="C29" s="285">
        <v>0</v>
      </c>
      <c r="D29" s="285">
        <f t="shared" si="0"/>
        <v>13920</v>
      </c>
      <c r="E29" s="291">
        <f>'- 7 -'!E29</f>
        <v>13392.9</v>
      </c>
      <c r="F29" s="291">
        <v>12903.099999999999</v>
      </c>
      <c r="G29" s="291">
        <v>12545.1</v>
      </c>
    </row>
    <row r="30" spans="1:7" ht="14.1" customHeight="1" x14ac:dyDescent="0.2">
      <c r="A30" s="19" t="s">
        <v>128</v>
      </c>
      <c r="B30" s="20">
        <v>1053</v>
      </c>
      <c r="C30" s="20">
        <v>0</v>
      </c>
      <c r="D30" s="20">
        <f t="shared" si="0"/>
        <v>1053</v>
      </c>
      <c r="E30" s="70">
        <f>'- 7 -'!E30</f>
        <v>1007.2</v>
      </c>
      <c r="F30" s="70">
        <v>990</v>
      </c>
      <c r="G30" s="70">
        <v>1003</v>
      </c>
    </row>
    <row r="31" spans="1:7" ht="14.1" customHeight="1" x14ac:dyDescent="0.2">
      <c r="A31" s="284" t="s">
        <v>129</v>
      </c>
      <c r="B31" s="285">
        <v>3502</v>
      </c>
      <c r="C31" s="285">
        <v>0</v>
      </c>
      <c r="D31" s="285">
        <f t="shared" si="0"/>
        <v>3502</v>
      </c>
      <c r="E31" s="291">
        <f>'- 7 -'!E31</f>
        <v>3310.4</v>
      </c>
      <c r="F31" s="291">
        <v>3120.5</v>
      </c>
      <c r="G31" s="291">
        <v>3109</v>
      </c>
    </row>
    <row r="32" spans="1:7" ht="14.1" customHeight="1" x14ac:dyDescent="0.2">
      <c r="A32" s="19" t="s">
        <v>130</v>
      </c>
      <c r="B32" s="20">
        <v>2282</v>
      </c>
      <c r="C32" s="20">
        <v>0</v>
      </c>
      <c r="D32" s="20">
        <f t="shared" si="0"/>
        <v>2282</v>
      </c>
      <c r="E32" s="70">
        <f>'- 7 -'!E32</f>
        <v>2186.5</v>
      </c>
      <c r="F32" s="70">
        <v>2153.1999999999998</v>
      </c>
      <c r="G32" s="70">
        <v>2112.1999999999998</v>
      </c>
    </row>
    <row r="33" spans="1:8" ht="14.1" customHeight="1" x14ac:dyDescent="0.2">
      <c r="A33" s="284" t="s">
        <v>131</v>
      </c>
      <c r="B33" s="285">
        <v>2169</v>
      </c>
      <c r="C33" s="285">
        <v>0</v>
      </c>
      <c r="D33" s="285">
        <f t="shared" si="0"/>
        <v>2169</v>
      </c>
      <c r="E33" s="291">
        <f>'- 7 -'!E33</f>
        <v>2094.6</v>
      </c>
      <c r="F33" s="291">
        <v>1991.1</v>
      </c>
      <c r="G33" s="291">
        <v>2000.6</v>
      </c>
    </row>
    <row r="34" spans="1:8" ht="14.1" customHeight="1" x14ac:dyDescent="0.2">
      <c r="A34" s="19" t="s">
        <v>132</v>
      </c>
      <c r="B34" s="20">
        <v>2188</v>
      </c>
      <c r="C34" s="20">
        <v>0</v>
      </c>
      <c r="D34" s="20">
        <f t="shared" si="0"/>
        <v>2188</v>
      </c>
      <c r="E34" s="70">
        <f>'- 7 -'!E34</f>
        <v>2097.02</v>
      </c>
      <c r="F34" s="70">
        <v>2040.9</v>
      </c>
      <c r="G34" s="70">
        <v>1979</v>
      </c>
    </row>
    <row r="35" spans="1:8" ht="14.1" customHeight="1" x14ac:dyDescent="0.2">
      <c r="A35" s="284" t="s">
        <v>133</v>
      </c>
      <c r="B35" s="285">
        <v>16497</v>
      </c>
      <c r="C35" s="285">
        <v>0</v>
      </c>
      <c r="D35" s="285">
        <f t="shared" si="0"/>
        <v>16497</v>
      </c>
      <c r="E35" s="291">
        <f>'- 7 -'!E35</f>
        <v>15859</v>
      </c>
      <c r="F35" s="291">
        <v>15492</v>
      </c>
      <c r="G35" s="291">
        <v>15311.800000000001</v>
      </c>
    </row>
    <row r="36" spans="1:8" ht="14.1" customHeight="1" x14ac:dyDescent="0.2">
      <c r="A36" s="19" t="s">
        <v>134</v>
      </c>
      <c r="B36" s="20">
        <v>1751</v>
      </c>
      <c r="C36" s="20">
        <v>0</v>
      </c>
      <c r="D36" s="20">
        <f t="shared" si="0"/>
        <v>1751</v>
      </c>
      <c r="E36" s="70">
        <f>'- 7 -'!E36</f>
        <v>1690.8</v>
      </c>
      <c r="F36" s="70">
        <v>1552.6</v>
      </c>
      <c r="G36" s="70">
        <v>1523</v>
      </c>
    </row>
    <row r="37" spans="1:8" ht="14.1" customHeight="1" x14ac:dyDescent="0.2">
      <c r="A37" s="284" t="s">
        <v>135</v>
      </c>
      <c r="B37" s="285">
        <v>4385</v>
      </c>
      <c r="C37" s="285">
        <v>0</v>
      </c>
      <c r="D37" s="285">
        <f t="shared" si="0"/>
        <v>4385</v>
      </c>
      <c r="E37" s="291">
        <f>'- 7 -'!E37</f>
        <v>4195</v>
      </c>
      <c r="F37" s="291">
        <v>4183.7</v>
      </c>
      <c r="G37" s="291">
        <v>4102.2</v>
      </c>
    </row>
    <row r="38" spans="1:8" ht="14.1" customHeight="1" x14ac:dyDescent="0.2">
      <c r="A38" s="19" t="s">
        <v>136</v>
      </c>
      <c r="B38" s="20">
        <v>11523</v>
      </c>
      <c r="C38" s="20">
        <v>0</v>
      </c>
      <c r="D38" s="20">
        <f t="shared" si="0"/>
        <v>11523</v>
      </c>
      <c r="E38" s="70">
        <f>'- 7 -'!E38</f>
        <v>11069.2</v>
      </c>
      <c r="F38" s="70">
        <v>10888.8</v>
      </c>
      <c r="G38" s="70">
        <v>10694.3</v>
      </c>
    </row>
    <row r="39" spans="1:8" ht="14.1" customHeight="1" x14ac:dyDescent="0.2">
      <c r="A39" s="284" t="s">
        <v>137</v>
      </c>
      <c r="B39" s="285">
        <v>1590</v>
      </c>
      <c r="C39" s="285">
        <v>0</v>
      </c>
      <c r="D39" s="285">
        <f t="shared" si="0"/>
        <v>1590</v>
      </c>
      <c r="E39" s="291">
        <f>'- 7 -'!E39</f>
        <v>1513</v>
      </c>
      <c r="F39" s="291">
        <v>1500.8000000000002</v>
      </c>
      <c r="G39" s="291">
        <v>1542.4</v>
      </c>
    </row>
    <row r="40" spans="1:8" ht="14.1" customHeight="1" x14ac:dyDescent="0.2">
      <c r="A40" s="19" t="s">
        <v>138</v>
      </c>
      <c r="B40" s="20">
        <v>8430</v>
      </c>
      <c r="C40" s="20">
        <v>0</v>
      </c>
      <c r="D40" s="20">
        <f t="shared" si="0"/>
        <v>8430</v>
      </c>
      <c r="E40" s="70">
        <f>'- 7 -'!E40</f>
        <v>8127.0999999999995</v>
      </c>
      <c r="F40" s="70">
        <v>7987.5</v>
      </c>
      <c r="G40" s="70">
        <v>7826.9</v>
      </c>
    </row>
    <row r="41" spans="1:8" ht="14.1" customHeight="1" x14ac:dyDescent="0.2">
      <c r="A41" s="284" t="s">
        <v>139</v>
      </c>
      <c r="B41" s="285">
        <v>4613</v>
      </c>
      <c r="C41" s="285">
        <v>0</v>
      </c>
      <c r="D41" s="285">
        <f t="shared" si="0"/>
        <v>4613</v>
      </c>
      <c r="E41" s="291">
        <f>'- 7 -'!E41</f>
        <v>4445.5</v>
      </c>
      <c r="F41" s="291">
        <v>4391</v>
      </c>
      <c r="G41" s="291">
        <v>4325.5</v>
      </c>
    </row>
    <row r="42" spans="1:8" ht="14.1" customHeight="1" x14ac:dyDescent="0.2">
      <c r="A42" s="19" t="s">
        <v>140</v>
      </c>
      <c r="B42" s="20">
        <v>1465</v>
      </c>
      <c r="C42" s="20">
        <v>0</v>
      </c>
      <c r="D42" s="20">
        <f t="shared" si="0"/>
        <v>1465</v>
      </c>
      <c r="E42" s="70">
        <f>'- 7 -'!E42</f>
        <v>1412</v>
      </c>
      <c r="F42" s="70">
        <v>1343.6</v>
      </c>
      <c r="G42" s="70">
        <v>1349.7</v>
      </c>
    </row>
    <row r="43" spans="1:8" ht="14.1" customHeight="1" x14ac:dyDescent="0.2">
      <c r="A43" s="284" t="s">
        <v>141</v>
      </c>
      <c r="B43" s="285">
        <v>1005</v>
      </c>
      <c r="C43" s="285">
        <v>0</v>
      </c>
      <c r="D43" s="285">
        <f t="shared" si="0"/>
        <v>1005</v>
      </c>
      <c r="E43" s="291">
        <f>'- 7 -'!E43</f>
        <v>969</v>
      </c>
      <c r="F43" s="291">
        <v>962.69999999999993</v>
      </c>
      <c r="G43" s="291">
        <v>946.2</v>
      </c>
    </row>
    <row r="44" spans="1:8" ht="14.1" customHeight="1" x14ac:dyDescent="0.2">
      <c r="A44" s="19" t="s">
        <v>142</v>
      </c>
      <c r="B44" s="20">
        <v>721</v>
      </c>
      <c r="C44" s="20">
        <v>0</v>
      </c>
      <c r="D44" s="20">
        <f t="shared" si="0"/>
        <v>721</v>
      </c>
      <c r="E44" s="70">
        <f>'- 7 -'!E44</f>
        <v>694</v>
      </c>
      <c r="F44" s="70">
        <v>693.3</v>
      </c>
      <c r="G44" s="70">
        <v>681</v>
      </c>
    </row>
    <row r="45" spans="1:8" ht="14.1" customHeight="1" x14ac:dyDescent="0.2">
      <c r="A45" s="284" t="s">
        <v>143</v>
      </c>
      <c r="B45" s="285">
        <v>1797</v>
      </c>
      <c r="C45" s="285">
        <v>0</v>
      </c>
      <c r="D45" s="285">
        <f t="shared" si="0"/>
        <v>1797</v>
      </c>
      <c r="E45" s="291">
        <f>'- 7 -'!E45</f>
        <v>1728</v>
      </c>
      <c r="F45" s="291">
        <v>1662.4</v>
      </c>
      <c r="G45" s="291">
        <v>1636.3</v>
      </c>
    </row>
    <row r="46" spans="1:8" ht="14.1" customHeight="1" x14ac:dyDescent="0.2">
      <c r="A46" s="19" t="s">
        <v>144</v>
      </c>
      <c r="B46" s="20">
        <v>33231</v>
      </c>
      <c r="C46" s="20">
        <v>1785</v>
      </c>
      <c r="D46" s="20">
        <f t="shared" si="0"/>
        <v>31446</v>
      </c>
      <c r="E46" s="70">
        <f>'- 7 -'!E46</f>
        <v>29899.1</v>
      </c>
      <c r="F46" s="70">
        <v>29638.3</v>
      </c>
      <c r="G46" s="70">
        <v>29586.1</v>
      </c>
    </row>
    <row r="47" spans="1:8" ht="5.0999999999999996" customHeight="1" x14ac:dyDescent="0.2">
      <c r="A47"/>
      <c r="B47"/>
      <c r="C47"/>
      <c r="D47"/>
      <c r="E47"/>
      <c r="F47"/>
      <c r="G47"/>
      <c r="H47"/>
    </row>
    <row r="48" spans="1:8" ht="14.1" customHeight="1" x14ac:dyDescent="0.2">
      <c r="A48" s="286" t="s">
        <v>145</v>
      </c>
      <c r="B48" s="287">
        <f t="shared" ref="B48:G48" si="1">SUM(B11:B46)</f>
        <v>186872</v>
      </c>
      <c r="C48" s="287">
        <f t="shared" si="1"/>
        <v>2327</v>
      </c>
      <c r="D48" s="287">
        <f t="shared" si="1"/>
        <v>184545</v>
      </c>
      <c r="E48" s="294">
        <f t="shared" si="1"/>
        <v>177378.85428571427</v>
      </c>
      <c r="F48" s="294">
        <f t="shared" si="1"/>
        <v>168985.5</v>
      </c>
      <c r="G48" s="294">
        <f t="shared" si="1"/>
        <v>167213.4</v>
      </c>
      <c r="H48" s="501"/>
    </row>
    <row r="49" spans="1:7" ht="5.0999999999999996" customHeight="1" x14ac:dyDescent="0.2">
      <c r="A49" s="21" t="s">
        <v>7</v>
      </c>
      <c r="B49" s="22"/>
      <c r="C49" s="22"/>
      <c r="D49" s="22"/>
      <c r="E49" s="71"/>
      <c r="F49" s="71"/>
      <c r="G49" s="71"/>
    </row>
    <row r="50" spans="1:7" ht="14.1" customHeight="1" x14ac:dyDescent="0.2">
      <c r="A50" s="284" t="s">
        <v>146</v>
      </c>
      <c r="B50" s="285">
        <v>164</v>
      </c>
      <c r="C50" s="285">
        <v>0</v>
      </c>
      <c r="D50" s="285">
        <f>+B50-C50</f>
        <v>164</v>
      </c>
      <c r="E50" s="291">
        <f>'- 7 -'!E50</f>
        <v>164</v>
      </c>
      <c r="F50" s="291">
        <v>155</v>
      </c>
      <c r="G50" s="291">
        <v>169</v>
      </c>
    </row>
    <row r="51" spans="1:7" ht="14.1" customHeight="1" x14ac:dyDescent="0.2">
      <c r="A51" s="19" t="s">
        <v>607</v>
      </c>
      <c r="B51" s="20"/>
      <c r="C51" s="20"/>
      <c r="D51" s="20">
        <f>+B51-C51</f>
        <v>0</v>
      </c>
      <c r="E51" s="70">
        <f>'- 7 -'!E51</f>
        <v>1088</v>
      </c>
      <c r="F51" s="70"/>
      <c r="G51" s="70"/>
    </row>
    <row r="52" spans="1:7" ht="50.1" customHeight="1" x14ac:dyDescent="0.2">
      <c r="A52" s="23"/>
      <c r="B52" s="23"/>
      <c r="C52" s="23"/>
      <c r="D52" s="23"/>
      <c r="E52" s="23"/>
      <c r="F52" s="79"/>
      <c r="G52" s="79"/>
    </row>
    <row r="53" spans="1:7" ht="15" customHeight="1" x14ac:dyDescent="0.2">
      <c r="A53" s="2" t="s">
        <v>241</v>
      </c>
      <c r="C53" s="80"/>
      <c r="D53" s="80"/>
      <c r="E53" s="80"/>
      <c r="F53" s="80"/>
    </row>
    <row r="54" spans="1:7" ht="12" customHeight="1" x14ac:dyDescent="0.2">
      <c r="A54" s="615" t="s">
        <v>459</v>
      </c>
      <c r="B54" s="615"/>
      <c r="C54" s="615"/>
      <c r="D54" s="615"/>
      <c r="E54" s="615"/>
      <c r="F54" s="615"/>
      <c r="G54" s="615"/>
    </row>
    <row r="55" spans="1:7" ht="12" customHeight="1" x14ac:dyDescent="0.2">
      <c r="A55" s="615"/>
      <c r="B55" s="615"/>
      <c r="C55" s="615"/>
      <c r="D55" s="615"/>
      <c r="E55" s="615"/>
      <c r="F55" s="615"/>
      <c r="G55" s="615"/>
    </row>
    <row r="56" spans="1:7" ht="12" customHeight="1" x14ac:dyDescent="0.2">
      <c r="A56" s="588" t="s">
        <v>637</v>
      </c>
      <c r="B56" s="588"/>
      <c r="C56" s="588"/>
      <c r="D56" s="588"/>
      <c r="E56" s="588"/>
      <c r="F56" s="588"/>
      <c r="G56" s="588"/>
    </row>
    <row r="57" spans="1:7" x14ac:dyDescent="0.2">
      <c r="A57" s="588"/>
      <c r="B57" s="588"/>
      <c r="C57" s="588"/>
      <c r="D57" s="588"/>
      <c r="E57" s="588"/>
      <c r="F57" s="588"/>
      <c r="G57" s="588"/>
    </row>
  </sheetData>
  <mergeCells count="9">
    <mergeCell ref="F8:F9"/>
    <mergeCell ref="G8:G9"/>
    <mergeCell ref="A56:G57"/>
    <mergeCell ref="A54:G55"/>
    <mergeCell ref="B7:D7"/>
    <mergeCell ref="B8:B9"/>
    <mergeCell ref="C8:C9"/>
    <mergeCell ref="D8:D9"/>
    <mergeCell ref="E8:E9"/>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49"/>
  <dimension ref="A1:AD91"/>
  <sheetViews>
    <sheetView showGridLines="0" defaultGridColor="0" colorId="22" workbookViewId="0">
      <pane xSplit="1" ySplit="10" topLeftCell="B44" activePane="bottomRight" state="frozen"/>
      <selection activeCell="D22" sqref="D22"/>
      <selection pane="topRight" activeCell="D22" sqref="D22"/>
      <selection pane="bottomLeft" activeCell="D22" sqref="D22"/>
      <selection pane="bottomRight"/>
    </sheetView>
  </sheetViews>
  <sheetFormatPr defaultColWidth="15.83203125" defaultRowHeight="12" x14ac:dyDescent="0.2"/>
  <cols>
    <col min="1" max="1" width="5.83203125" style="2" customWidth="1"/>
    <col min="2" max="2" width="30.83203125" style="2" customWidth="1"/>
    <col min="3" max="15" width="15.83203125" style="2" customWidth="1"/>
    <col min="16" max="16" width="9.1640625" style="2" customWidth="1"/>
    <col min="17" max="18" width="15.83203125" style="2" customWidth="1"/>
    <col min="19" max="19" width="17.1640625" style="2" bestFit="1" customWidth="1"/>
    <col min="20" max="21" width="15.83203125" style="2" customWidth="1"/>
    <col min="22" max="22" width="3.5" style="2" customWidth="1"/>
    <col min="23" max="23" width="15.83203125" style="2"/>
    <col min="24" max="24" width="1.83203125" style="2" customWidth="1"/>
    <col min="25" max="25" width="21.33203125" style="2" bestFit="1" customWidth="1"/>
    <col min="26" max="26" width="14.1640625" style="2" bestFit="1" customWidth="1"/>
    <col min="27" max="27" width="2.1640625" style="2" customWidth="1"/>
    <col min="28" max="28" width="23.6640625" style="2" bestFit="1" customWidth="1"/>
    <col min="29" max="16384" width="15.83203125" style="2"/>
  </cols>
  <sheetData>
    <row r="1" spans="1:29" ht="6" customHeight="1" x14ac:dyDescent="0.2">
      <c r="A1" s="7"/>
      <c r="B1" s="205"/>
      <c r="C1" s="205"/>
      <c r="D1" s="205"/>
      <c r="E1" s="205"/>
      <c r="F1" s="205"/>
      <c r="G1" s="205"/>
      <c r="H1" s="205"/>
      <c r="I1" s="205"/>
      <c r="J1" s="205"/>
      <c r="K1" s="205"/>
      <c r="L1" s="205"/>
      <c r="M1" s="205"/>
      <c r="N1" s="205"/>
      <c r="O1" s="205"/>
      <c r="P1" s="205"/>
      <c r="Q1" s="205"/>
      <c r="R1" s="205"/>
      <c r="S1" s="205"/>
      <c r="T1" s="205"/>
      <c r="U1" s="205"/>
    </row>
    <row r="2" spans="1:29" x14ac:dyDescent="0.2">
      <c r="A2" s="205"/>
      <c r="B2" s="184"/>
      <c r="C2" s="184"/>
      <c r="D2" s="184"/>
      <c r="E2" s="184"/>
      <c r="F2" s="184"/>
      <c r="G2" s="184"/>
      <c r="H2" s="184"/>
      <c r="I2" s="184"/>
      <c r="J2" s="184"/>
      <c r="K2" s="184"/>
      <c r="L2" s="184"/>
      <c r="M2" s="184"/>
      <c r="N2" s="184"/>
      <c r="O2" s="184"/>
      <c r="P2" s="184"/>
      <c r="Q2" s="184"/>
      <c r="R2" s="184"/>
      <c r="S2" s="184"/>
      <c r="T2" s="184"/>
      <c r="U2" s="184"/>
    </row>
    <row r="3" spans="1:29" x14ac:dyDescent="0.2">
      <c r="A3" s="270" t="s">
        <v>49</v>
      </c>
      <c r="B3" s="2" t="s">
        <v>84</v>
      </c>
      <c r="C3" s="205"/>
      <c r="D3" s="205"/>
      <c r="E3" s="205"/>
      <c r="F3" s="205"/>
      <c r="G3" s="205"/>
      <c r="H3" s="205"/>
      <c r="I3" s="205"/>
      <c r="J3" s="205"/>
      <c r="K3" s="205"/>
      <c r="L3" s="205"/>
      <c r="M3" s="205"/>
      <c r="N3" s="205"/>
      <c r="O3" s="205"/>
      <c r="P3" s="205"/>
      <c r="Q3" s="205"/>
      <c r="R3" s="205"/>
      <c r="S3" s="205"/>
      <c r="T3" s="205"/>
      <c r="U3" s="205"/>
    </row>
    <row r="4" spans="1:29" x14ac:dyDescent="0.2">
      <c r="A4" s="2" t="s">
        <v>333</v>
      </c>
      <c r="B4" s="276" t="s">
        <v>631</v>
      </c>
      <c r="C4" s="184"/>
      <c r="D4" s="184"/>
      <c r="E4" s="184"/>
      <c r="F4" s="184"/>
      <c r="G4" s="184"/>
      <c r="H4" s="184"/>
      <c r="I4" s="184"/>
      <c r="J4" s="184"/>
      <c r="K4" s="184"/>
      <c r="L4" s="184"/>
      <c r="M4" s="184"/>
      <c r="N4" s="184"/>
      <c r="O4" s="184"/>
      <c r="P4" s="184"/>
      <c r="Q4" s="184"/>
      <c r="R4" s="184"/>
      <c r="S4" s="184"/>
      <c r="T4" s="184"/>
      <c r="U4" s="184"/>
      <c r="W4" s="133" t="s">
        <v>644</v>
      </c>
    </row>
    <row r="5" spans="1:29" x14ac:dyDescent="0.2">
      <c r="A5" s="2" t="s">
        <v>332</v>
      </c>
      <c r="B5" s="276" t="s">
        <v>634</v>
      </c>
      <c r="C5" s="271" t="s">
        <v>33</v>
      </c>
      <c r="D5" s="272"/>
      <c r="E5" s="272"/>
      <c r="F5" s="272"/>
      <c r="G5" s="272"/>
      <c r="H5" s="272"/>
      <c r="I5" s="272"/>
      <c r="J5" s="272"/>
      <c r="K5" s="272"/>
      <c r="L5" s="272"/>
      <c r="M5" s="273"/>
      <c r="N5" s="184"/>
      <c r="O5" s="184"/>
      <c r="P5" s="184"/>
      <c r="Q5" s="184"/>
      <c r="R5" s="184"/>
      <c r="S5" s="184"/>
      <c r="T5" s="184"/>
      <c r="U5" s="184"/>
      <c r="W5" s="2" t="s">
        <v>374</v>
      </c>
    </row>
    <row r="6" spans="1:29" x14ac:dyDescent="0.2">
      <c r="A6" s="2" t="s">
        <v>4</v>
      </c>
      <c r="B6" s="489">
        <v>2017</v>
      </c>
      <c r="N6" s="868" t="s">
        <v>620</v>
      </c>
      <c r="O6" s="579"/>
      <c r="W6" s="133" t="s">
        <v>643</v>
      </c>
      <c r="AB6" s="2" t="s">
        <v>383</v>
      </c>
    </row>
    <row r="7" spans="1:29" x14ac:dyDescent="0.2">
      <c r="A7" s="2" t="s">
        <v>5</v>
      </c>
      <c r="B7" s="274" t="str">
        <f>TEXT((B6+1),"0")</f>
        <v>2018</v>
      </c>
      <c r="M7" s="4" t="s">
        <v>235</v>
      </c>
      <c r="N7" s="868"/>
      <c r="O7" s="579"/>
      <c r="P7" s="4"/>
      <c r="Q7" s="4" t="s">
        <v>429</v>
      </c>
      <c r="R7" s="4" t="s">
        <v>31</v>
      </c>
      <c r="S7" s="4" t="s">
        <v>434</v>
      </c>
      <c r="T7" s="4"/>
      <c r="U7" s="4"/>
      <c r="W7" s="2" t="s">
        <v>371</v>
      </c>
      <c r="Y7" s="546" t="s">
        <v>616</v>
      </c>
      <c r="AB7" s="4" t="s">
        <v>31</v>
      </c>
    </row>
    <row r="8" spans="1:29" x14ac:dyDescent="0.2">
      <c r="C8" s="275" t="s">
        <v>40</v>
      </c>
      <c r="D8" s="8"/>
      <c r="E8" s="8"/>
      <c r="F8" s="8"/>
      <c r="G8" s="8"/>
      <c r="H8" s="8"/>
      <c r="I8" s="8"/>
      <c r="J8" s="8">
        <v>700</v>
      </c>
      <c r="K8" s="4" t="s">
        <v>31</v>
      </c>
      <c r="L8" s="4" t="s">
        <v>232</v>
      </c>
      <c r="M8" s="4" t="s">
        <v>233</v>
      </c>
      <c r="N8" s="868"/>
      <c r="O8" s="579" t="s">
        <v>621</v>
      </c>
      <c r="P8" s="4" t="s">
        <v>626</v>
      </c>
      <c r="Q8" s="4" t="s">
        <v>430</v>
      </c>
      <c r="R8" s="4" t="s">
        <v>59</v>
      </c>
      <c r="S8" s="4" t="s">
        <v>435</v>
      </c>
      <c r="T8" s="4" t="s">
        <v>434</v>
      </c>
      <c r="U8" s="4"/>
      <c r="W8" s="2" t="s">
        <v>372</v>
      </c>
      <c r="Y8" s="526" t="s">
        <v>329</v>
      </c>
      <c r="Z8" s="2" t="s">
        <v>330</v>
      </c>
      <c r="AB8" s="4" t="s">
        <v>41</v>
      </c>
      <c r="AC8" s="545" t="s">
        <v>41</v>
      </c>
    </row>
    <row r="9" spans="1:29" x14ac:dyDescent="0.2">
      <c r="A9" s="276" t="s">
        <v>149</v>
      </c>
      <c r="B9" s="2" t="s">
        <v>150</v>
      </c>
      <c r="C9" s="2">
        <v>100</v>
      </c>
      <c r="D9" s="2">
        <v>200</v>
      </c>
      <c r="E9" s="2">
        <v>300</v>
      </c>
      <c r="F9" s="2">
        <v>400</v>
      </c>
      <c r="G9" s="2">
        <v>500</v>
      </c>
      <c r="H9" s="2">
        <v>600</v>
      </c>
      <c r="I9" s="2">
        <v>700</v>
      </c>
      <c r="J9" s="4" t="s">
        <v>46</v>
      </c>
      <c r="K9" s="4" t="s">
        <v>47</v>
      </c>
      <c r="L9" s="4" t="s">
        <v>88</v>
      </c>
      <c r="M9" s="4" t="s">
        <v>103</v>
      </c>
      <c r="N9" s="868"/>
      <c r="O9" s="579" t="s">
        <v>622</v>
      </c>
      <c r="P9" s="4" t="s">
        <v>627</v>
      </c>
      <c r="Q9" s="4" t="s">
        <v>431</v>
      </c>
      <c r="R9" s="4" t="s">
        <v>65</v>
      </c>
      <c r="S9" s="4" t="s">
        <v>436</v>
      </c>
      <c r="T9" s="4" t="s">
        <v>437</v>
      </c>
      <c r="U9" s="4" t="s">
        <v>438</v>
      </c>
      <c r="W9" s="2" t="s">
        <v>373</v>
      </c>
      <c r="Y9" s="526" t="s">
        <v>63</v>
      </c>
      <c r="Z9" s="2" t="s">
        <v>63</v>
      </c>
      <c r="AB9" s="415" t="s">
        <v>645</v>
      </c>
      <c r="AC9" s="4" t="s">
        <v>397</v>
      </c>
    </row>
    <row r="10" spans="1:29" x14ac:dyDescent="0.2">
      <c r="C10" s="549" t="s">
        <v>420</v>
      </c>
      <c r="D10" s="549" t="s">
        <v>422</v>
      </c>
      <c r="E10" s="549" t="s">
        <v>423</v>
      </c>
      <c r="F10" s="549" t="s">
        <v>424</v>
      </c>
      <c r="G10" s="549" t="s">
        <v>425</v>
      </c>
      <c r="H10" s="549" t="s">
        <v>426</v>
      </c>
      <c r="I10" s="549" t="s">
        <v>421</v>
      </c>
      <c r="J10" s="549" t="s">
        <v>419</v>
      </c>
      <c r="L10" s="549" t="s">
        <v>427</v>
      </c>
      <c r="M10" s="549" t="s">
        <v>428</v>
      </c>
      <c r="N10" s="549" t="s">
        <v>623</v>
      </c>
      <c r="O10" s="549" t="s">
        <v>622</v>
      </c>
      <c r="P10" s="549"/>
      <c r="Q10" s="549" t="s">
        <v>432</v>
      </c>
      <c r="R10" s="549" t="s">
        <v>433</v>
      </c>
      <c r="S10" s="549" t="s">
        <v>439</v>
      </c>
      <c r="T10" s="549" t="s">
        <v>440</v>
      </c>
      <c r="U10" s="549" t="s">
        <v>441</v>
      </c>
    </row>
    <row r="11" spans="1:29" ht="10.9" customHeight="1" x14ac:dyDescent="0.2">
      <c r="A11" s="274" t="s">
        <v>151</v>
      </c>
      <c r="B11" s="2" t="s">
        <v>110</v>
      </c>
      <c r="C11" s="57">
        <v>78577</v>
      </c>
      <c r="D11" s="57">
        <v>0</v>
      </c>
      <c r="E11" s="57">
        <v>0</v>
      </c>
      <c r="F11" s="57">
        <v>0</v>
      </c>
      <c r="G11" s="57">
        <v>0</v>
      </c>
      <c r="H11" s="57">
        <v>4742</v>
      </c>
      <c r="I11" s="57">
        <v>0</v>
      </c>
      <c r="J11" s="57">
        <v>0</v>
      </c>
      <c r="K11" s="57">
        <f t="shared" ref="K11:K42" si="0">SUM(C11:I11)-J11</f>
        <v>83319</v>
      </c>
      <c r="L11" s="57">
        <v>24895</v>
      </c>
      <c r="M11" s="57">
        <v>0</v>
      </c>
      <c r="N11" s="57">
        <v>0</v>
      </c>
      <c r="O11" s="57">
        <v>0</v>
      </c>
      <c r="P11" s="584">
        <v>4.1000000000000005</v>
      </c>
      <c r="Q11" s="57">
        <v>0</v>
      </c>
      <c r="R11" s="57">
        <v>2075766</v>
      </c>
      <c r="S11" s="57">
        <v>186136</v>
      </c>
      <c r="T11" s="57">
        <v>298300</v>
      </c>
      <c r="U11" s="57">
        <v>190170</v>
      </c>
      <c r="W11" s="2">
        <v>412611</v>
      </c>
      <c r="Y11" s="2">
        <v>9115279</v>
      </c>
      <c r="Z11" s="2">
        <v>8610948</v>
      </c>
      <c r="AB11" s="2">
        <v>276403</v>
      </c>
    </row>
    <row r="12" spans="1:29" ht="10.9" customHeight="1" x14ac:dyDescent="0.2">
      <c r="A12" s="274" t="s">
        <v>152</v>
      </c>
      <c r="B12" s="2" t="s">
        <v>111</v>
      </c>
      <c r="C12" s="57">
        <v>499716</v>
      </c>
      <c r="D12" s="57">
        <v>0</v>
      </c>
      <c r="E12" s="57">
        <v>-3212</v>
      </c>
      <c r="F12" s="57">
        <v>0</v>
      </c>
      <c r="G12" s="57">
        <v>0</v>
      </c>
      <c r="H12" s="57">
        <v>0</v>
      </c>
      <c r="I12" s="57">
        <v>0</v>
      </c>
      <c r="J12" s="57">
        <v>0</v>
      </c>
      <c r="K12" s="57">
        <f t="shared" si="0"/>
        <v>496504</v>
      </c>
      <c r="L12" s="57">
        <v>35952</v>
      </c>
      <c r="M12" s="57">
        <v>0</v>
      </c>
      <c r="N12" s="57">
        <v>0</v>
      </c>
      <c r="O12" s="57">
        <v>0</v>
      </c>
      <c r="P12" s="584">
        <v>4.05</v>
      </c>
      <c r="Q12" s="57">
        <v>0</v>
      </c>
      <c r="R12" s="57">
        <v>3158649</v>
      </c>
      <c r="S12" s="57">
        <v>212374</v>
      </c>
      <c r="T12" s="57">
        <v>535800</v>
      </c>
      <c r="U12" s="57">
        <v>369775</v>
      </c>
      <c r="W12" s="2">
        <v>440677</v>
      </c>
      <c r="Y12" s="2">
        <v>18061667</v>
      </c>
      <c r="Z12" s="2">
        <v>15324712</v>
      </c>
      <c r="AB12" s="2">
        <v>390464</v>
      </c>
    </row>
    <row r="13" spans="1:29" ht="10.9" customHeight="1" x14ac:dyDescent="0.2">
      <c r="A13" s="274" t="s">
        <v>153</v>
      </c>
      <c r="B13" s="2" t="s">
        <v>112</v>
      </c>
      <c r="C13" s="57">
        <v>105300</v>
      </c>
      <c r="D13" s="57">
        <v>0</v>
      </c>
      <c r="E13" s="57">
        <v>0</v>
      </c>
      <c r="F13" s="57">
        <v>0</v>
      </c>
      <c r="G13" s="57">
        <v>0</v>
      </c>
      <c r="H13" s="57">
        <v>0</v>
      </c>
      <c r="I13" s="57">
        <v>0</v>
      </c>
      <c r="J13" s="57">
        <v>0</v>
      </c>
      <c r="K13" s="57">
        <f t="shared" si="0"/>
        <v>105300</v>
      </c>
      <c r="L13" s="57">
        <v>53345</v>
      </c>
      <c r="M13" s="57">
        <v>0</v>
      </c>
      <c r="N13" s="57">
        <v>0</v>
      </c>
      <c r="O13" s="57">
        <v>0</v>
      </c>
      <c r="P13" s="584">
        <v>3.5000000000000004</v>
      </c>
      <c r="Q13" s="57">
        <v>0</v>
      </c>
      <c r="R13" s="57">
        <v>7360569</v>
      </c>
      <c r="S13" s="57">
        <v>624173</v>
      </c>
      <c r="T13" s="57">
        <v>1263500</v>
      </c>
      <c r="U13" s="57">
        <v>1255121</v>
      </c>
      <c r="W13" s="2">
        <v>368527</v>
      </c>
      <c r="Y13" s="2">
        <v>47942023</v>
      </c>
      <c r="Z13" s="2">
        <v>46094010</v>
      </c>
      <c r="AB13" s="2">
        <v>1053001</v>
      </c>
    </row>
    <row r="14" spans="1:29" ht="10.9" customHeight="1" x14ac:dyDescent="0.2">
      <c r="A14" s="274" t="s">
        <v>154</v>
      </c>
      <c r="B14" s="2" t="s">
        <v>147</v>
      </c>
      <c r="C14" s="57">
        <v>900849</v>
      </c>
      <c r="D14" s="57">
        <v>0</v>
      </c>
      <c r="E14" s="57">
        <v>0</v>
      </c>
      <c r="F14" s="57">
        <v>0</v>
      </c>
      <c r="G14" s="57">
        <v>0</v>
      </c>
      <c r="H14" s="57">
        <v>13023</v>
      </c>
      <c r="I14" s="57">
        <v>0</v>
      </c>
      <c r="J14" s="57">
        <v>0</v>
      </c>
      <c r="K14" s="57">
        <f t="shared" si="0"/>
        <v>913872</v>
      </c>
      <c r="L14" s="57">
        <v>0</v>
      </c>
      <c r="M14" s="57">
        <v>0</v>
      </c>
      <c r="N14" s="57">
        <v>0</v>
      </c>
      <c r="O14" s="57">
        <v>0</v>
      </c>
      <c r="P14" s="584">
        <v>3.5000000000000004</v>
      </c>
      <c r="Q14" s="57">
        <v>0</v>
      </c>
      <c r="R14" s="57">
        <v>8021176</v>
      </c>
      <c r="S14" s="57">
        <v>466078</v>
      </c>
      <c r="T14" s="57">
        <v>389500</v>
      </c>
      <c r="U14" s="57">
        <v>316950</v>
      </c>
      <c r="W14" s="2">
        <v>448183</v>
      </c>
      <c r="Y14" s="2">
        <v>0</v>
      </c>
      <c r="Z14" s="2">
        <v>0</v>
      </c>
      <c r="AB14" s="2">
        <v>988333</v>
      </c>
    </row>
    <row r="15" spans="1:29" ht="10.9" customHeight="1" x14ac:dyDescent="0.2">
      <c r="A15" s="274" t="s">
        <v>155</v>
      </c>
      <c r="B15" s="2" t="s">
        <v>113</v>
      </c>
      <c r="C15" s="57">
        <v>66600</v>
      </c>
      <c r="D15" s="57">
        <v>0</v>
      </c>
      <c r="E15" s="57">
        <v>0</v>
      </c>
      <c r="F15" s="57">
        <v>0</v>
      </c>
      <c r="G15" s="57">
        <v>4300</v>
      </c>
      <c r="H15" s="57">
        <v>6600</v>
      </c>
      <c r="I15" s="57">
        <v>0</v>
      </c>
      <c r="J15" s="57">
        <v>0</v>
      </c>
      <c r="K15" s="57">
        <f t="shared" si="0"/>
        <v>77500</v>
      </c>
      <c r="L15" s="57">
        <v>30075</v>
      </c>
      <c r="M15" s="57">
        <v>0</v>
      </c>
      <c r="N15" s="57">
        <v>0</v>
      </c>
      <c r="O15" s="57">
        <v>0</v>
      </c>
      <c r="P15" s="584">
        <v>4.18</v>
      </c>
      <c r="Q15" s="57">
        <v>0</v>
      </c>
      <c r="R15" s="57">
        <v>2170916</v>
      </c>
      <c r="S15" s="57">
        <v>146407</v>
      </c>
      <c r="T15" s="57">
        <v>359100</v>
      </c>
      <c r="U15" s="57">
        <v>357097</v>
      </c>
      <c r="W15" s="2">
        <v>678168</v>
      </c>
      <c r="Y15" s="2">
        <v>12110284</v>
      </c>
      <c r="Z15" s="2">
        <v>10514967</v>
      </c>
      <c r="AB15" s="2">
        <v>291254</v>
      </c>
    </row>
    <row r="16" spans="1:29" ht="10.9" customHeight="1" x14ac:dyDescent="0.2">
      <c r="A16" s="274" t="s">
        <v>156</v>
      </c>
      <c r="B16" s="2" t="s">
        <v>114</v>
      </c>
      <c r="C16" s="57">
        <v>0</v>
      </c>
      <c r="D16" s="57">
        <v>0</v>
      </c>
      <c r="E16" s="57">
        <v>0</v>
      </c>
      <c r="F16" s="57">
        <v>0</v>
      </c>
      <c r="G16" s="57">
        <v>0</v>
      </c>
      <c r="H16" s="57">
        <v>0</v>
      </c>
      <c r="I16" s="57">
        <v>0</v>
      </c>
      <c r="J16" s="57">
        <v>0</v>
      </c>
      <c r="K16" s="57">
        <f t="shared" si="0"/>
        <v>0</v>
      </c>
      <c r="L16" s="57">
        <v>23094</v>
      </c>
      <c r="M16" s="57">
        <v>0</v>
      </c>
      <c r="N16" s="57">
        <v>0</v>
      </c>
      <c r="O16" s="57">
        <v>0</v>
      </c>
      <c r="P16" s="584">
        <v>5</v>
      </c>
      <c r="Q16" s="57">
        <v>0</v>
      </c>
      <c r="R16" s="57">
        <v>1479909</v>
      </c>
      <c r="S16" s="57">
        <v>99210</v>
      </c>
      <c r="T16" s="57">
        <v>285000</v>
      </c>
      <c r="U16" s="57">
        <v>84520</v>
      </c>
      <c r="W16" s="2">
        <v>207103</v>
      </c>
      <c r="Y16" s="2">
        <v>5073713</v>
      </c>
      <c r="Z16" s="2">
        <v>4321000</v>
      </c>
      <c r="AB16" s="2">
        <v>209745</v>
      </c>
    </row>
    <row r="17" spans="1:30" ht="10.9" customHeight="1" x14ac:dyDescent="0.2">
      <c r="A17" s="274" t="s">
        <v>157</v>
      </c>
      <c r="B17" s="2" t="s">
        <v>115</v>
      </c>
      <c r="C17" s="57">
        <v>70409</v>
      </c>
      <c r="D17" s="57">
        <v>0</v>
      </c>
      <c r="E17" s="57">
        <v>0</v>
      </c>
      <c r="F17" s="57">
        <v>0</v>
      </c>
      <c r="G17" s="57">
        <v>1760</v>
      </c>
      <c r="H17" s="57">
        <v>0</v>
      </c>
      <c r="I17" s="57">
        <v>0</v>
      </c>
      <c r="J17" s="57">
        <v>0</v>
      </c>
      <c r="K17" s="57">
        <f t="shared" si="0"/>
        <v>72169</v>
      </c>
      <c r="L17" s="57">
        <v>29158</v>
      </c>
      <c r="M17" s="57">
        <v>0</v>
      </c>
      <c r="N17" s="57">
        <v>0</v>
      </c>
      <c r="O17" s="57">
        <v>5000</v>
      </c>
      <c r="P17" s="584">
        <v>4.18</v>
      </c>
      <c r="Q17" s="57">
        <v>0</v>
      </c>
      <c r="R17" s="57">
        <v>1779356</v>
      </c>
      <c r="S17" s="57">
        <v>142615</v>
      </c>
      <c r="T17" s="57">
        <v>336300</v>
      </c>
      <c r="U17" s="57">
        <v>109876</v>
      </c>
      <c r="W17" s="2">
        <v>868924</v>
      </c>
      <c r="Y17" s="2">
        <v>9469638</v>
      </c>
      <c r="Z17" s="2">
        <v>8981853</v>
      </c>
      <c r="AB17" s="2">
        <v>262183</v>
      </c>
    </row>
    <row r="18" spans="1:30" ht="10.9" customHeight="1" x14ac:dyDescent="0.2">
      <c r="A18" s="274" t="s">
        <v>158</v>
      </c>
      <c r="B18" s="2" t="s">
        <v>116</v>
      </c>
      <c r="C18" s="57">
        <v>3077935</v>
      </c>
      <c r="D18" s="57">
        <v>0</v>
      </c>
      <c r="E18" s="57">
        <v>1472508</v>
      </c>
      <c r="F18" s="57">
        <v>0</v>
      </c>
      <c r="G18" s="57">
        <v>98535</v>
      </c>
      <c r="H18" s="57">
        <v>32400</v>
      </c>
      <c r="I18" s="57">
        <v>149468</v>
      </c>
      <c r="J18" s="57">
        <v>0</v>
      </c>
      <c r="K18" s="57">
        <f t="shared" si="0"/>
        <v>4830846</v>
      </c>
      <c r="L18" s="57">
        <v>0</v>
      </c>
      <c r="M18" s="57">
        <v>0</v>
      </c>
      <c r="N18" s="57">
        <v>0</v>
      </c>
      <c r="O18" s="57">
        <v>0</v>
      </c>
      <c r="P18" s="584">
        <v>3.5000000000000004</v>
      </c>
      <c r="Q18" s="57">
        <v>0</v>
      </c>
      <c r="R18" s="57">
        <v>6758777</v>
      </c>
      <c r="S18" s="57">
        <v>331706</v>
      </c>
      <c r="T18" s="57">
        <v>972800</v>
      </c>
      <c r="U18" s="57">
        <v>538815</v>
      </c>
      <c r="W18" s="2">
        <v>105285</v>
      </c>
      <c r="Y18" s="2">
        <v>3603882</v>
      </c>
      <c r="Z18" s="2">
        <v>3285408</v>
      </c>
      <c r="AB18" s="2">
        <v>1454398</v>
      </c>
    </row>
    <row r="19" spans="1:30" ht="10.9" customHeight="1" x14ac:dyDescent="0.2">
      <c r="A19" s="274" t="s">
        <v>159</v>
      </c>
      <c r="B19" s="2" t="s">
        <v>117</v>
      </c>
      <c r="C19" s="57">
        <v>429949</v>
      </c>
      <c r="D19" s="57">
        <v>0</v>
      </c>
      <c r="E19" s="57">
        <v>0</v>
      </c>
      <c r="F19" s="57">
        <v>27000</v>
      </c>
      <c r="G19" s="57">
        <v>0</v>
      </c>
      <c r="H19" s="57">
        <v>16097</v>
      </c>
      <c r="I19" s="57">
        <v>0</v>
      </c>
      <c r="J19" s="57">
        <v>0</v>
      </c>
      <c r="K19" s="57">
        <f t="shared" si="0"/>
        <v>473046</v>
      </c>
      <c r="L19" s="57">
        <v>38961</v>
      </c>
      <c r="M19" s="57">
        <v>0</v>
      </c>
      <c r="N19" s="57">
        <v>0</v>
      </c>
      <c r="O19" s="57">
        <v>0</v>
      </c>
      <c r="P19" s="584">
        <v>3.61</v>
      </c>
      <c r="Q19" s="57">
        <v>0</v>
      </c>
      <c r="R19" s="57">
        <v>5188893</v>
      </c>
      <c r="S19" s="57">
        <v>319868</v>
      </c>
      <c r="T19" s="57">
        <v>811300</v>
      </c>
      <c r="U19" s="57">
        <v>802940</v>
      </c>
      <c r="W19" s="2">
        <v>272222</v>
      </c>
      <c r="Y19" s="2">
        <v>19108368</v>
      </c>
      <c r="Z19" s="2">
        <v>18462195</v>
      </c>
      <c r="AB19" s="2">
        <v>640381</v>
      </c>
    </row>
    <row r="20" spans="1:30" ht="10.9" customHeight="1" x14ac:dyDescent="0.2">
      <c r="A20" s="274" t="s">
        <v>160</v>
      </c>
      <c r="B20" s="2" t="s">
        <v>118</v>
      </c>
      <c r="C20" s="57">
        <v>1838577</v>
      </c>
      <c r="D20" s="57">
        <v>0</v>
      </c>
      <c r="E20" s="57">
        <v>0</v>
      </c>
      <c r="F20" s="57">
        <v>0</v>
      </c>
      <c r="G20" s="57">
        <v>0</v>
      </c>
      <c r="H20" s="57">
        <v>0</v>
      </c>
      <c r="I20" s="57">
        <v>0</v>
      </c>
      <c r="J20" s="57">
        <v>0</v>
      </c>
      <c r="K20" s="57">
        <f t="shared" si="0"/>
        <v>1838577</v>
      </c>
      <c r="L20" s="57">
        <v>72476</v>
      </c>
      <c r="M20" s="57">
        <v>0</v>
      </c>
      <c r="N20" s="57">
        <v>0</v>
      </c>
      <c r="O20" s="57">
        <v>0</v>
      </c>
      <c r="P20" s="584">
        <v>3.5000000000000004</v>
      </c>
      <c r="Q20" s="57">
        <v>0</v>
      </c>
      <c r="R20" s="57">
        <v>8487398</v>
      </c>
      <c r="S20" s="57">
        <v>572265</v>
      </c>
      <c r="T20" s="57">
        <v>1493400</v>
      </c>
      <c r="U20" s="57">
        <v>1324851</v>
      </c>
      <c r="W20" s="2">
        <v>266510</v>
      </c>
      <c r="Y20" s="2">
        <v>33997050</v>
      </c>
      <c r="Z20" s="2">
        <v>32488924</v>
      </c>
      <c r="AB20" s="2">
        <v>1053566</v>
      </c>
    </row>
    <row r="21" spans="1:30" ht="10.9" customHeight="1" x14ac:dyDescent="0.2">
      <c r="A21" s="274" t="s">
        <v>161</v>
      </c>
      <c r="B21" s="2" t="s">
        <v>119</v>
      </c>
      <c r="C21" s="57">
        <v>177197</v>
      </c>
      <c r="D21" s="57">
        <v>169820</v>
      </c>
      <c r="E21" s="57">
        <v>0</v>
      </c>
      <c r="F21" s="57">
        <v>0</v>
      </c>
      <c r="G21" s="57">
        <v>8308</v>
      </c>
      <c r="H21" s="57">
        <v>20747</v>
      </c>
      <c r="I21" s="57">
        <v>234</v>
      </c>
      <c r="J21" s="57">
        <v>0</v>
      </c>
      <c r="K21" s="57">
        <f t="shared" si="0"/>
        <v>376306</v>
      </c>
      <c r="L21" s="57">
        <v>42819</v>
      </c>
      <c r="M21" s="57">
        <v>0</v>
      </c>
      <c r="N21" s="57">
        <v>0</v>
      </c>
      <c r="O21" s="57">
        <v>0</v>
      </c>
      <c r="P21" s="584">
        <v>3.92</v>
      </c>
      <c r="Q21" s="57">
        <v>0</v>
      </c>
      <c r="R21" s="57">
        <v>3451314</v>
      </c>
      <c r="S21" s="57">
        <v>282437</v>
      </c>
      <c r="T21" s="57">
        <v>537700</v>
      </c>
      <c r="U21" s="57">
        <v>526137</v>
      </c>
      <c r="W21" s="2">
        <v>467949</v>
      </c>
      <c r="Y21" s="2">
        <v>19356720</v>
      </c>
      <c r="Z21" s="2">
        <v>18067169</v>
      </c>
      <c r="AB21" s="2">
        <v>459333.5</v>
      </c>
    </row>
    <row r="22" spans="1:30" ht="10.9" customHeight="1" x14ac:dyDescent="0.2">
      <c r="A22" s="274" t="s">
        <v>162</v>
      </c>
      <c r="B22" s="2" t="s">
        <v>120</v>
      </c>
      <c r="C22" s="57">
        <v>10821</v>
      </c>
      <c r="D22" s="57">
        <v>0</v>
      </c>
      <c r="E22" s="57">
        <v>0</v>
      </c>
      <c r="F22" s="57">
        <v>0</v>
      </c>
      <c r="G22" s="57">
        <v>0</v>
      </c>
      <c r="H22" s="57">
        <v>13793</v>
      </c>
      <c r="I22" s="57">
        <v>0</v>
      </c>
      <c r="J22" s="57">
        <v>0</v>
      </c>
      <c r="K22" s="57">
        <f t="shared" si="0"/>
        <v>24614</v>
      </c>
      <c r="L22" s="57">
        <v>31280</v>
      </c>
      <c r="M22" s="57">
        <v>0</v>
      </c>
      <c r="N22" s="57">
        <v>0</v>
      </c>
      <c r="O22" s="57">
        <v>0</v>
      </c>
      <c r="P22" s="584">
        <v>5</v>
      </c>
      <c r="Q22" s="57">
        <v>0</v>
      </c>
      <c r="R22" s="57">
        <v>2771964</v>
      </c>
      <c r="S22" s="57">
        <v>193497</v>
      </c>
      <c r="T22" s="57">
        <v>491150</v>
      </c>
      <c r="U22" s="57">
        <v>287368</v>
      </c>
      <c r="W22" s="2">
        <v>172842</v>
      </c>
      <c r="Y22" s="2">
        <v>4866303</v>
      </c>
      <c r="Z22" s="2">
        <v>4556896</v>
      </c>
      <c r="AB22" s="2">
        <v>340888</v>
      </c>
    </row>
    <row r="23" spans="1:30" ht="10.9" customHeight="1" x14ac:dyDescent="0.2">
      <c r="A23" s="274" t="s">
        <v>163</v>
      </c>
      <c r="B23" s="2" t="s">
        <v>121</v>
      </c>
      <c r="C23" s="57">
        <v>104869</v>
      </c>
      <c r="D23" s="57">
        <v>0</v>
      </c>
      <c r="E23" s="57">
        <v>0</v>
      </c>
      <c r="F23" s="57">
        <v>0</v>
      </c>
      <c r="G23" s="57">
        <v>0</v>
      </c>
      <c r="H23" s="57">
        <v>1700</v>
      </c>
      <c r="I23" s="57">
        <v>0</v>
      </c>
      <c r="J23" s="57">
        <v>0</v>
      </c>
      <c r="K23" s="57">
        <f t="shared" si="0"/>
        <v>106569</v>
      </c>
      <c r="L23" s="57">
        <v>26770</v>
      </c>
      <c r="M23" s="57">
        <v>0</v>
      </c>
      <c r="N23" s="57">
        <v>0</v>
      </c>
      <c r="O23" s="57">
        <v>0</v>
      </c>
      <c r="P23" s="584">
        <v>4.24</v>
      </c>
      <c r="Q23" s="57">
        <v>0</v>
      </c>
      <c r="R23" s="57">
        <v>1916894</v>
      </c>
      <c r="S23" s="57">
        <v>107997</v>
      </c>
      <c r="T23" s="57">
        <v>304000</v>
      </c>
      <c r="U23" s="57">
        <v>242995</v>
      </c>
      <c r="W23" s="2">
        <v>289162</v>
      </c>
      <c r="Y23" s="2">
        <v>5113716</v>
      </c>
      <c r="Z23" s="2">
        <v>4673643</v>
      </c>
      <c r="AB23" s="2">
        <v>233256</v>
      </c>
    </row>
    <row r="24" spans="1:30" ht="10.9" customHeight="1" x14ac:dyDescent="0.2">
      <c r="A24" s="274" t="s">
        <v>164</v>
      </c>
      <c r="B24" s="2" t="s">
        <v>122</v>
      </c>
      <c r="C24" s="57">
        <v>220611</v>
      </c>
      <c r="D24" s="57">
        <v>0</v>
      </c>
      <c r="E24" s="57">
        <v>0</v>
      </c>
      <c r="F24" s="57">
        <v>0</v>
      </c>
      <c r="G24" s="57">
        <v>3750</v>
      </c>
      <c r="H24" s="57">
        <v>0</v>
      </c>
      <c r="I24" s="57">
        <v>0</v>
      </c>
      <c r="J24" s="57">
        <v>0</v>
      </c>
      <c r="K24" s="57">
        <f t="shared" si="0"/>
        <v>224361</v>
      </c>
      <c r="L24" s="57">
        <v>52760</v>
      </c>
      <c r="M24" s="57">
        <v>0</v>
      </c>
      <c r="N24" s="57">
        <v>0</v>
      </c>
      <c r="O24" s="57">
        <v>4188</v>
      </c>
      <c r="P24" s="584">
        <v>3.71</v>
      </c>
      <c r="Q24" s="57">
        <v>0</v>
      </c>
      <c r="R24" s="57">
        <v>5182225</v>
      </c>
      <c r="S24" s="57">
        <v>355470</v>
      </c>
      <c r="T24" s="57">
        <v>984200</v>
      </c>
      <c r="U24" s="57">
        <v>716307</v>
      </c>
      <c r="W24" s="2">
        <v>524987</v>
      </c>
      <c r="Y24" s="2">
        <v>32182749</v>
      </c>
      <c r="Z24" s="2">
        <v>29489846</v>
      </c>
      <c r="AB24" s="2">
        <v>711729</v>
      </c>
    </row>
    <row r="25" spans="1:30" ht="10.9" customHeight="1" x14ac:dyDescent="0.2">
      <c r="A25" s="274" t="s">
        <v>165</v>
      </c>
      <c r="B25" s="2" t="s">
        <v>123</v>
      </c>
      <c r="C25" s="57">
        <v>650606</v>
      </c>
      <c r="D25" s="57">
        <v>426071</v>
      </c>
      <c r="E25" s="57">
        <v>25705</v>
      </c>
      <c r="F25" s="57">
        <v>0</v>
      </c>
      <c r="G25" s="57">
        <v>13922</v>
      </c>
      <c r="H25" s="57">
        <v>37625</v>
      </c>
      <c r="I25" s="57">
        <v>0</v>
      </c>
      <c r="J25" s="57">
        <v>0</v>
      </c>
      <c r="K25" s="57">
        <f t="shared" si="0"/>
        <v>1153929</v>
      </c>
      <c r="L25" s="57">
        <v>13593</v>
      </c>
      <c r="M25" s="57">
        <v>1500682</v>
      </c>
      <c r="N25" s="57">
        <v>0</v>
      </c>
      <c r="O25" s="57">
        <v>0</v>
      </c>
      <c r="P25" s="584">
        <v>3.5000000000000004</v>
      </c>
      <c r="Q25" s="57">
        <v>0</v>
      </c>
      <c r="R25" s="57">
        <v>16448970</v>
      </c>
      <c r="S25" s="57">
        <v>1053638</v>
      </c>
      <c r="T25" s="57">
        <v>3099850</v>
      </c>
      <c r="U25" s="57">
        <v>4815527</v>
      </c>
      <c r="W25" s="2">
        <v>481407</v>
      </c>
      <c r="Y25" s="2">
        <v>108343645</v>
      </c>
      <c r="Z25" s="2">
        <v>101802642</v>
      </c>
      <c r="AB25" s="2">
        <v>2316100</v>
      </c>
    </row>
    <row r="26" spans="1:30" ht="10.9" customHeight="1" x14ac:dyDescent="0.2">
      <c r="A26" s="274" t="s">
        <v>166</v>
      </c>
      <c r="B26" s="2" t="s">
        <v>124</v>
      </c>
      <c r="C26" s="57">
        <v>0</v>
      </c>
      <c r="D26" s="57">
        <v>0</v>
      </c>
      <c r="E26" s="57">
        <v>0</v>
      </c>
      <c r="F26" s="57">
        <v>0</v>
      </c>
      <c r="G26" s="57">
        <v>0</v>
      </c>
      <c r="H26" s="57">
        <v>4135</v>
      </c>
      <c r="I26" s="57">
        <v>0</v>
      </c>
      <c r="J26" s="57">
        <v>0</v>
      </c>
      <c r="K26" s="57">
        <f t="shared" si="0"/>
        <v>4135</v>
      </c>
      <c r="L26" s="57">
        <v>25019</v>
      </c>
      <c r="M26" s="57">
        <v>0</v>
      </c>
      <c r="N26" s="57">
        <v>0</v>
      </c>
      <c r="O26" s="57">
        <v>0</v>
      </c>
      <c r="P26" s="584">
        <v>3.88</v>
      </c>
      <c r="Q26" s="57">
        <v>0</v>
      </c>
      <c r="R26" s="57">
        <v>3867342</v>
      </c>
      <c r="S26" s="57">
        <v>310642</v>
      </c>
      <c r="T26" s="57">
        <v>563350</v>
      </c>
      <c r="U26" s="57">
        <v>302159</v>
      </c>
      <c r="W26" s="2">
        <v>357556</v>
      </c>
      <c r="Y26" s="2">
        <v>16601876</v>
      </c>
      <c r="Z26" s="2">
        <v>15911516</v>
      </c>
      <c r="AB26" s="2">
        <v>769803</v>
      </c>
    </row>
    <row r="27" spans="1:30" ht="10.9" customHeight="1" x14ac:dyDescent="0.2">
      <c r="A27" s="274" t="s">
        <v>167</v>
      </c>
      <c r="B27" s="2" t="s">
        <v>125</v>
      </c>
      <c r="C27" s="57">
        <v>6600</v>
      </c>
      <c r="D27" s="57">
        <v>0</v>
      </c>
      <c r="E27" s="57">
        <v>0</v>
      </c>
      <c r="F27" s="57">
        <v>0</v>
      </c>
      <c r="G27" s="57">
        <v>0</v>
      </c>
      <c r="H27" s="57">
        <v>0</v>
      </c>
      <c r="I27" s="57">
        <v>0</v>
      </c>
      <c r="J27" s="57">
        <v>0</v>
      </c>
      <c r="K27" s="57">
        <f t="shared" si="0"/>
        <v>6600</v>
      </c>
      <c r="L27" s="57">
        <v>49737</v>
      </c>
      <c r="M27" s="57">
        <v>0</v>
      </c>
      <c r="N27" s="57">
        <v>0</v>
      </c>
      <c r="O27" s="57">
        <v>0</v>
      </c>
      <c r="P27" s="584">
        <v>5</v>
      </c>
      <c r="Q27" s="57">
        <v>0</v>
      </c>
      <c r="R27" s="57">
        <v>5145174</v>
      </c>
      <c r="S27" s="57">
        <v>327690</v>
      </c>
      <c r="T27" s="57">
        <v>695400</v>
      </c>
      <c r="U27" s="57">
        <v>944511</v>
      </c>
      <c r="W27" s="2">
        <v>187707</v>
      </c>
      <c r="Y27" s="2">
        <v>9784027</v>
      </c>
      <c r="Z27" s="2">
        <v>8697977</v>
      </c>
      <c r="AB27" s="2">
        <v>467621</v>
      </c>
    </row>
    <row r="28" spans="1:30" ht="10.9" customHeight="1" x14ac:dyDescent="0.2">
      <c r="A28" s="274" t="s">
        <v>168</v>
      </c>
      <c r="B28" s="2" t="s">
        <v>126</v>
      </c>
      <c r="C28" s="57">
        <v>111194</v>
      </c>
      <c r="D28" s="57">
        <v>0</v>
      </c>
      <c r="E28" s="57">
        <v>20320</v>
      </c>
      <c r="F28" s="57">
        <v>0</v>
      </c>
      <c r="G28" s="57">
        <v>0</v>
      </c>
      <c r="H28" s="57">
        <v>0</v>
      </c>
      <c r="I28" s="57">
        <v>0</v>
      </c>
      <c r="J28" s="57">
        <v>0</v>
      </c>
      <c r="K28" s="57">
        <f t="shared" si="0"/>
        <v>131514</v>
      </c>
      <c r="L28" s="57">
        <v>30307</v>
      </c>
      <c r="M28" s="57">
        <v>0</v>
      </c>
      <c r="N28" s="57">
        <v>198824</v>
      </c>
      <c r="O28" s="57">
        <v>0</v>
      </c>
      <c r="P28" s="584">
        <v>4.07</v>
      </c>
      <c r="Q28" s="57">
        <v>0</v>
      </c>
      <c r="R28" s="57">
        <v>2401323</v>
      </c>
      <c r="S28" s="57">
        <v>162465</v>
      </c>
      <c r="T28" s="57">
        <v>266000</v>
      </c>
      <c r="U28" s="57">
        <v>162701</v>
      </c>
      <c r="W28" s="2">
        <v>540078</v>
      </c>
      <c r="Y28" s="2">
        <v>10363375</v>
      </c>
      <c r="Z28" s="2">
        <v>9546022</v>
      </c>
      <c r="AB28" s="2">
        <v>393271</v>
      </c>
      <c r="AC28" s="2">
        <v>50000</v>
      </c>
      <c r="AD28" s="2" t="s">
        <v>396</v>
      </c>
    </row>
    <row r="29" spans="1:30" ht="10.9" customHeight="1" x14ac:dyDescent="0.2">
      <c r="A29" s="274" t="s">
        <v>169</v>
      </c>
      <c r="B29" s="2" t="s">
        <v>127</v>
      </c>
      <c r="C29" s="57">
        <v>1910557</v>
      </c>
      <c r="D29" s="57">
        <v>0</v>
      </c>
      <c r="E29" s="57">
        <v>0</v>
      </c>
      <c r="F29" s="57">
        <v>0</v>
      </c>
      <c r="G29" s="57">
        <v>720</v>
      </c>
      <c r="H29" s="57">
        <v>0</v>
      </c>
      <c r="I29" s="57">
        <v>0</v>
      </c>
      <c r="J29" s="57">
        <v>0</v>
      </c>
      <c r="K29" s="57">
        <f t="shared" si="0"/>
        <v>1911277</v>
      </c>
      <c r="L29" s="57">
        <v>126159</v>
      </c>
      <c r="M29" s="57">
        <v>801056</v>
      </c>
      <c r="N29" s="57">
        <v>0</v>
      </c>
      <c r="O29" s="57">
        <v>0</v>
      </c>
      <c r="P29" s="584">
        <v>3.5000000000000004</v>
      </c>
      <c r="Q29" s="57">
        <v>0</v>
      </c>
      <c r="R29" s="57">
        <v>13211397</v>
      </c>
      <c r="S29" s="57">
        <v>967733</v>
      </c>
      <c r="T29" s="57">
        <v>2798700</v>
      </c>
      <c r="U29" s="57">
        <v>3034268</v>
      </c>
      <c r="W29" s="2">
        <v>602030</v>
      </c>
      <c r="Y29" s="2">
        <v>104583716</v>
      </c>
      <c r="Z29" s="2">
        <v>99724027</v>
      </c>
      <c r="AB29" s="2">
        <v>1838306</v>
      </c>
    </row>
    <row r="30" spans="1:30" ht="10.9" customHeight="1" x14ac:dyDescent="0.2">
      <c r="A30" s="274" t="s">
        <v>170</v>
      </c>
      <c r="B30" s="2" t="s">
        <v>128</v>
      </c>
      <c r="C30" s="57">
        <v>32661</v>
      </c>
      <c r="D30" s="57">
        <v>0</v>
      </c>
      <c r="E30" s="57">
        <v>0</v>
      </c>
      <c r="F30" s="57">
        <v>0</v>
      </c>
      <c r="G30" s="57">
        <v>0</v>
      </c>
      <c r="H30" s="57">
        <v>0</v>
      </c>
      <c r="I30" s="57">
        <v>0</v>
      </c>
      <c r="J30" s="57">
        <v>0</v>
      </c>
      <c r="K30" s="57">
        <f t="shared" si="0"/>
        <v>32661</v>
      </c>
      <c r="L30" s="57">
        <v>21905</v>
      </c>
      <c r="M30" s="57">
        <v>0</v>
      </c>
      <c r="N30" s="57">
        <v>0</v>
      </c>
      <c r="O30" s="57">
        <v>256</v>
      </c>
      <c r="P30" s="584">
        <v>4.25</v>
      </c>
      <c r="Q30" s="57">
        <v>0</v>
      </c>
      <c r="R30" s="57">
        <v>1676102</v>
      </c>
      <c r="S30" s="57">
        <v>106920</v>
      </c>
      <c r="T30" s="57">
        <v>210900</v>
      </c>
      <c r="U30" s="57">
        <v>253560</v>
      </c>
      <c r="W30" s="2">
        <v>473896</v>
      </c>
      <c r="Y30" s="2">
        <v>7466682</v>
      </c>
      <c r="Z30" s="2">
        <v>7134467</v>
      </c>
      <c r="AB30" s="2">
        <v>209725</v>
      </c>
    </row>
    <row r="31" spans="1:30" ht="10.9" customHeight="1" x14ac:dyDescent="0.2">
      <c r="A31" s="274" t="s">
        <v>171</v>
      </c>
      <c r="B31" s="2" t="s">
        <v>129</v>
      </c>
      <c r="C31" s="57">
        <v>39000</v>
      </c>
      <c r="D31" s="57">
        <v>0</v>
      </c>
      <c r="E31" s="57">
        <v>0</v>
      </c>
      <c r="F31" s="57">
        <v>0</v>
      </c>
      <c r="G31" s="57">
        <v>0</v>
      </c>
      <c r="H31" s="57">
        <v>0</v>
      </c>
      <c r="I31" s="57">
        <v>0</v>
      </c>
      <c r="J31" s="57">
        <v>0</v>
      </c>
      <c r="K31" s="57">
        <f t="shared" si="0"/>
        <v>39000</v>
      </c>
      <c r="L31" s="57">
        <v>40893</v>
      </c>
      <c r="M31" s="57">
        <v>0</v>
      </c>
      <c r="N31" s="57">
        <v>0</v>
      </c>
      <c r="O31" s="57">
        <v>0</v>
      </c>
      <c r="P31" s="584">
        <v>3.82</v>
      </c>
      <c r="Q31" s="57">
        <v>0</v>
      </c>
      <c r="R31" s="57">
        <v>3731483</v>
      </c>
      <c r="S31" s="57">
        <v>308930</v>
      </c>
      <c r="T31" s="57">
        <v>870200</v>
      </c>
      <c r="U31" s="57">
        <v>671934</v>
      </c>
      <c r="W31" s="2">
        <v>407771</v>
      </c>
      <c r="Y31" s="2">
        <v>18223533</v>
      </c>
      <c r="Z31" s="2">
        <v>17700497</v>
      </c>
      <c r="AB31" s="2">
        <v>606504</v>
      </c>
    </row>
    <row r="32" spans="1:30" ht="10.9" customHeight="1" x14ac:dyDescent="0.2">
      <c r="A32" s="274" t="s">
        <v>172</v>
      </c>
      <c r="B32" s="2" t="s">
        <v>130</v>
      </c>
      <c r="C32" s="57">
        <v>269789</v>
      </c>
      <c r="D32" s="57">
        <v>0</v>
      </c>
      <c r="E32" s="57">
        <v>650</v>
      </c>
      <c r="F32" s="57">
        <v>0</v>
      </c>
      <c r="G32" s="57">
        <v>0</v>
      </c>
      <c r="H32" s="57">
        <v>2650</v>
      </c>
      <c r="I32" s="57">
        <v>0</v>
      </c>
      <c r="J32" s="57">
        <v>0</v>
      </c>
      <c r="K32" s="57">
        <f t="shared" si="0"/>
        <v>273089</v>
      </c>
      <c r="L32" s="57">
        <v>33108</v>
      </c>
      <c r="M32" s="57">
        <v>0</v>
      </c>
      <c r="N32" s="57">
        <v>0</v>
      </c>
      <c r="O32" s="57">
        <v>0</v>
      </c>
      <c r="P32" s="584">
        <v>4.03</v>
      </c>
      <c r="Q32" s="57">
        <v>0</v>
      </c>
      <c r="R32" s="57">
        <v>3100234</v>
      </c>
      <c r="S32" s="57">
        <v>228239</v>
      </c>
      <c r="T32" s="57">
        <v>326800</v>
      </c>
      <c r="U32" s="57">
        <v>300046</v>
      </c>
      <c r="W32" s="2">
        <v>574746</v>
      </c>
      <c r="Y32" s="2">
        <v>17585611</v>
      </c>
      <c r="Z32" s="2">
        <v>16432502</v>
      </c>
      <c r="AB32" s="2">
        <v>385624</v>
      </c>
    </row>
    <row r="33" spans="1:28" ht="10.9" customHeight="1" x14ac:dyDescent="0.2">
      <c r="A33" s="274" t="s">
        <v>173</v>
      </c>
      <c r="B33" s="2" t="s">
        <v>131</v>
      </c>
      <c r="C33" s="57">
        <v>63211</v>
      </c>
      <c r="D33" s="57">
        <v>0</v>
      </c>
      <c r="E33" s="57">
        <v>0</v>
      </c>
      <c r="F33" s="57">
        <v>0</v>
      </c>
      <c r="G33" s="57">
        <v>40</v>
      </c>
      <c r="H33" s="57">
        <v>8119</v>
      </c>
      <c r="I33" s="57">
        <v>6600</v>
      </c>
      <c r="J33" s="57">
        <v>0</v>
      </c>
      <c r="K33" s="57">
        <f t="shared" si="0"/>
        <v>77970</v>
      </c>
      <c r="L33" s="57">
        <v>41687</v>
      </c>
      <c r="M33" s="57">
        <v>0</v>
      </c>
      <c r="N33" s="57">
        <v>0</v>
      </c>
      <c r="O33" s="57">
        <v>0</v>
      </c>
      <c r="P33" s="584">
        <v>4.04</v>
      </c>
      <c r="Q33" s="57">
        <v>0</v>
      </c>
      <c r="R33" s="57">
        <v>3228056</v>
      </c>
      <c r="S33" s="57">
        <v>215039</v>
      </c>
      <c r="T33" s="57">
        <v>304000</v>
      </c>
      <c r="U33" s="57">
        <v>338080</v>
      </c>
      <c r="W33" s="2">
        <v>591795</v>
      </c>
      <c r="Y33" s="2">
        <v>15048704</v>
      </c>
      <c r="Z33" s="2">
        <v>14154719</v>
      </c>
      <c r="AB33" s="2">
        <v>491955</v>
      </c>
    </row>
    <row r="34" spans="1:28" ht="10.9" customHeight="1" x14ac:dyDescent="0.2">
      <c r="A34" s="274" t="s">
        <v>174</v>
      </c>
      <c r="B34" s="2" t="s">
        <v>132</v>
      </c>
      <c r="C34" s="57">
        <v>428761</v>
      </c>
      <c r="D34" s="57">
        <v>0</v>
      </c>
      <c r="E34" s="57">
        <v>0</v>
      </c>
      <c r="F34" s="57">
        <v>0</v>
      </c>
      <c r="G34" s="57">
        <v>0</v>
      </c>
      <c r="H34" s="57">
        <v>11145</v>
      </c>
      <c r="I34" s="57">
        <v>0</v>
      </c>
      <c r="J34" s="57">
        <v>0</v>
      </c>
      <c r="K34" s="57">
        <f t="shared" si="0"/>
        <v>439906</v>
      </c>
      <c r="L34" s="57">
        <v>38317</v>
      </c>
      <c r="M34" s="57">
        <v>0</v>
      </c>
      <c r="N34" s="57">
        <v>0</v>
      </c>
      <c r="O34" s="57">
        <v>0</v>
      </c>
      <c r="P34" s="584">
        <v>4.04</v>
      </c>
      <c r="Q34" s="57">
        <v>0</v>
      </c>
      <c r="R34" s="57">
        <v>3620062</v>
      </c>
      <c r="S34" s="57">
        <v>212254</v>
      </c>
      <c r="T34" s="57">
        <v>555750</v>
      </c>
      <c r="U34" s="57">
        <v>490216</v>
      </c>
      <c r="W34" s="2">
        <v>617094</v>
      </c>
      <c r="Y34" s="2">
        <v>20399322</v>
      </c>
      <c r="Z34" s="2">
        <v>19529446</v>
      </c>
      <c r="AB34" s="2">
        <v>377038</v>
      </c>
    </row>
    <row r="35" spans="1:28" ht="10.9" customHeight="1" x14ac:dyDescent="0.2">
      <c r="A35" s="274" t="s">
        <v>175</v>
      </c>
      <c r="B35" s="2" t="s">
        <v>133</v>
      </c>
      <c r="C35" s="57">
        <v>589139</v>
      </c>
      <c r="D35" s="57">
        <v>17045</v>
      </c>
      <c r="E35" s="57">
        <v>0</v>
      </c>
      <c r="F35" s="57">
        <v>0</v>
      </c>
      <c r="G35" s="57">
        <v>0</v>
      </c>
      <c r="H35" s="57">
        <v>45035</v>
      </c>
      <c r="I35" s="57">
        <v>0</v>
      </c>
      <c r="J35" s="57">
        <v>0</v>
      </c>
      <c r="K35" s="57">
        <f t="shared" si="0"/>
        <v>651219</v>
      </c>
      <c r="L35" s="57">
        <v>127826</v>
      </c>
      <c r="M35" s="57">
        <v>487549</v>
      </c>
      <c r="N35" s="57">
        <v>0</v>
      </c>
      <c r="O35" s="57">
        <v>0</v>
      </c>
      <c r="P35" s="584">
        <v>3.5000000000000004</v>
      </c>
      <c r="Q35" s="57">
        <v>0</v>
      </c>
      <c r="R35" s="57">
        <v>16896540</v>
      </c>
      <c r="S35" s="57">
        <v>1161900</v>
      </c>
      <c r="T35" s="57">
        <v>4062200</v>
      </c>
      <c r="U35" s="57">
        <v>4259808</v>
      </c>
      <c r="W35" s="2">
        <v>419815</v>
      </c>
      <c r="Y35" s="2">
        <v>89420993</v>
      </c>
      <c r="Z35" s="2">
        <v>87930470</v>
      </c>
      <c r="AB35" s="2">
        <v>2453410</v>
      </c>
    </row>
    <row r="36" spans="1:28" ht="10.9" customHeight="1" x14ac:dyDescent="0.2">
      <c r="A36" s="274" t="s">
        <v>176</v>
      </c>
      <c r="B36" s="2" t="s">
        <v>134</v>
      </c>
      <c r="C36" s="57">
        <v>308626</v>
      </c>
      <c r="D36" s="57">
        <v>0</v>
      </c>
      <c r="E36" s="57">
        <v>0</v>
      </c>
      <c r="F36" s="57">
        <v>0</v>
      </c>
      <c r="G36" s="57">
        <v>0</v>
      </c>
      <c r="H36" s="57">
        <v>1250</v>
      </c>
      <c r="I36" s="57">
        <v>0</v>
      </c>
      <c r="J36" s="57">
        <v>0</v>
      </c>
      <c r="K36" s="57">
        <f t="shared" si="0"/>
        <v>309876</v>
      </c>
      <c r="L36" s="57">
        <v>34285</v>
      </c>
      <c r="M36" s="57">
        <v>0</v>
      </c>
      <c r="N36" s="57">
        <v>0</v>
      </c>
      <c r="O36" s="57">
        <v>0</v>
      </c>
      <c r="P36" s="584">
        <v>4.12</v>
      </c>
      <c r="Q36" s="57">
        <v>0</v>
      </c>
      <c r="R36" s="57">
        <v>1972469</v>
      </c>
      <c r="S36" s="57">
        <v>166128</v>
      </c>
      <c r="T36" s="57">
        <v>294500</v>
      </c>
      <c r="U36" s="57">
        <v>126780</v>
      </c>
      <c r="W36" s="2">
        <v>589649</v>
      </c>
      <c r="Y36" s="2">
        <v>12028853</v>
      </c>
      <c r="Z36" s="2">
        <v>11264962</v>
      </c>
      <c r="AB36" s="2">
        <v>321899</v>
      </c>
    </row>
    <row r="37" spans="1:28" ht="10.9" customHeight="1" x14ac:dyDescent="0.2">
      <c r="A37" s="274" t="s">
        <v>177</v>
      </c>
      <c r="B37" s="2" t="s">
        <v>135</v>
      </c>
      <c r="C37" s="57">
        <v>448053</v>
      </c>
      <c r="D37" s="57">
        <v>49981</v>
      </c>
      <c r="E37" s="57">
        <v>0</v>
      </c>
      <c r="F37" s="57">
        <v>0</v>
      </c>
      <c r="G37" s="57">
        <v>0</v>
      </c>
      <c r="H37" s="57">
        <v>37567</v>
      </c>
      <c r="I37" s="57">
        <v>0</v>
      </c>
      <c r="J37" s="57">
        <v>0</v>
      </c>
      <c r="K37" s="57">
        <f t="shared" si="0"/>
        <v>535601</v>
      </c>
      <c r="L37" s="57">
        <v>47216</v>
      </c>
      <c r="M37" s="57">
        <v>0</v>
      </c>
      <c r="N37" s="57">
        <v>0</v>
      </c>
      <c r="O37" s="57">
        <v>5495</v>
      </c>
      <c r="P37" s="584">
        <v>3.65</v>
      </c>
      <c r="Q37" s="57">
        <v>0</v>
      </c>
      <c r="R37" s="57">
        <v>5735639</v>
      </c>
      <c r="S37" s="57">
        <v>401636</v>
      </c>
      <c r="T37" s="57">
        <v>1183700</v>
      </c>
      <c r="U37" s="57">
        <v>813505</v>
      </c>
      <c r="W37" s="2">
        <v>317664</v>
      </c>
      <c r="Y37" s="2">
        <v>27721472</v>
      </c>
      <c r="Z37" s="2">
        <v>25142378</v>
      </c>
      <c r="AB37" s="2">
        <v>587899</v>
      </c>
    </row>
    <row r="38" spans="1:28" ht="10.9" customHeight="1" x14ac:dyDescent="0.2">
      <c r="A38" s="274" t="s">
        <v>178</v>
      </c>
      <c r="B38" s="2" t="s">
        <v>136</v>
      </c>
      <c r="C38" s="57">
        <v>911527</v>
      </c>
      <c r="D38" s="57">
        <v>237618</v>
      </c>
      <c r="E38" s="57">
        <v>24900</v>
      </c>
      <c r="F38" s="57">
        <v>62926</v>
      </c>
      <c r="G38" s="57">
        <v>-87826</v>
      </c>
      <c r="H38" s="57">
        <v>155609</v>
      </c>
      <c r="I38" s="57">
        <v>0</v>
      </c>
      <c r="J38" s="57">
        <v>0</v>
      </c>
      <c r="K38" s="57">
        <f t="shared" si="0"/>
        <v>1304754</v>
      </c>
      <c r="L38" s="57">
        <v>77749</v>
      </c>
      <c r="M38" s="57">
        <v>0</v>
      </c>
      <c r="N38" s="57">
        <v>0</v>
      </c>
      <c r="O38" s="57">
        <v>0</v>
      </c>
      <c r="P38" s="584">
        <v>3.5000000000000004</v>
      </c>
      <c r="Q38" s="57">
        <v>0</v>
      </c>
      <c r="R38" s="57">
        <v>10740511</v>
      </c>
      <c r="S38" s="57">
        <v>816660</v>
      </c>
      <c r="T38" s="57">
        <v>2265750</v>
      </c>
      <c r="U38" s="57">
        <v>3275150</v>
      </c>
      <c r="W38" s="2">
        <v>319411</v>
      </c>
      <c r="Y38" s="2">
        <v>59631124</v>
      </c>
      <c r="Z38" s="2">
        <v>54267290</v>
      </c>
      <c r="AB38" s="2">
        <v>1380050</v>
      </c>
    </row>
    <row r="39" spans="1:28" ht="10.9" customHeight="1" x14ac:dyDescent="0.2">
      <c r="A39" s="274" t="s">
        <v>179</v>
      </c>
      <c r="B39" s="2" t="s">
        <v>137</v>
      </c>
      <c r="C39" s="57">
        <v>255318</v>
      </c>
      <c r="D39" s="57">
        <v>0</v>
      </c>
      <c r="E39" s="57">
        <v>0</v>
      </c>
      <c r="F39" s="57">
        <v>0</v>
      </c>
      <c r="G39" s="57">
        <v>0</v>
      </c>
      <c r="H39" s="57">
        <v>0</v>
      </c>
      <c r="I39" s="57">
        <v>0</v>
      </c>
      <c r="J39" s="57">
        <v>0</v>
      </c>
      <c r="K39" s="57">
        <f t="shared" si="0"/>
        <v>255318</v>
      </c>
      <c r="L39" s="57">
        <v>35409</v>
      </c>
      <c r="M39" s="57">
        <v>0</v>
      </c>
      <c r="N39" s="57">
        <v>0</v>
      </c>
      <c r="O39" s="57">
        <v>0</v>
      </c>
      <c r="P39" s="584">
        <v>4.1500000000000004</v>
      </c>
      <c r="Q39" s="57">
        <v>0</v>
      </c>
      <c r="R39" s="57">
        <v>2236654</v>
      </c>
      <c r="S39" s="57">
        <v>162086</v>
      </c>
      <c r="T39" s="57">
        <v>217550</v>
      </c>
      <c r="U39" s="57">
        <v>211300</v>
      </c>
      <c r="W39" s="2">
        <v>789792</v>
      </c>
      <c r="Y39" s="2">
        <v>13563932</v>
      </c>
      <c r="Z39" s="2">
        <v>12805476</v>
      </c>
      <c r="AB39" s="2">
        <v>316103</v>
      </c>
    </row>
    <row r="40" spans="1:28" ht="10.9" customHeight="1" x14ac:dyDescent="0.2">
      <c r="A40" s="274" t="s">
        <v>180</v>
      </c>
      <c r="B40" s="2" t="s">
        <v>138</v>
      </c>
      <c r="C40" s="57">
        <v>447568</v>
      </c>
      <c r="D40" s="57">
        <v>0</v>
      </c>
      <c r="E40" s="57">
        <v>0</v>
      </c>
      <c r="F40" s="57">
        <v>4205</v>
      </c>
      <c r="G40" s="57">
        <v>0</v>
      </c>
      <c r="H40" s="57">
        <v>0</v>
      </c>
      <c r="I40" s="57">
        <v>0</v>
      </c>
      <c r="J40" s="57">
        <v>0</v>
      </c>
      <c r="K40" s="57">
        <f t="shared" si="0"/>
        <v>451773</v>
      </c>
      <c r="L40" s="57">
        <v>81536</v>
      </c>
      <c r="M40" s="57">
        <v>227007</v>
      </c>
      <c r="N40" s="57">
        <v>0</v>
      </c>
      <c r="O40" s="57">
        <v>0</v>
      </c>
      <c r="P40" s="584">
        <v>3.5000000000000004</v>
      </c>
      <c r="Q40" s="57">
        <v>0</v>
      </c>
      <c r="R40" s="57">
        <v>8378486</v>
      </c>
      <c r="S40" s="57">
        <v>599063</v>
      </c>
      <c r="T40" s="57">
        <v>2474750</v>
      </c>
      <c r="U40" s="57">
        <v>1823519</v>
      </c>
      <c r="W40" s="2">
        <v>573170</v>
      </c>
      <c r="Y40" s="2">
        <v>63088584</v>
      </c>
      <c r="Z40" s="2">
        <v>59608061</v>
      </c>
      <c r="AB40" s="2">
        <v>1422905</v>
      </c>
    </row>
    <row r="41" spans="1:28" ht="10.9" customHeight="1" x14ac:dyDescent="0.2">
      <c r="A41" s="274" t="s">
        <v>181</v>
      </c>
      <c r="B41" s="2" t="s">
        <v>139</v>
      </c>
      <c r="C41" s="57">
        <v>471987</v>
      </c>
      <c r="D41" s="57">
        <v>318872</v>
      </c>
      <c r="E41" s="57">
        <v>20000</v>
      </c>
      <c r="F41" s="57">
        <v>0</v>
      </c>
      <c r="G41" s="57">
        <v>-16809</v>
      </c>
      <c r="H41" s="57">
        <v>8929</v>
      </c>
      <c r="I41" s="57">
        <v>0</v>
      </c>
      <c r="J41" s="57">
        <v>0</v>
      </c>
      <c r="K41" s="57">
        <f t="shared" si="0"/>
        <v>802979</v>
      </c>
      <c r="L41" s="57">
        <v>55579</v>
      </c>
      <c r="M41" s="57">
        <v>0</v>
      </c>
      <c r="N41" s="57">
        <v>0</v>
      </c>
      <c r="O41" s="57">
        <v>0</v>
      </c>
      <c r="P41" s="584">
        <v>3.5999999999999996</v>
      </c>
      <c r="Q41" s="57">
        <v>0</v>
      </c>
      <c r="R41" s="57">
        <v>6829172</v>
      </c>
      <c r="S41" s="57">
        <v>465446</v>
      </c>
      <c r="T41" s="57">
        <v>946200</v>
      </c>
      <c r="U41" s="57">
        <v>1210749</v>
      </c>
      <c r="W41" s="2">
        <v>544768</v>
      </c>
      <c r="Y41" s="2">
        <v>38226986</v>
      </c>
      <c r="Z41" s="2">
        <v>35247289</v>
      </c>
      <c r="AB41" s="2">
        <v>727718</v>
      </c>
    </row>
    <row r="42" spans="1:28" ht="10.9" customHeight="1" x14ac:dyDescent="0.2">
      <c r="A42" s="274" t="s">
        <v>182</v>
      </c>
      <c r="B42" s="2" t="s">
        <v>140</v>
      </c>
      <c r="C42" s="57">
        <v>60000</v>
      </c>
      <c r="D42" s="57">
        <v>0</v>
      </c>
      <c r="E42" s="57">
        <v>0</v>
      </c>
      <c r="F42" s="57">
        <v>0</v>
      </c>
      <c r="G42" s="57">
        <v>0</v>
      </c>
      <c r="H42" s="57">
        <v>0</v>
      </c>
      <c r="I42" s="57">
        <v>0</v>
      </c>
      <c r="J42" s="57">
        <v>0</v>
      </c>
      <c r="K42" s="57">
        <f t="shared" si="0"/>
        <v>60000</v>
      </c>
      <c r="L42" s="57">
        <v>25461</v>
      </c>
      <c r="M42" s="57">
        <v>0</v>
      </c>
      <c r="N42" s="57">
        <v>0</v>
      </c>
      <c r="O42" s="57">
        <v>0</v>
      </c>
      <c r="P42" s="584">
        <v>4.17</v>
      </c>
      <c r="Q42" s="57">
        <v>0</v>
      </c>
      <c r="R42" s="57">
        <v>2359090</v>
      </c>
      <c r="S42" s="57">
        <v>143765</v>
      </c>
      <c r="T42" s="57">
        <v>356250</v>
      </c>
      <c r="U42" s="57">
        <v>221865</v>
      </c>
      <c r="W42" s="2">
        <v>400267</v>
      </c>
      <c r="Y42" s="2">
        <v>8577736</v>
      </c>
      <c r="Z42" s="2">
        <v>7521239</v>
      </c>
      <c r="AB42" s="2">
        <v>338347</v>
      </c>
    </row>
    <row r="43" spans="1:28" ht="10.9" customHeight="1" x14ac:dyDescent="0.2">
      <c r="A43" s="274" t="s">
        <v>183</v>
      </c>
      <c r="B43" s="2" t="s">
        <v>141</v>
      </c>
      <c r="C43" s="57">
        <v>26000</v>
      </c>
      <c r="D43" s="57">
        <v>0</v>
      </c>
      <c r="E43" s="57">
        <v>0</v>
      </c>
      <c r="F43" s="57">
        <v>0</v>
      </c>
      <c r="G43" s="57">
        <v>0</v>
      </c>
      <c r="H43" s="57">
        <v>0</v>
      </c>
      <c r="I43" s="57">
        <v>0</v>
      </c>
      <c r="J43" s="57">
        <v>0</v>
      </c>
      <c r="K43" s="57">
        <f>SUM(C43:I43)-J43</f>
        <v>26000</v>
      </c>
      <c r="L43" s="57">
        <v>25127</v>
      </c>
      <c r="M43" s="57">
        <v>0</v>
      </c>
      <c r="N43" s="57">
        <v>0</v>
      </c>
      <c r="O43" s="57">
        <v>1333</v>
      </c>
      <c r="P43" s="584">
        <v>4.25</v>
      </c>
      <c r="Q43" s="57">
        <v>0</v>
      </c>
      <c r="R43" s="57">
        <v>1278067</v>
      </c>
      <c r="S43" s="57">
        <v>103972</v>
      </c>
      <c r="T43" s="57">
        <v>210900</v>
      </c>
      <c r="U43" s="57">
        <v>63390</v>
      </c>
      <c r="W43" s="2">
        <v>612522</v>
      </c>
      <c r="Y43" s="2">
        <v>7041193</v>
      </c>
      <c r="Z43" s="2">
        <v>7041193</v>
      </c>
      <c r="AB43" s="2">
        <v>182598</v>
      </c>
    </row>
    <row r="44" spans="1:28" ht="10.9" customHeight="1" x14ac:dyDescent="0.2">
      <c r="A44" s="274" t="s">
        <v>184</v>
      </c>
      <c r="B44" s="2" t="s">
        <v>142</v>
      </c>
      <c r="C44" s="57">
        <v>183436</v>
      </c>
      <c r="D44" s="57">
        <v>0</v>
      </c>
      <c r="E44" s="57">
        <v>0</v>
      </c>
      <c r="F44" s="57">
        <v>0</v>
      </c>
      <c r="G44" s="57">
        <v>0</v>
      </c>
      <c r="H44" s="57">
        <v>0</v>
      </c>
      <c r="I44" s="57">
        <v>72</v>
      </c>
      <c r="J44" s="57">
        <v>0</v>
      </c>
      <c r="K44" s="57">
        <f>SUM(C44:I44)-J44</f>
        <v>183508</v>
      </c>
      <c r="L44" s="57">
        <v>19577</v>
      </c>
      <c r="M44" s="57">
        <v>0</v>
      </c>
      <c r="N44" s="57">
        <v>0</v>
      </c>
      <c r="O44" s="57">
        <v>0</v>
      </c>
      <c r="P44" s="584">
        <v>4.25</v>
      </c>
      <c r="Q44" s="57">
        <v>0</v>
      </c>
      <c r="R44" s="57">
        <v>1518847</v>
      </c>
      <c r="S44" s="57">
        <v>75570</v>
      </c>
      <c r="T44" s="57">
        <v>262200</v>
      </c>
      <c r="U44" s="57">
        <v>84520</v>
      </c>
      <c r="W44" s="2">
        <v>269085</v>
      </c>
      <c r="Y44" s="2">
        <v>3818525</v>
      </c>
      <c r="Z44" s="2">
        <v>3349606</v>
      </c>
      <c r="AB44" s="2">
        <v>180707</v>
      </c>
    </row>
    <row r="45" spans="1:28" ht="10.9" customHeight="1" x14ac:dyDescent="0.2">
      <c r="A45" s="274" t="s">
        <v>185</v>
      </c>
      <c r="B45" s="2" t="s">
        <v>143</v>
      </c>
      <c r="C45" s="57">
        <v>114130</v>
      </c>
      <c r="D45" s="57">
        <v>0</v>
      </c>
      <c r="E45" s="57">
        <v>7000</v>
      </c>
      <c r="F45" s="57">
        <v>0</v>
      </c>
      <c r="G45" s="57">
        <v>-7000</v>
      </c>
      <c r="H45" s="57">
        <v>0</v>
      </c>
      <c r="I45" s="57">
        <v>0</v>
      </c>
      <c r="J45" s="57">
        <v>0</v>
      </c>
      <c r="K45" s="57">
        <f>SUM(C45:I45)-J45</f>
        <v>114130</v>
      </c>
      <c r="L45" s="57">
        <v>26327</v>
      </c>
      <c r="M45" s="57">
        <v>0</v>
      </c>
      <c r="N45" s="57">
        <v>0</v>
      </c>
      <c r="O45" s="57">
        <v>2250</v>
      </c>
      <c r="P45" s="584">
        <v>4.1099999999999994</v>
      </c>
      <c r="Q45" s="57">
        <v>0</v>
      </c>
      <c r="R45" s="57">
        <v>1724340</v>
      </c>
      <c r="S45" s="57">
        <v>147954</v>
      </c>
      <c r="T45" s="57">
        <v>299250</v>
      </c>
      <c r="U45" s="57">
        <v>169040</v>
      </c>
      <c r="W45" s="2">
        <v>327895</v>
      </c>
      <c r="Y45" s="2">
        <v>8894415</v>
      </c>
      <c r="Z45" s="2">
        <v>8894415</v>
      </c>
      <c r="AB45" s="2">
        <v>217069</v>
      </c>
    </row>
    <row r="46" spans="1:28" ht="10.9" customHeight="1" x14ac:dyDescent="0.2">
      <c r="A46" s="274" t="s">
        <v>186</v>
      </c>
      <c r="B46" s="2" t="s">
        <v>144</v>
      </c>
      <c r="C46" s="57">
        <v>1829750</v>
      </c>
      <c r="D46" s="57">
        <v>401094</v>
      </c>
      <c r="E46" s="57">
        <v>0</v>
      </c>
      <c r="F46" s="57">
        <v>0</v>
      </c>
      <c r="G46" s="57">
        <v>7854</v>
      </c>
      <c r="H46" s="57">
        <v>155376</v>
      </c>
      <c r="I46" s="57">
        <v>1102</v>
      </c>
      <c r="J46" s="57">
        <v>0</v>
      </c>
      <c r="K46" s="57">
        <f>SUM(C46:I46)-J46</f>
        <v>2395176</v>
      </c>
      <c r="L46" s="57">
        <v>0</v>
      </c>
      <c r="M46" s="57">
        <v>356229</v>
      </c>
      <c r="N46" s="57">
        <v>0</v>
      </c>
      <c r="O46" s="57">
        <v>0</v>
      </c>
      <c r="P46" s="584">
        <v>3.5000000000000004</v>
      </c>
      <c r="Q46" s="57">
        <v>0</v>
      </c>
      <c r="R46" s="57">
        <v>29185136</v>
      </c>
      <c r="S46" s="57">
        <v>2222873</v>
      </c>
      <c r="T46" s="57">
        <v>7412850</v>
      </c>
      <c r="U46" s="57">
        <v>7065872</v>
      </c>
      <c r="W46" s="2">
        <v>408977</v>
      </c>
      <c r="Y46" s="2">
        <v>187949050</v>
      </c>
      <c r="Z46" s="2">
        <v>178368654</v>
      </c>
      <c r="AB46" s="2">
        <v>5050213</v>
      </c>
    </row>
    <row r="47" spans="1:28" ht="3.95" customHeight="1" x14ac:dyDescent="0.2">
      <c r="A47" s="274"/>
      <c r="P47" s="501"/>
      <c r="AB47"/>
    </row>
    <row r="48" spans="1:28" x14ac:dyDescent="0.2">
      <c r="A48" s="274"/>
      <c r="B48" s="2" t="s">
        <v>145</v>
      </c>
      <c r="C48" s="2">
        <f t="shared" ref="C48" si="1">SUM(C11:C46)</f>
        <v>16739323</v>
      </c>
      <c r="D48" s="2">
        <f t="shared" ref="D48:E48" si="2">SUM(D11:D46)</f>
        <v>1620501</v>
      </c>
      <c r="E48" s="2">
        <f t="shared" si="2"/>
        <v>1567871</v>
      </c>
      <c r="F48" s="2">
        <f t="shared" ref="F48" si="3">SUM(F11:F46)</f>
        <v>94131</v>
      </c>
      <c r="G48" s="2">
        <f t="shared" ref="G48" si="4">SUM(G11:G46)</f>
        <v>27554</v>
      </c>
      <c r="H48" s="2">
        <f t="shared" ref="H48" si="5">SUM(H11:H46)</f>
        <v>576542</v>
      </c>
      <c r="I48" s="2">
        <f t="shared" ref="I48" si="6">SUM(I11:I46)</f>
        <v>157476</v>
      </c>
      <c r="J48" s="2">
        <f t="shared" ref="J48" si="7">SUM(J11:J46)</f>
        <v>0</v>
      </c>
      <c r="K48" s="2">
        <f t="shared" ref="K48:M48" si="8">SUM(K11:K46)</f>
        <v>20783398</v>
      </c>
      <c r="L48" s="2">
        <f t="shared" si="8"/>
        <v>1438402</v>
      </c>
      <c r="M48" s="2">
        <f t="shared" si="8"/>
        <v>3372523</v>
      </c>
      <c r="N48" s="2">
        <f>SUM(N11:N46)</f>
        <v>198824</v>
      </c>
      <c r="O48" s="2">
        <f>SUM(O11:O46)</f>
        <v>18522</v>
      </c>
      <c r="P48" s="501">
        <f>SUM(P11:P46)</f>
        <v>142.42000000000002</v>
      </c>
      <c r="Q48" s="2">
        <f t="shared" ref="Q48:R48" si="9">SUM(Q11:Q46)</f>
        <v>0</v>
      </c>
      <c r="R48" s="2">
        <f t="shared" si="9"/>
        <v>205088900</v>
      </c>
      <c r="S48" s="2">
        <f t="shared" ref="S48:U48" si="10">SUM(S11:S46)</f>
        <v>14400836</v>
      </c>
      <c r="T48" s="2">
        <f t="shared" si="10"/>
        <v>38739100</v>
      </c>
      <c r="U48" s="2">
        <f t="shared" si="10"/>
        <v>37761422</v>
      </c>
      <c r="W48" s="2">
        <v>433460.34210356022</v>
      </c>
      <c r="Y48" s="2">
        <v>1068364746</v>
      </c>
      <c r="Z48" s="2">
        <v>1006946419</v>
      </c>
      <c r="AB48" s="2">
        <f>SUM(AB11:AB46)</f>
        <v>29399799.5</v>
      </c>
    </row>
    <row r="49" spans="1:28" ht="3.95" customHeight="1" x14ac:dyDescent="0.2">
      <c r="A49" s="274"/>
      <c r="B49" s="2" t="s">
        <v>7</v>
      </c>
      <c r="P49" s="501"/>
    </row>
    <row r="50" spans="1:28" ht="10.9" customHeight="1" x14ac:dyDescent="0.2">
      <c r="A50" s="274" t="s">
        <v>188</v>
      </c>
      <c r="B50" s="2" t="s">
        <v>146</v>
      </c>
      <c r="C50" s="57">
        <v>0</v>
      </c>
      <c r="D50" s="57">
        <v>0</v>
      </c>
      <c r="E50" s="57">
        <v>0</v>
      </c>
      <c r="F50" s="57">
        <v>0</v>
      </c>
      <c r="G50" s="57">
        <v>0</v>
      </c>
      <c r="H50" s="57">
        <v>0</v>
      </c>
      <c r="I50" s="57">
        <v>3900</v>
      </c>
      <c r="J50" s="57">
        <v>0</v>
      </c>
      <c r="K50" s="57">
        <f>SUM(C50:I50)-J50</f>
        <v>3900</v>
      </c>
      <c r="L50" s="57">
        <v>0</v>
      </c>
      <c r="M50" s="57">
        <v>0</v>
      </c>
      <c r="N50" s="57">
        <v>0</v>
      </c>
      <c r="O50" s="57">
        <v>0</v>
      </c>
      <c r="P50" s="584">
        <v>4.25</v>
      </c>
      <c r="Q50" s="57">
        <v>0</v>
      </c>
      <c r="R50" s="57">
        <v>153916</v>
      </c>
      <c r="S50" s="57">
        <v>15655</v>
      </c>
      <c r="T50" s="57">
        <v>9500</v>
      </c>
      <c r="U50" s="57">
        <v>42260</v>
      </c>
      <c r="AB50" s="416">
        <v>73056</v>
      </c>
    </row>
    <row r="51" spans="1:28" x14ac:dyDescent="0.2">
      <c r="A51" s="274" t="s">
        <v>187</v>
      </c>
      <c r="B51" s="2" t="s">
        <v>607</v>
      </c>
      <c r="C51" s="57">
        <v>0</v>
      </c>
      <c r="D51" s="57">
        <v>0</v>
      </c>
      <c r="E51" s="57">
        <v>257935</v>
      </c>
      <c r="F51" s="57">
        <v>0</v>
      </c>
      <c r="G51" s="57">
        <v>0</v>
      </c>
      <c r="H51" s="57">
        <v>0</v>
      </c>
      <c r="I51" s="57">
        <v>0</v>
      </c>
      <c r="J51" s="57">
        <v>0</v>
      </c>
      <c r="K51" s="57">
        <f>SUM(C51:I51)-J51</f>
        <v>257935</v>
      </c>
      <c r="L51" s="57">
        <v>0</v>
      </c>
      <c r="M51" s="57">
        <v>0</v>
      </c>
      <c r="N51" s="57">
        <v>0</v>
      </c>
      <c r="O51" s="57">
        <v>0</v>
      </c>
      <c r="P51" s="584">
        <v>4.2299999999999995</v>
      </c>
      <c r="Q51" s="57">
        <v>0</v>
      </c>
      <c r="R51" s="57">
        <v>0</v>
      </c>
      <c r="S51" s="57">
        <v>0</v>
      </c>
      <c r="T51" s="57">
        <v>0</v>
      </c>
      <c r="U51" s="57">
        <v>0</v>
      </c>
    </row>
    <row r="55" spans="1:28" x14ac:dyDescent="0.2">
      <c r="B55" s="554" t="s">
        <v>442</v>
      </c>
      <c r="C55" s="865" t="s">
        <v>444</v>
      </c>
      <c r="D55" s="866"/>
      <c r="E55" s="866"/>
      <c r="F55" s="867"/>
      <c r="G55" s="554" t="s">
        <v>443</v>
      </c>
      <c r="K55" s="57"/>
    </row>
    <row r="56" spans="1:28" x14ac:dyDescent="0.2">
      <c r="B56" s="553">
        <v>18</v>
      </c>
      <c r="C56" s="553">
        <v>0</v>
      </c>
      <c r="D56" s="553">
        <v>0</v>
      </c>
      <c r="E56" s="553"/>
      <c r="F56" s="553"/>
      <c r="G56" s="553">
        <v>100</v>
      </c>
    </row>
    <row r="57" spans="1:28" x14ac:dyDescent="0.2">
      <c r="B57" s="555">
        <f>+B56+1</f>
        <v>19</v>
      </c>
      <c r="C57" s="555">
        <v>0</v>
      </c>
      <c r="D57" s="555">
        <v>0</v>
      </c>
      <c r="E57" s="555">
        <v>0</v>
      </c>
      <c r="F57" s="555"/>
      <c r="G57" s="555">
        <v>100</v>
      </c>
    </row>
    <row r="58" spans="1:28" x14ac:dyDescent="0.2">
      <c r="B58" s="553">
        <f t="shared" ref="B58:B71" si="11">+B57+1</f>
        <v>20</v>
      </c>
      <c r="C58" s="553">
        <v>0</v>
      </c>
      <c r="D58" s="553"/>
      <c r="E58" s="553"/>
      <c r="F58" s="553"/>
      <c r="G58" s="553">
        <v>100</v>
      </c>
    </row>
    <row r="59" spans="1:28" x14ac:dyDescent="0.2">
      <c r="B59" s="555">
        <f t="shared" si="11"/>
        <v>21</v>
      </c>
      <c r="C59" s="555">
        <v>0</v>
      </c>
      <c r="D59" s="555">
        <v>0</v>
      </c>
      <c r="E59" s="555">
        <v>0</v>
      </c>
      <c r="F59" s="555"/>
      <c r="G59" s="555">
        <v>200</v>
      </c>
    </row>
    <row r="60" spans="1:28" x14ac:dyDescent="0.2">
      <c r="B60" s="553">
        <f t="shared" si="11"/>
        <v>22</v>
      </c>
      <c r="C60" s="553">
        <v>0</v>
      </c>
      <c r="D60" s="553">
        <v>0</v>
      </c>
      <c r="E60" s="553">
        <v>0</v>
      </c>
      <c r="F60" s="553"/>
      <c r="G60" s="553">
        <v>200</v>
      </c>
    </row>
    <row r="61" spans="1:28" x14ac:dyDescent="0.2">
      <c r="B61" s="555">
        <f t="shared" si="11"/>
        <v>23</v>
      </c>
      <c r="C61" s="555">
        <v>0</v>
      </c>
      <c r="D61" s="555">
        <v>0</v>
      </c>
      <c r="E61" s="555"/>
      <c r="F61" s="555"/>
      <c r="G61" s="555">
        <v>300</v>
      </c>
    </row>
    <row r="62" spans="1:28" x14ac:dyDescent="0.2">
      <c r="B62" s="553">
        <f t="shared" si="11"/>
        <v>24</v>
      </c>
      <c r="C62" s="553">
        <v>0</v>
      </c>
      <c r="D62" s="553">
        <v>0</v>
      </c>
      <c r="E62" s="553">
        <v>0</v>
      </c>
      <c r="F62" s="553">
        <v>0</v>
      </c>
      <c r="G62" s="553">
        <v>400</v>
      </c>
    </row>
    <row r="63" spans="1:28" x14ac:dyDescent="0.2">
      <c r="B63" s="555">
        <f t="shared" si="11"/>
        <v>25</v>
      </c>
      <c r="C63" s="555">
        <v>0</v>
      </c>
      <c r="D63" s="555">
        <v>0</v>
      </c>
      <c r="E63" s="555">
        <v>0</v>
      </c>
      <c r="F63" s="555"/>
      <c r="G63" s="555">
        <v>500</v>
      </c>
    </row>
    <row r="64" spans="1:28" x14ac:dyDescent="0.2">
      <c r="B64" s="553">
        <f t="shared" si="11"/>
        <v>26</v>
      </c>
      <c r="C64" s="553">
        <v>0</v>
      </c>
      <c r="D64" s="553"/>
      <c r="E64" s="553"/>
      <c r="F64" s="553"/>
      <c r="G64" s="553">
        <v>500</v>
      </c>
    </row>
    <row r="65" spans="2:7" x14ac:dyDescent="0.2">
      <c r="B65" s="555">
        <f t="shared" si="11"/>
        <v>27</v>
      </c>
      <c r="C65" s="555">
        <v>0</v>
      </c>
      <c r="D65" s="555">
        <v>0</v>
      </c>
      <c r="E65" s="555">
        <v>0</v>
      </c>
      <c r="F65" s="555"/>
      <c r="G65" s="555">
        <v>600</v>
      </c>
    </row>
    <row r="66" spans="2:7" x14ac:dyDescent="0.2">
      <c r="B66" s="553">
        <f t="shared" si="11"/>
        <v>28</v>
      </c>
      <c r="C66" s="553">
        <v>0</v>
      </c>
      <c r="D66" s="553">
        <v>0</v>
      </c>
      <c r="E66" s="553"/>
      <c r="F66" s="553"/>
      <c r="G66" s="553">
        <v>600</v>
      </c>
    </row>
    <row r="67" spans="2:7" x14ac:dyDescent="0.2">
      <c r="B67" s="555">
        <f t="shared" si="11"/>
        <v>29</v>
      </c>
      <c r="C67" s="555">
        <v>0</v>
      </c>
      <c r="D67" s="555">
        <v>0</v>
      </c>
      <c r="E67" s="555">
        <v>0</v>
      </c>
      <c r="F67" s="555"/>
      <c r="G67" s="555">
        <v>700</v>
      </c>
    </row>
    <row r="68" spans="2:7" x14ac:dyDescent="0.2">
      <c r="B68" s="553">
        <f t="shared" si="11"/>
        <v>30</v>
      </c>
      <c r="C68" s="553">
        <v>0</v>
      </c>
      <c r="D68" s="553">
        <v>0</v>
      </c>
      <c r="E68" s="553"/>
      <c r="F68" s="553"/>
      <c r="G68" s="553">
        <v>700</v>
      </c>
    </row>
    <row r="69" spans="2:7" x14ac:dyDescent="0.2">
      <c r="B69" s="555">
        <f t="shared" si="11"/>
        <v>31</v>
      </c>
      <c r="C69" s="555">
        <v>0</v>
      </c>
      <c r="D69" s="555">
        <v>0</v>
      </c>
      <c r="E69" s="555">
        <v>0</v>
      </c>
      <c r="F69" s="555"/>
      <c r="G69" s="555">
        <v>800</v>
      </c>
    </row>
    <row r="70" spans="2:7" x14ac:dyDescent="0.2">
      <c r="B70" s="553">
        <f t="shared" si="11"/>
        <v>32</v>
      </c>
      <c r="C70" s="553">
        <v>0</v>
      </c>
      <c r="D70" s="553">
        <v>0</v>
      </c>
      <c r="E70" s="553"/>
      <c r="F70" s="553"/>
      <c r="G70" s="553">
        <v>800</v>
      </c>
    </row>
    <row r="71" spans="2:7" x14ac:dyDescent="0.2">
      <c r="B71" s="555">
        <f t="shared" si="11"/>
        <v>33</v>
      </c>
      <c r="C71" s="555">
        <v>0</v>
      </c>
      <c r="D71" s="555">
        <v>0</v>
      </c>
      <c r="E71" s="555">
        <v>0</v>
      </c>
      <c r="F71" s="555"/>
      <c r="G71" s="555">
        <v>900</v>
      </c>
    </row>
    <row r="72" spans="2:7" x14ac:dyDescent="0.2">
      <c r="B72" s="574" t="s">
        <v>606</v>
      </c>
      <c r="C72" s="574">
        <f>SUM(C56:F71)</f>
        <v>0</v>
      </c>
    </row>
    <row r="88" spans="2:3" x14ac:dyDescent="0.2">
      <c r="B88" s="2" t="s">
        <v>278</v>
      </c>
    </row>
    <row r="89" spans="2:3" x14ac:dyDescent="0.2">
      <c r="B89" s="274">
        <f>+FALLYR-1</f>
        <v>2016</v>
      </c>
      <c r="C89" s="2" t="s">
        <v>279</v>
      </c>
    </row>
    <row r="90" spans="2:3" x14ac:dyDescent="0.2">
      <c r="B90" s="274"/>
    </row>
    <row r="91" spans="2:3" x14ac:dyDescent="0.2">
      <c r="B91" s="274"/>
    </row>
  </sheetData>
  <mergeCells count="2">
    <mergeCell ref="C55:F55"/>
    <mergeCell ref="N6:N9"/>
  </mergeCells>
  <phoneticPr fontId="6" type="noConversion"/>
  <pageMargins left="0.5" right="0.5" top="0.6" bottom="0.2" header="0.3" footer="0.5"/>
  <pageSetup scale="8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281" r:id="rId4" name="Button 1">
              <controlPr defaultSize="0" print="0" autoFill="0" autoPict="0" macro="[0]!InsertHeader">
                <anchor moveWithCells="1" sizeWithCells="1">
                  <from>
                    <xdr:col>3</xdr:col>
                    <xdr:colOff>514350</xdr:colOff>
                    <xdr:row>1</xdr:row>
                    <xdr:rowOff>76200</xdr:rowOff>
                  </from>
                  <to>
                    <xdr:col>4</xdr:col>
                    <xdr:colOff>581025</xdr:colOff>
                    <xdr:row>3</xdr:row>
                    <xdr:rowOff>47625</xdr:rowOff>
                  </to>
                </anchor>
              </controlPr>
            </control>
          </mc:Choice>
        </mc:AlternateContent>
        <mc:AlternateContent xmlns:mc="http://schemas.openxmlformats.org/markup-compatibility/2006">
          <mc:Choice Requires="x14">
            <control shapeId="225282" r:id="rId5" name="Button 2">
              <controlPr defaultSize="0" print="0" autoFill="0" autoPict="0" macro="[0]!DeleteHeader">
                <anchor moveWithCells="1" sizeWithCells="1">
                  <from>
                    <xdr:col>5</xdr:col>
                    <xdr:colOff>0</xdr:colOff>
                    <xdr:row>1</xdr:row>
                    <xdr:rowOff>85725</xdr:rowOff>
                  </from>
                  <to>
                    <xdr:col>6</xdr:col>
                    <xdr:colOff>95250</xdr:colOff>
                    <xdr:row>3</xdr:row>
                    <xdr:rowOff>47625</xdr:rowOff>
                  </to>
                </anchor>
              </controlPr>
            </control>
          </mc:Choice>
        </mc:AlternateContent>
        <mc:AlternateContent xmlns:mc="http://schemas.openxmlformats.org/markup-compatibility/2006">
          <mc:Choice Requires="x14">
            <control shapeId="225283" r:id="rId6" name="Button 3">
              <controlPr defaultSize="0" print="0" autoFill="0" autoPict="0" macro="[0]!Select_A1_On_Activeworkbook">
                <anchor moveWithCells="1" sizeWithCells="1">
                  <from>
                    <xdr:col>6</xdr:col>
                    <xdr:colOff>609600</xdr:colOff>
                    <xdr:row>1</xdr:row>
                    <xdr:rowOff>66675</xdr:rowOff>
                  </from>
                  <to>
                    <xdr:col>8</xdr:col>
                    <xdr:colOff>66675</xdr:colOff>
                    <xdr:row>3</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D58"/>
  <sheetViews>
    <sheetView showGridLines="0" showZeros="0" workbookViewId="0"/>
  </sheetViews>
  <sheetFormatPr defaultRowHeight="12" x14ac:dyDescent="0.2"/>
  <cols>
    <col min="1" max="1" width="39.83203125" style="2" customWidth="1"/>
    <col min="2" max="3" width="31.83203125" style="2" customWidth="1"/>
    <col min="4" max="4" width="29.83203125" style="2" customWidth="1"/>
    <col min="5" max="16384" width="9.33203125" style="2"/>
  </cols>
  <sheetData>
    <row r="1" spans="1:4" ht="6.95" customHeight="1" x14ac:dyDescent="0.2">
      <c r="A1" s="7"/>
      <c r="B1" s="8"/>
      <c r="C1" s="8"/>
      <c r="D1" s="8"/>
    </row>
    <row r="2" spans="1:4" ht="15.95" customHeight="1" x14ac:dyDescent="0.2">
      <c r="A2" s="63"/>
      <c r="B2" s="9" t="s">
        <v>87</v>
      </c>
      <c r="C2" s="10"/>
      <c r="D2" s="64"/>
    </row>
    <row r="3" spans="1:4" ht="15.95" customHeight="1" x14ac:dyDescent="0.2">
      <c r="A3" s="542"/>
      <c r="B3" s="11" t="str">
        <f>STATDATE</f>
        <v>ACTUAL SEPTEMBER 30, 2017</v>
      </c>
      <c r="C3" s="12"/>
      <c r="D3" s="66"/>
    </row>
    <row r="4" spans="1:4" ht="15.95" customHeight="1" x14ac:dyDescent="0.2">
      <c r="B4" s="8"/>
      <c r="C4" s="8"/>
      <c r="D4" s="8"/>
    </row>
    <row r="5" spans="1:4" ht="15.95" customHeight="1" x14ac:dyDescent="0.2">
      <c r="B5" s="8"/>
      <c r="C5" s="8"/>
      <c r="D5" s="8"/>
    </row>
    <row r="6" spans="1:4" ht="15.95" customHeight="1" x14ac:dyDescent="0.2">
      <c r="B6" s="8"/>
      <c r="C6" s="8"/>
      <c r="D6" s="8"/>
    </row>
    <row r="7" spans="1:4" ht="15.95" customHeight="1" x14ac:dyDescent="0.2">
      <c r="B7" s="300" t="s">
        <v>87</v>
      </c>
      <c r="C7" s="282"/>
      <c r="D7" s="8"/>
    </row>
    <row r="8" spans="1:4" ht="15.95" customHeight="1" x14ac:dyDescent="0.2">
      <c r="A8" s="67"/>
      <c r="B8" s="624" t="s">
        <v>460</v>
      </c>
      <c r="C8" s="68"/>
      <c r="D8" s="69"/>
    </row>
    <row r="9" spans="1:4" ht="15.95" customHeight="1" x14ac:dyDescent="0.2">
      <c r="A9" s="35" t="s">
        <v>42</v>
      </c>
      <c r="B9" s="625"/>
      <c r="C9" s="36" t="s">
        <v>242</v>
      </c>
    </row>
    <row r="10" spans="1:4" ht="5.0999999999999996" customHeight="1" x14ac:dyDescent="0.2">
      <c r="A10" s="6"/>
    </row>
    <row r="11" spans="1:4" ht="14.1" customHeight="1" x14ac:dyDescent="0.2">
      <c r="A11" s="284" t="s">
        <v>110</v>
      </c>
      <c r="B11" s="291">
        <v>16.453472412846555</v>
      </c>
      <c r="C11" s="291">
        <v>13.967686810626068</v>
      </c>
    </row>
    <row r="12" spans="1:4" ht="14.1" customHeight="1" x14ac:dyDescent="0.2">
      <c r="A12" s="19" t="s">
        <v>111</v>
      </c>
      <c r="B12" s="70">
        <v>14.49925910571679</v>
      </c>
      <c r="C12" s="70">
        <v>11.63686680803638</v>
      </c>
    </row>
    <row r="13" spans="1:4" ht="14.1" customHeight="1" x14ac:dyDescent="0.2">
      <c r="A13" s="284" t="s">
        <v>112</v>
      </c>
      <c r="B13" s="291">
        <v>17.045742008143463</v>
      </c>
      <c r="C13" s="291">
        <v>12.733149975732081</v>
      </c>
    </row>
    <row r="14" spans="1:4" ht="14.1" customHeight="1" x14ac:dyDescent="0.2">
      <c r="A14" s="19" t="s">
        <v>359</v>
      </c>
      <c r="B14" s="70">
        <v>14.850295278197081</v>
      </c>
      <c r="C14" s="70">
        <v>11.926031475967672</v>
      </c>
    </row>
    <row r="15" spans="1:4" ht="14.1" customHeight="1" x14ac:dyDescent="0.2">
      <c r="A15" s="284" t="s">
        <v>113</v>
      </c>
      <c r="B15" s="291">
        <v>16.319337670017742</v>
      </c>
      <c r="C15" s="291">
        <v>12.681985294117647</v>
      </c>
    </row>
    <row r="16" spans="1:4" ht="14.1" customHeight="1" x14ac:dyDescent="0.2">
      <c r="A16" s="19" t="s">
        <v>114</v>
      </c>
      <c r="B16" s="70">
        <v>14.520439001113409</v>
      </c>
      <c r="C16" s="70">
        <v>11.305263157894737</v>
      </c>
    </row>
    <row r="17" spans="1:3" ht="14.1" customHeight="1" x14ac:dyDescent="0.2">
      <c r="A17" s="284" t="s">
        <v>115</v>
      </c>
      <c r="B17" s="291">
        <v>14.580226662690128</v>
      </c>
      <c r="C17" s="291">
        <v>12.54860941771372</v>
      </c>
    </row>
    <row r="18" spans="1:3" ht="14.1" customHeight="1" x14ac:dyDescent="0.2">
      <c r="A18" s="19" t="s">
        <v>116</v>
      </c>
      <c r="B18" s="70">
        <v>15.378654011208161</v>
      </c>
      <c r="C18" s="70">
        <v>12.190295147573787</v>
      </c>
    </row>
    <row r="19" spans="1:3" ht="14.1" customHeight="1" x14ac:dyDescent="0.2">
      <c r="A19" s="284" t="s">
        <v>117</v>
      </c>
      <c r="B19" s="291">
        <v>18.507263316079481</v>
      </c>
      <c r="C19" s="291">
        <v>14.794447410571276</v>
      </c>
    </row>
    <row r="20" spans="1:3" ht="14.1" customHeight="1" x14ac:dyDescent="0.2">
      <c r="A20" s="19" t="s">
        <v>118</v>
      </c>
      <c r="B20" s="70">
        <v>17.687244666364048</v>
      </c>
      <c r="C20" s="70">
        <v>14.324051098244645</v>
      </c>
    </row>
    <row r="21" spans="1:3" ht="14.1" customHeight="1" x14ac:dyDescent="0.2">
      <c r="A21" s="284" t="s">
        <v>119</v>
      </c>
      <c r="B21" s="291">
        <v>15.694702995430697</v>
      </c>
      <c r="C21" s="291">
        <v>11.96593694894843</v>
      </c>
    </row>
    <row r="22" spans="1:3" ht="14.1" customHeight="1" x14ac:dyDescent="0.2">
      <c r="A22" s="19" t="s">
        <v>120</v>
      </c>
      <c r="B22" s="70">
        <v>17.067428571428572</v>
      </c>
      <c r="C22" s="70">
        <v>12.570707070707071</v>
      </c>
    </row>
    <row r="23" spans="1:3" ht="14.1" customHeight="1" x14ac:dyDescent="0.2">
      <c r="A23" s="284" t="s">
        <v>121</v>
      </c>
      <c r="B23" s="291">
        <v>14.339752407152682</v>
      </c>
      <c r="C23" s="291">
        <v>11.245954692556634</v>
      </c>
    </row>
    <row r="24" spans="1:3" ht="14.1" customHeight="1" x14ac:dyDescent="0.2">
      <c r="A24" s="19" t="s">
        <v>122</v>
      </c>
      <c r="B24" s="70">
        <v>15.047563805104408</v>
      </c>
      <c r="C24" s="70">
        <v>11.806128640776699</v>
      </c>
    </row>
    <row r="25" spans="1:3" ht="14.1" customHeight="1" x14ac:dyDescent="0.2">
      <c r="A25" s="284" t="s">
        <v>123</v>
      </c>
      <c r="B25" s="291">
        <v>17.774361716348082</v>
      </c>
      <c r="C25" s="291">
        <v>13.730122970055383</v>
      </c>
    </row>
    <row r="26" spans="1:3" ht="14.1" customHeight="1" x14ac:dyDescent="0.2">
      <c r="A26" s="19" t="s">
        <v>124</v>
      </c>
      <c r="B26" s="70">
        <v>15.985069782538135</v>
      </c>
      <c r="C26" s="70">
        <v>12.565912570164993</v>
      </c>
    </row>
    <row r="27" spans="1:3" ht="14.1" customHeight="1" x14ac:dyDescent="0.2">
      <c r="A27" s="284" t="s">
        <v>125</v>
      </c>
      <c r="B27" s="291">
        <v>15.555840689796756</v>
      </c>
      <c r="C27" s="291">
        <v>12.193345938769763</v>
      </c>
    </row>
    <row r="28" spans="1:3" ht="14.1" customHeight="1" x14ac:dyDescent="0.2">
      <c r="A28" s="19" t="s">
        <v>126</v>
      </c>
      <c r="B28" s="70">
        <v>13.420300829518467</v>
      </c>
      <c r="C28" s="70">
        <v>11.161366043569119</v>
      </c>
    </row>
    <row r="29" spans="1:3" ht="14.1" customHeight="1" x14ac:dyDescent="0.2">
      <c r="A29" s="284" t="s">
        <v>127</v>
      </c>
      <c r="B29" s="291">
        <v>17.743405625256688</v>
      </c>
      <c r="C29" s="291">
        <v>14.085631349782291</v>
      </c>
    </row>
    <row r="30" spans="1:3" ht="14.1" customHeight="1" x14ac:dyDescent="0.2">
      <c r="A30" s="19" t="s">
        <v>128</v>
      </c>
      <c r="B30" s="70">
        <v>13.699673558215453</v>
      </c>
      <c r="C30" s="70">
        <v>11.389799841682686</v>
      </c>
    </row>
    <row r="31" spans="1:3" ht="14.1" customHeight="1" x14ac:dyDescent="0.2">
      <c r="A31" s="284" t="s">
        <v>129</v>
      </c>
      <c r="B31" s="291">
        <v>17.858337379295463</v>
      </c>
      <c r="C31" s="291">
        <v>13.37103158575006</v>
      </c>
    </row>
    <row r="32" spans="1:3" ht="14.1" customHeight="1" x14ac:dyDescent="0.2">
      <c r="A32" s="19" t="s">
        <v>130</v>
      </c>
      <c r="B32" s="70">
        <v>14.696195725231886</v>
      </c>
      <c r="C32" s="70">
        <v>11.829789536330681</v>
      </c>
    </row>
    <row r="33" spans="1:4" ht="14.1" customHeight="1" x14ac:dyDescent="0.2">
      <c r="A33" s="284" t="s">
        <v>131</v>
      </c>
      <c r="B33" s="291">
        <v>15.554730432199614</v>
      </c>
      <c r="C33" s="291">
        <v>12.801613494682801</v>
      </c>
    </row>
    <row r="34" spans="1:4" ht="14.1" customHeight="1" x14ac:dyDescent="0.2">
      <c r="A34" s="19" t="s">
        <v>132</v>
      </c>
      <c r="B34" s="70">
        <v>15.756405439927867</v>
      </c>
      <c r="C34" s="70">
        <v>12.204749156093587</v>
      </c>
    </row>
    <row r="35" spans="1:4" ht="14.1" customHeight="1" x14ac:dyDescent="0.2">
      <c r="A35" s="284" t="s">
        <v>133</v>
      </c>
      <c r="B35" s="291">
        <v>17.513887201687446</v>
      </c>
      <c r="C35" s="291">
        <v>13.707000864304234</v>
      </c>
    </row>
    <row r="36" spans="1:4" ht="14.1" customHeight="1" x14ac:dyDescent="0.2">
      <c r="A36" s="19" t="s">
        <v>134</v>
      </c>
      <c r="B36" s="70">
        <v>15.101822079314042</v>
      </c>
      <c r="C36" s="70">
        <v>12.188581314878896</v>
      </c>
    </row>
    <row r="37" spans="1:4" ht="14.1" customHeight="1" x14ac:dyDescent="0.2">
      <c r="A37" s="284" t="s">
        <v>135</v>
      </c>
      <c r="B37" s="291">
        <v>17.426162090308644</v>
      </c>
      <c r="C37" s="291">
        <v>13.638728135769556</v>
      </c>
    </row>
    <row r="38" spans="1:4" ht="14.1" customHeight="1" x14ac:dyDescent="0.2">
      <c r="A38" s="19" t="s">
        <v>136</v>
      </c>
      <c r="B38" s="70">
        <v>16.859645114614274</v>
      </c>
      <c r="C38" s="70">
        <v>13.611903590752584</v>
      </c>
    </row>
    <row r="39" spans="1:4" ht="14.1" customHeight="1" x14ac:dyDescent="0.2">
      <c r="A39" s="284" t="s">
        <v>137</v>
      </c>
      <c r="B39" s="291">
        <v>13.724600870827286</v>
      </c>
      <c r="C39" s="291">
        <v>11.633092418883594</v>
      </c>
    </row>
    <row r="40" spans="1:4" ht="14.1" customHeight="1" x14ac:dyDescent="0.2">
      <c r="A40" s="19" t="s">
        <v>138</v>
      </c>
      <c r="B40" s="70">
        <v>17.449115424252835</v>
      </c>
      <c r="C40" s="70">
        <v>13.292824547342942</v>
      </c>
    </row>
    <row r="41" spans="1:4" ht="14.1" customHeight="1" x14ac:dyDescent="0.2">
      <c r="A41" s="284" t="s">
        <v>139</v>
      </c>
      <c r="B41" s="291">
        <v>16.024751400971684</v>
      </c>
      <c r="C41" s="291">
        <v>12.315086708404896</v>
      </c>
    </row>
    <row r="42" spans="1:4" ht="14.1" customHeight="1" x14ac:dyDescent="0.2">
      <c r="A42" s="19" t="s">
        <v>140</v>
      </c>
      <c r="B42" s="70">
        <v>14.979842987481433</v>
      </c>
      <c r="C42" s="70">
        <v>12.465789706012183</v>
      </c>
    </row>
    <row r="43" spans="1:4" ht="14.1" customHeight="1" x14ac:dyDescent="0.2">
      <c r="A43" s="284" t="s">
        <v>141</v>
      </c>
      <c r="B43" s="291">
        <v>15.771484375</v>
      </c>
      <c r="C43" s="291">
        <v>12.639817381379423</v>
      </c>
    </row>
    <row r="44" spans="1:4" ht="14.1" customHeight="1" x14ac:dyDescent="0.2">
      <c r="A44" s="19" t="s">
        <v>142</v>
      </c>
      <c r="B44" s="70">
        <v>12.259318141671082</v>
      </c>
      <c r="C44" s="70">
        <v>10.611620795107035</v>
      </c>
    </row>
    <row r="45" spans="1:4" ht="14.1" customHeight="1" x14ac:dyDescent="0.2">
      <c r="A45" s="284" t="s">
        <v>143</v>
      </c>
      <c r="B45" s="291">
        <v>16.037122969837586</v>
      </c>
      <c r="C45" s="291">
        <v>13.405740884406519</v>
      </c>
    </row>
    <row r="46" spans="1:4" ht="14.1" customHeight="1" x14ac:dyDescent="0.2">
      <c r="A46" s="19" t="s">
        <v>144</v>
      </c>
      <c r="B46" s="70">
        <v>17.865995028443042</v>
      </c>
      <c r="C46" s="70">
        <v>13.570514333436213</v>
      </c>
    </row>
    <row r="47" spans="1:4" ht="5.0999999999999996" customHeight="1" x14ac:dyDescent="0.2">
      <c r="A47"/>
      <c r="B47"/>
      <c r="C47"/>
      <c r="D47"/>
    </row>
    <row r="48" spans="1:4" ht="14.1" customHeight="1" x14ac:dyDescent="0.2">
      <c r="A48" s="286" t="s">
        <v>145</v>
      </c>
      <c r="B48" s="294">
        <v>16.765740718736222</v>
      </c>
      <c r="C48" s="294">
        <v>13.144760038233306</v>
      </c>
      <c r="D48" s="6"/>
    </row>
    <row r="49" spans="1:4" ht="5.0999999999999996" customHeight="1" x14ac:dyDescent="0.2">
      <c r="A49" s="21" t="s">
        <v>7</v>
      </c>
      <c r="B49" s="71"/>
      <c r="C49" s="71"/>
    </row>
    <row r="50" spans="1:4" ht="14.1" customHeight="1" x14ac:dyDescent="0.2">
      <c r="A50" s="19" t="s">
        <v>146</v>
      </c>
      <c r="B50" s="70">
        <v>10.117211597779148</v>
      </c>
      <c r="C50" s="70">
        <v>7.9883097905504137</v>
      </c>
    </row>
    <row r="51" spans="1:4" ht="14.1" customHeight="1" x14ac:dyDescent="0.2">
      <c r="A51" s="284" t="s">
        <v>607</v>
      </c>
      <c r="B51" s="291">
        <v>30.222222222222221</v>
      </c>
      <c r="C51" s="291">
        <v>24.727272727272727</v>
      </c>
    </row>
    <row r="52" spans="1:4" ht="49.5" customHeight="1" x14ac:dyDescent="0.2">
      <c r="A52" s="23"/>
      <c r="B52" s="23"/>
      <c r="C52" s="23"/>
      <c r="D52" s="23"/>
    </row>
    <row r="53" spans="1:4" ht="15" customHeight="1" x14ac:dyDescent="0.2">
      <c r="A53" s="614" t="s">
        <v>461</v>
      </c>
      <c r="B53" s="614"/>
      <c r="C53" s="614"/>
      <c r="D53" s="614"/>
    </row>
    <row r="54" spans="1:4" ht="12" customHeight="1" x14ac:dyDescent="0.2">
      <c r="A54" s="615"/>
      <c r="B54" s="615"/>
      <c r="C54" s="615"/>
      <c r="D54" s="615"/>
    </row>
    <row r="55" spans="1:4" ht="12" customHeight="1" x14ac:dyDescent="0.2">
      <c r="A55" s="615"/>
      <c r="B55" s="615"/>
      <c r="C55" s="615"/>
      <c r="D55" s="615"/>
    </row>
    <row r="56" spans="1:4" ht="12" customHeight="1" x14ac:dyDescent="0.2">
      <c r="A56" s="615" t="s">
        <v>462</v>
      </c>
      <c r="B56" s="615"/>
      <c r="C56" s="615"/>
      <c r="D56" s="615"/>
    </row>
    <row r="57" spans="1:4" ht="12" customHeight="1" x14ac:dyDescent="0.2">
      <c r="A57" s="615"/>
      <c r="B57" s="615"/>
      <c r="C57" s="615"/>
      <c r="D57" s="615"/>
    </row>
    <row r="58" spans="1:4" x14ac:dyDescent="0.2">
      <c r="A58" s="615"/>
      <c r="B58" s="615"/>
      <c r="C58" s="615"/>
      <c r="D58" s="615"/>
    </row>
  </sheetData>
  <mergeCells count="3">
    <mergeCell ref="B8:B9"/>
    <mergeCell ref="A53:D55"/>
    <mergeCell ref="A56:D58"/>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M28"/>
  <sheetViews>
    <sheetView showGridLines="0" showZeros="0" workbookViewId="0"/>
  </sheetViews>
  <sheetFormatPr defaultColWidth="15.83203125" defaultRowHeight="12" x14ac:dyDescent="0.2"/>
  <cols>
    <col min="1" max="1" width="6.5" style="2" customWidth="1"/>
    <col min="2" max="2" width="39.5" style="2" customWidth="1"/>
    <col min="3" max="3" width="16" style="2" customWidth="1"/>
    <col min="4" max="4" width="15.83203125" style="2" customWidth="1"/>
    <col min="5" max="5" width="15.5" style="2" customWidth="1"/>
    <col min="6" max="6" width="17.1640625" style="2" customWidth="1"/>
    <col min="7" max="7" width="14.83203125" style="2" customWidth="1"/>
    <col min="8" max="8" width="15" style="2" customWidth="1"/>
    <col min="9" max="9" width="13.5" style="2" customWidth="1"/>
    <col min="10" max="10" width="3.33203125" style="2" customWidth="1"/>
    <col min="11" max="11" width="17.6640625" style="2" customWidth="1"/>
    <col min="12" max="12" width="6.83203125" style="2" customWidth="1"/>
    <col min="13" max="16384" width="15.83203125" style="2"/>
  </cols>
  <sheetData>
    <row r="2" spans="1:11" x14ac:dyDescent="0.2">
      <c r="A2" s="39"/>
      <c r="B2" s="39"/>
      <c r="C2" s="40" t="str">
        <f>OPYEAR</f>
        <v>OPERATING FUND 2017/2018 ACTUAL</v>
      </c>
      <c r="D2" s="41"/>
      <c r="E2" s="41"/>
      <c r="F2" s="41"/>
      <c r="G2" s="41"/>
      <c r="H2" s="41"/>
      <c r="I2" s="41"/>
      <c r="J2" s="41"/>
      <c r="K2" s="42"/>
    </row>
    <row r="3" spans="1:11" ht="14.25" x14ac:dyDescent="0.2">
      <c r="A3" s="538"/>
    </row>
    <row r="4" spans="1:11" ht="19.5" customHeight="1" x14ac:dyDescent="0.2">
      <c r="C4" s="8"/>
      <c r="D4" s="8"/>
      <c r="E4" s="8"/>
      <c r="F4" s="8"/>
      <c r="G4" s="8"/>
      <c r="H4" s="8"/>
      <c r="I4" s="8"/>
      <c r="J4" s="8"/>
      <c r="K4" s="8"/>
    </row>
    <row r="5" spans="1:11" ht="15.75" x14ac:dyDescent="0.25">
      <c r="C5" s="279" t="s">
        <v>257</v>
      </c>
      <c r="D5" s="43"/>
      <c r="E5" s="43"/>
      <c r="F5" s="43"/>
      <c r="G5" s="43"/>
      <c r="H5" s="43"/>
      <c r="I5" s="43"/>
      <c r="J5" s="43"/>
      <c r="K5" s="8"/>
    </row>
    <row r="6" spans="1:11" ht="16.5" customHeight="1" x14ac:dyDescent="0.2">
      <c r="C6" s="8"/>
      <c r="D6" s="8"/>
      <c r="E6" s="8"/>
      <c r="F6" s="8"/>
      <c r="G6" s="8"/>
      <c r="H6" s="8"/>
      <c r="I6" s="8"/>
      <c r="J6" s="8"/>
      <c r="K6" s="8"/>
    </row>
    <row r="7" spans="1:11" x14ac:dyDescent="0.2">
      <c r="C7" s="8"/>
      <c r="D7" s="8"/>
      <c r="E7" s="8"/>
      <c r="F7" s="8"/>
      <c r="G7" s="8"/>
      <c r="H7" s="8"/>
      <c r="I7" s="8"/>
      <c r="J7" s="8"/>
      <c r="K7" s="8"/>
    </row>
    <row r="8" spans="1:11" x14ac:dyDescent="0.2">
      <c r="C8" s="281" t="s">
        <v>71</v>
      </c>
      <c r="D8" s="301"/>
      <c r="E8" s="301"/>
      <c r="F8" s="301"/>
      <c r="G8" s="301"/>
      <c r="H8" s="301"/>
      <c r="I8" s="301"/>
      <c r="J8" s="302"/>
      <c r="K8" s="8"/>
    </row>
    <row r="9" spans="1:11" x14ac:dyDescent="0.2">
      <c r="C9" s="8"/>
      <c r="D9" s="8"/>
      <c r="E9" s="8"/>
      <c r="F9" s="8"/>
      <c r="G9" s="8"/>
      <c r="H9" s="8"/>
      <c r="I9" s="8"/>
      <c r="J9" s="8"/>
      <c r="K9" s="8"/>
    </row>
    <row r="10" spans="1:11" x14ac:dyDescent="0.2">
      <c r="A10" s="44"/>
      <c r="B10" s="45"/>
      <c r="C10" s="303"/>
      <c r="D10" s="629" t="s">
        <v>463</v>
      </c>
      <c r="E10" s="304"/>
      <c r="F10" s="631" t="s">
        <v>464</v>
      </c>
      <c r="G10" s="632" t="s">
        <v>37</v>
      </c>
      <c r="H10" s="634" t="s">
        <v>465</v>
      </c>
      <c r="I10" s="305"/>
      <c r="J10" s="306"/>
      <c r="K10" s="303"/>
    </row>
    <row r="11" spans="1:11" ht="13.5" customHeight="1" x14ac:dyDescent="0.2">
      <c r="A11" s="626" t="s">
        <v>78</v>
      </c>
      <c r="B11" s="627"/>
      <c r="C11" s="307" t="s">
        <v>72</v>
      </c>
      <c r="D11" s="630"/>
      <c r="E11" s="299" t="s">
        <v>67</v>
      </c>
      <c r="F11" s="630"/>
      <c r="G11" s="633"/>
      <c r="H11" s="635"/>
      <c r="I11" s="298" t="s">
        <v>47</v>
      </c>
      <c r="J11" s="308"/>
      <c r="K11" s="307" t="s">
        <v>73</v>
      </c>
    </row>
    <row r="13" spans="1:11" x14ac:dyDescent="0.2">
      <c r="A13" s="47">
        <v>100</v>
      </c>
      <c r="B13" s="6" t="s">
        <v>26</v>
      </c>
      <c r="C13" s="48">
        <f>'- 12 -'!B21</f>
        <v>1130557948</v>
      </c>
      <c r="D13" s="49">
        <f>'- 12 -'!B22</f>
        <v>68741882</v>
      </c>
      <c r="E13" s="49">
        <f>'- 12 -'!B39</f>
        <v>32787497</v>
      </c>
      <c r="F13" s="49">
        <f>'- 12 -'!B45</f>
        <v>79920993</v>
      </c>
      <c r="G13" s="50"/>
      <c r="H13" s="184"/>
      <c r="I13" s="51"/>
      <c r="J13" s="50"/>
      <c r="K13" s="48">
        <f>SUM(C13:F13)</f>
        <v>1312008320</v>
      </c>
    </row>
    <row r="14" spans="1:11" ht="24" customHeight="1" x14ac:dyDescent="0.2">
      <c r="A14" s="47">
        <v>200</v>
      </c>
      <c r="B14" s="6" t="s">
        <v>260</v>
      </c>
      <c r="C14" s="48">
        <f>'- 12 -'!D21</f>
        <v>384542515</v>
      </c>
      <c r="D14" s="49">
        <f>'- 12 -'!D22</f>
        <v>37042572</v>
      </c>
      <c r="E14" s="49">
        <f>'- 12 -'!D39</f>
        <v>12198647</v>
      </c>
      <c r="F14" s="49">
        <f>'- 12 -'!D45</f>
        <v>4651084</v>
      </c>
      <c r="G14" s="50"/>
      <c r="H14" s="184"/>
      <c r="I14" s="51"/>
      <c r="J14" s="50"/>
      <c r="K14" s="48">
        <f>SUM(C14:F14)</f>
        <v>438434818</v>
      </c>
    </row>
    <row r="15" spans="1:11" ht="24" customHeight="1" x14ac:dyDescent="0.2">
      <c r="A15" s="47">
        <v>300</v>
      </c>
      <c r="B15" s="6" t="s">
        <v>106</v>
      </c>
      <c r="C15" s="48">
        <f>'- 12 -'!F21</f>
        <v>9062122</v>
      </c>
      <c r="D15" s="49">
        <f>'- 12 -'!F22</f>
        <v>575341</v>
      </c>
      <c r="E15" s="49">
        <f>'- 12 -'!F39</f>
        <v>1022064</v>
      </c>
      <c r="F15" s="49">
        <f>'- 12 -'!F45</f>
        <v>496733</v>
      </c>
      <c r="G15" s="50"/>
      <c r="H15" s="184"/>
      <c r="I15" s="51">
        <f>'- 12 -'!F47</f>
        <v>51900</v>
      </c>
      <c r="J15" s="110" t="s">
        <v>96</v>
      </c>
      <c r="K15" s="48">
        <f>SUM(C15:F15,I15)</f>
        <v>11208160</v>
      </c>
    </row>
    <row r="16" spans="1:11" ht="24" customHeight="1" x14ac:dyDescent="0.2">
      <c r="A16" s="47">
        <v>400</v>
      </c>
      <c r="B16" s="6" t="s">
        <v>74</v>
      </c>
      <c r="C16" s="48">
        <f>'- 12 -'!H21</f>
        <v>19367265</v>
      </c>
      <c r="D16" s="49">
        <f>'- 12 -'!H22</f>
        <v>1815238</v>
      </c>
      <c r="E16" s="49">
        <f>'- 12 -'!H39</f>
        <v>2563070</v>
      </c>
      <c r="F16" s="49">
        <f>'- 12 -'!H45</f>
        <v>1642056</v>
      </c>
      <c r="G16" s="50"/>
      <c r="H16" s="184"/>
      <c r="I16" s="51">
        <f>'- 12 -'!H47</f>
        <v>62926</v>
      </c>
      <c r="J16" s="110" t="s">
        <v>96</v>
      </c>
      <c r="K16" s="48">
        <f>SUM(C16:F16,I16)</f>
        <v>25450555</v>
      </c>
    </row>
    <row r="17" spans="1:13" ht="24" customHeight="1" x14ac:dyDescent="0.2">
      <c r="A17" s="47">
        <v>500</v>
      </c>
      <c r="B17" s="6" t="s">
        <v>93</v>
      </c>
      <c r="C17" s="48">
        <f>'- 12 -'!J21</f>
        <v>52154042</v>
      </c>
      <c r="D17" s="49">
        <f>'- 12 -'!J22</f>
        <v>6952678</v>
      </c>
      <c r="E17" s="49">
        <f>'- 12 -'!J39</f>
        <v>17544326</v>
      </c>
      <c r="F17" s="49">
        <f>'- 12 -'!J45</f>
        <v>3223752</v>
      </c>
      <c r="G17" s="50"/>
      <c r="H17" s="184"/>
      <c r="I17" s="51">
        <f>'- 12 -'!J47</f>
        <v>-114826</v>
      </c>
      <c r="J17" s="110" t="s">
        <v>96</v>
      </c>
      <c r="K17" s="48">
        <f>SUM(C17:F17,I17)</f>
        <v>79759972</v>
      </c>
    </row>
    <row r="18" spans="1:13" ht="12" customHeight="1" x14ac:dyDescent="0.2">
      <c r="A18" s="47"/>
      <c r="B18" s="6"/>
      <c r="C18" s="52"/>
      <c r="D18" s="53"/>
      <c r="E18" s="53"/>
      <c r="F18" s="53"/>
      <c r="G18" s="50"/>
      <c r="H18" s="184"/>
      <c r="I18" s="54"/>
      <c r="J18" s="427"/>
      <c r="K18" s="48"/>
    </row>
    <row r="19" spans="1:13" ht="24" customHeight="1" x14ac:dyDescent="0.2">
      <c r="A19" s="55">
        <v>600</v>
      </c>
      <c r="B19" s="56" t="s">
        <v>283</v>
      </c>
      <c r="C19" s="48">
        <f>'- 13 -'!B21</f>
        <v>53519248</v>
      </c>
      <c r="D19" s="49">
        <f>'- 13 -'!B22</f>
        <v>4959873</v>
      </c>
      <c r="E19" s="49">
        <f>'- 13 -'!B39</f>
        <v>13500321</v>
      </c>
      <c r="F19" s="49">
        <f>'- 13 -'!B45</f>
        <v>7747389</v>
      </c>
      <c r="G19" s="50"/>
      <c r="H19" s="184"/>
      <c r="I19" s="51"/>
      <c r="J19" s="427"/>
      <c r="K19" s="48">
        <f>SUM(C19:F19)</f>
        <v>79726831</v>
      </c>
    </row>
    <row r="20" spans="1:13" ht="28.5" customHeight="1" x14ac:dyDescent="0.2">
      <c r="A20" s="47">
        <v>700</v>
      </c>
      <c r="B20" s="6" t="s">
        <v>75</v>
      </c>
      <c r="C20" s="48">
        <f>'- 13 -'!D21</f>
        <v>49347677</v>
      </c>
      <c r="D20" s="49">
        <f>'- 13 -'!D22</f>
        <v>7277585</v>
      </c>
      <c r="E20" s="49">
        <f>'- 13 -'!D39</f>
        <v>28217383</v>
      </c>
      <c r="F20" s="49">
        <f>'- 13 -'!D45</f>
        <v>19540322</v>
      </c>
      <c r="G20" s="50"/>
      <c r="H20" s="184"/>
      <c r="I20" s="51"/>
      <c r="J20" s="427"/>
      <c r="K20" s="48">
        <f>SUM(C20:F20)</f>
        <v>104382967</v>
      </c>
      <c r="L20" s="628" t="s">
        <v>97</v>
      </c>
    </row>
    <row r="21" spans="1:13" ht="24" customHeight="1" x14ac:dyDescent="0.2">
      <c r="A21" s="47">
        <v>800</v>
      </c>
      <c r="B21" s="6" t="s">
        <v>76</v>
      </c>
      <c r="C21" s="48">
        <f>'- 13 -'!F21</f>
        <v>117593277</v>
      </c>
      <c r="D21" s="49">
        <f>'- 13 -'!F22</f>
        <v>19191124</v>
      </c>
      <c r="E21" s="49">
        <f>'- 13 -'!F39</f>
        <v>101996087</v>
      </c>
      <c r="F21" s="49">
        <f>'- 13 -'!F45</f>
        <v>26570928</v>
      </c>
      <c r="G21" s="50"/>
      <c r="H21" s="184"/>
      <c r="I21" s="51">
        <f>'- 13 -'!F47</f>
        <v>0</v>
      </c>
      <c r="J21" s="428"/>
      <c r="K21" s="48">
        <f>SUM(C21:F21,I21)</f>
        <v>265351416</v>
      </c>
      <c r="L21" s="628"/>
    </row>
    <row r="22" spans="1:13" ht="24" customHeight="1" x14ac:dyDescent="0.2">
      <c r="A22" s="47">
        <v>900</v>
      </c>
      <c r="B22" s="6" t="s">
        <v>30</v>
      </c>
      <c r="C22" s="52"/>
      <c r="D22" s="53"/>
      <c r="E22" s="53"/>
      <c r="F22" s="53"/>
      <c r="G22" s="49">
        <v>2326273</v>
      </c>
      <c r="H22" s="49">
        <v>20086</v>
      </c>
      <c r="I22" s="54">
        <v>38229948</v>
      </c>
      <c r="J22" s="428" t="s">
        <v>224</v>
      </c>
      <c r="K22" s="48">
        <f>SUM(G22:I22)</f>
        <v>40576307</v>
      </c>
    </row>
    <row r="23" spans="1:13" x14ac:dyDescent="0.2">
      <c r="A23" s="47"/>
      <c r="B23" s="6"/>
      <c r="C23" s="52"/>
      <c r="D23" s="53"/>
      <c r="E23" s="53"/>
      <c r="F23" s="53"/>
      <c r="G23" s="53"/>
      <c r="H23" s="32"/>
      <c r="I23" s="54"/>
      <c r="J23" s="50"/>
      <c r="K23" s="52"/>
    </row>
    <row r="24" spans="1:13" x14ac:dyDescent="0.2">
      <c r="B24" s="6"/>
      <c r="C24" s="57"/>
      <c r="D24" s="57"/>
      <c r="E24" s="57"/>
      <c r="F24" s="57"/>
      <c r="G24" s="57"/>
      <c r="H24" s="57"/>
      <c r="I24" s="57"/>
      <c r="K24" s="57"/>
    </row>
    <row r="25" spans="1:13" x14ac:dyDescent="0.2">
      <c r="A25" s="58"/>
      <c r="B25" s="59" t="s">
        <v>73</v>
      </c>
      <c r="C25" s="60">
        <f>SUM(C13:C22)</f>
        <v>1816144094</v>
      </c>
      <c r="D25" s="61">
        <f>SUM(D13:D22)</f>
        <v>146556293</v>
      </c>
      <c r="E25" s="61">
        <f>SUM(E13:E22)</f>
        <v>209829395</v>
      </c>
      <c r="F25" s="61">
        <f>SUM(F13:F22)</f>
        <v>143793257</v>
      </c>
      <c r="G25" s="61">
        <f>G22</f>
        <v>2326273</v>
      </c>
      <c r="H25" s="61">
        <f>H22</f>
        <v>20086</v>
      </c>
      <c r="I25" s="430">
        <f>SUM(I13:I22)</f>
        <v>38229948</v>
      </c>
      <c r="J25" s="62"/>
      <c r="K25" s="60">
        <f>SUM(K13:K22)</f>
        <v>2356899346</v>
      </c>
      <c r="M25" s="2">
        <f>K25-'- 3 -'!D48</f>
        <v>0</v>
      </c>
    </row>
    <row r="26" spans="1:13" ht="60" customHeight="1" x14ac:dyDescent="0.2"/>
    <row r="27" spans="1:13" x14ac:dyDescent="0.2">
      <c r="A27" s="109" t="s">
        <v>96</v>
      </c>
      <c r="B27" s="133" t="s">
        <v>392</v>
      </c>
      <c r="C27" s="6"/>
    </row>
    <row r="28" spans="1:13" ht="13.5" customHeight="1" x14ac:dyDescent="0.2">
      <c r="A28" s="429" t="s">
        <v>224</v>
      </c>
      <c r="B28" s="2" t="s">
        <v>277</v>
      </c>
      <c r="C28" s="6"/>
    </row>
  </sheetData>
  <mergeCells count="6">
    <mergeCell ref="A11:B11"/>
    <mergeCell ref="L20:L21"/>
    <mergeCell ref="D10:D11"/>
    <mergeCell ref="F10:F11"/>
    <mergeCell ref="G10:G11"/>
    <mergeCell ref="H10:H11"/>
  </mergeCells>
  <phoneticPr fontId="6" type="noConversion"/>
  <pageMargins left="0.39370078740157483" right="0" top="0.64" bottom="0.19685039370078741" header="0.31496062992125984" footer="0.51181102362204722"/>
  <pageSetup scale="9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A2:L54"/>
  <sheetViews>
    <sheetView showGridLines="0" showZeros="0" workbookViewId="0"/>
  </sheetViews>
  <sheetFormatPr defaultColWidth="15.83203125" defaultRowHeight="12" x14ac:dyDescent="0.2"/>
  <cols>
    <col min="1" max="1" width="49.6640625" style="2" customWidth="1"/>
    <col min="2" max="2" width="15.83203125" style="2" customWidth="1"/>
    <col min="3" max="3" width="8.83203125" style="2" customWidth="1"/>
    <col min="4" max="4" width="15.83203125" style="2" customWidth="1"/>
    <col min="5" max="5" width="8.83203125" style="2" customWidth="1"/>
    <col min="6" max="6" width="15.83203125" style="2" customWidth="1"/>
    <col min="7" max="7" width="8.83203125" style="2" customWidth="1"/>
    <col min="8" max="8" width="15.83203125" style="2" customWidth="1"/>
    <col min="9" max="9" width="8.83203125" style="2" customWidth="1"/>
    <col min="10" max="10" width="15.83203125" style="2" customWidth="1"/>
    <col min="11" max="11" width="8.83203125" style="2" customWidth="1"/>
    <col min="12" max="12" width="5" style="2" customWidth="1"/>
    <col min="13" max="16384" width="15.83203125" style="2"/>
  </cols>
  <sheetData>
    <row r="2" spans="1:11" x14ac:dyDescent="0.2">
      <c r="A2" s="39"/>
      <c r="B2" s="39"/>
      <c r="C2" s="39"/>
      <c r="D2" s="40" t="str">
        <f>OPYEAR</f>
        <v>OPERATING FUND 2017/2018 ACTUAL</v>
      </c>
      <c r="E2" s="40"/>
      <c r="F2" s="40"/>
      <c r="G2" s="40"/>
      <c r="H2" s="41"/>
      <c r="I2" s="41"/>
      <c r="J2" s="42"/>
      <c r="K2" s="111" t="s">
        <v>11</v>
      </c>
    </row>
    <row r="3" spans="1:11" ht="9" customHeight="1" x14ac:dyDescent="0.2">
      <c r="A3" s="538"/>
      <c r="J3" s="80"/>
      <c r="K3" s="80"/>
    </row>
    <row r="4" spans="1:11" ht="15.75" x14ac:dyDescent="0.25">
      <c r="B4" s="280" t="s">
        <v>258</v>
      </c>
      <c r="C4" s="80"/>
      <c r="D4" s="80"/>
      <c r="E4" s="80"/>
      <c r="F4" s="80"/>
      <c r="G4" s="80"/>
      <c r="H4" s="80"/>
      <c r="I4" s="80"/>
      <c r="J4" s="80"/>
      <c r="K4" s="80"/>
    </row>
    <row r="5" spans="1:11" ht="15.75" x14ac:dyDescent="0.25">
      <c r="B5" s="280" t="s">
        <v>259</v>
      </c>
      <c r="C5" s="80"/>
      <c r="D5" s="80"/>
      <c r="E5" s="80"/>
      <c r="F5" s="80"/>
      <c r="G5" s="80"/>
      <c r="H5" s="80"/>
      <c r="I5" s="80"/>
      <c r="J5" s="80"/>
      <c r="K5" s="80"/>
    </row>
    <row r="6" spans="1:11" ht="9" customHeight="1" x14ac:dyDescent="0.2"/>
    <row r="7" spans="1:11" x14ac:dyDescent="0.2">
      <c r="B7" s="112" t="s">
        <v>78</v>
      </c>
      <c r="C7" s="41"/>
      <c r="D7" s="41"/>
      <c r="E7" s="41"/>
      <c r="F7" s="41"/>
      <c r="G7" s="41"/>
      <c r="H7" s="41"/>
      <c r="I7" s="41"/>
      <c r="J7" s="41"/>
      <c r="K7" s="113"/>
    </row>
    <row r="8" spans="1:11" x14ac:dyDescent="0.2">
      <c r="A8" s="8"/>
      <c r="B8" s="638" t="s">
        <v>466</v>
      </c>
      <c r="C8" s="639"/>
      <c r="D8" s="642" t="s">
        <v>260</v>
      </c>
      <c r="E8" s="639"/>
      <c r="F8" s="642" t="s">
        <v>106</v>
      </c>
      <c r="G8" s="639"/>
      <c r="H8" s="638" t="s">
        <v>467</v>
      </c>
      <c r="I8" s="639"/>
      <c r="J8" s="642" t="s">
        <v>93</v>
      </c>
      <c r="K8" s="639"/>
    </row>
    <row r="9" spans="1:11" x14ac:dyDescent="0.2">
      <c r="A9" s="8"/>
      <c r="B9" s="640"/>
      <c r="C9" s="641"/>
      <c r="D9" s="640"/>
      <c r="E9" s="641"/>
      <c r="F9" s="640"/>
      <c r="G9" s="641"/>
      <c r="H9" s="640"/>
      <c r="I9" s="641"/>
      <c r="J9" s="640"/>
      <c r="K9" s="641"/>
    </row>
    <row r="10" spans="1:11" x14ac:dyDescent="0.2">
      <c r="A10" s="114" t="s">
        <v>71</v>
      </c>
      <c r="B10" s="115" t="s">
        <v>43</v>
      </c>
      <c r="C10" s="115" t="s">
        <v>44</v>
      </c>
      <c r="D10" s="115" t="s">
        <v>43</v>
      </c>
      <c r="E10" s="115" t="s">
        <v>44</v>
      </c>
      <c r="F10" s="115" t="s">
        <v>43</v>
      </c>
      <c r="G10" s="115" t="s">
        <v>44</v>
      </c>
      <c r="H10" s="115" t="s">
        <v>43</v>
      </c>
      <c r="I10" s="115" t="s">
        <v>44</v>
      </c>
      <c r="J10" s="115" t="s">
        <v>43</v>
      </c>
      <c r="K10" s="46" t="s">
        <v>44</v>
      </c>
    </row>
    <row r="11" spans="1:11" ht="5.0999999999999996" customHeight="1" x14ac:dyDescent="0.2">
      <c r="A11" s="116"/>
      <c r="B11" s="8"/>
      <c r="C11" s="8"/>
      <c r="D11" s="8"/>
      <c r="E11" s="8"/>
      <c r="F11" s="8"/>
      <c r="G11" s="8"/>
      <c r="H11" s="8"/>
      <c r="I11" s="8"/>
      <c r="J11" s="8"/>
      <c r="K11" s="8"/>
    </row>
    <row r="12" spans="1:11" x14ac:dyDescent="0.2">
      <c r="A12" s="313" t="s">
        <v>72</v>
      </c>
      <c r="B12" s="117"/>
      <c r="C12" s="118"/>
      <c r="D12" s="117"/>
      <c r="E12" s="118"/>
      <c r="F12" s="117"/>
      <c r="G12" s="118"/>
      <c r="H12" s="117"/>
      <c r="I12" s="118"/>
      <c r="J12" s="117"/>
      <c r="K12" s="118"/>
    </row>
    <row r="13" spans="1:11" x14ac:dyDescent="0.2">
      <c r="A13" s="119" t="s">
        <v>190</v>
      </c>
      <c r="B13" s="120"/>
      <c r="C13" s="339"/>
      <c r="D13" s="120"/>
      <c r="E13" s="339"/>
      <c r="F13" s="120"/>
      <c r="G13" s="339"/>
      <c r="H13" s="120"/>
      <c r="I13" s="339"/>
      <c r="J13" s="120">
        <v>3977373</v>
      </c>
      <c r="K13" s="339"/>
    </row>
    <row r="14" spans="1:11" x14ac:dyDescent="0.2">
      <c r="A14" s="119" t="s">
        <v>226</v>
      </c>
      <c r="B14" s="120">
        <v>95574334</v>
      </c>
      <c r="C14" s="339">
        <f>B14/'- 13 -'!$J$53*100</f>
        <v>4.0550876371620834</v>
      </c>
      <c r="D14" s="120">
        <v>7558759</v>
      </c>
      <c r="E14" s="339">
        <f>D14/'- 13 -'!$J$53*100</f>
        <v>0.32070775584151739</v>
      </c>
      <c r="F14" s="120">
        <v>955483</v>
      </c>
      <c r="G14" s="339">
        <f>F14/'- 13 -'!$J$53*100</f>
        <v>4.0539830503224218E-2</v>
      </c>
      <c r="H14" s="120">
        <v>891162</v>
      </c>
      <c r="I14" s="339">
        <f>H14/'- 13 -'!$J$53*100</f>
        <v>3.7810778874050398E-2</v>
      </c>
      <c r="J14" s="120">
        <v>23034264</v>
      </c>
      <c r="K14" s="339">
        <f>J14/'- 13 -'!$J$53*100</f>
        <v>0.97731216392810705</v>
      </c>
    </row>
    <row r="15" spans="1:11" x14ac:dyDescent="0.2">
      <c r="A15" s="119" t="s">
        <v>191</v>
      </c>
      <c r="B15" s="120">
        <v>952932309</v>
      </c>
      <c r="C15" s="339">
        <f>B15/'- 13 -'!$J$53*100</f>
        <v>40.431608189686344</v>
      </c>
      <c r="D15" s="120">
        <v>165645378</v>
      </c>
      <c r="E15" s="339">
        <f>D15/'- 13 -'!$J$53*100</f>
        <v>7.028105730570303</v>
      </c>
      <c r="F15" s="120">
        <v>6980018</v>
      </c>
      <c r="G15" s="339">
        <f>F15/'- 13 -'!$J$53*100</f>
        <v>0.29615257061554634</v>
      </c>
      <c r="H15" s="120">
        <v>8686661</v>
      </c>
      <c r="I15" s="339">
        <f>H15/'- 13 -'!$J$53*100</f>
        <v>0.36856308754731182</v>
      </c>
      <c r="J15" s="120"/>
      <c r="K15" s="339">
        <f>J15/'- 13 -'!$J$53*100</f>
        <v>0</v>
      </c>
    </row>
    <row r="16" spans="1:11" x14ac:dyDescent="0.2">
      <c r="A16" s="119" t="s">
        <v>192</v>
      </c>
      <c r="B16" s="120">
        <v>22886333</v>
      </c>
      <c r="C16" s="339">
        <f>B16/'- 13 -'!$J$53*100</f>
        <v>0.97103565490997434</v>
      </c>
      <c r="D16" s="120">
        <v>167046864</v>
      </c>
      <c r="E16" s="339">
        <f>D16/'- 13 -'!$J$53*100</f>
        <v>7.0875688553905691</v>
      </c>
      <c r="F16" s="120">
        <v>349684</v>
      </c>
      <c r="G16" s="339">
        <f>F16/'- 13 -'!$J$53*100</f>
        <v>1.4836611524945451E-2</v>
      </c>
      <c r="H16" s="120">
        <v>6090052</v>
      </c>
      <c r="I16" s="339">
        <f>H16/'- 13 -'!$J$53*100</f>
        <v>0.25839253637774995</v>
      </c>
      <c r="J16" s="120"/>
      <c r="K16" s="339">
        <f>J16/'- 13 -'!$J$53*100</f>
        <v>0</v>
      </c>
    </row>
    <row r="17" spans="1:12" x14ac:dyDescent="0.2">
      <c r="A17" s="119" t="s">
        <v>193</v>
      </c>
      <c r="B17" s="120">
        <v>6627304</v>
      </c>
      <c r="C17" s="339">
        <f>B17/'- 13 -'!$J$53*100</f>
        <v>0.28118740035494078</v>
      </c>
      <c r="D17" s="120">
        <v>1742120</v>
      </c>
      <c r="E17" s="339">
        <f>D17/'- 13 -'!$J$53*100</f>
        <v>7.3915757283255668E-2</v>
      </c>
      <c r="F17" s="120">
        <v>219957</v>
      </c>
      <c r="G17" s="339">
        <f>F17/'- 13 -'!$J$53*100</f>
        <v>9.3324732077888235E-3</v>
      </c>
      <c r="H17" s="120">
        <v>2234758</v>
      </c>
      <c r="I17" s="339">
        <f>H17/'- 13 -'!$J$53*100</f>
        <v>9.4817710556571219E-2</v>
      </c>
      <c r="J17" s="120">
        <v>6196508</v>
      </c>
      <c r="K17" s="339">
        <f>J17/'- 13 -'!$J$53*100</f>
        <v>0.26290931814786117</v>
      </c>
    </row>
    <row r="18" spans="1:12" x14ac:dyDescent="0.2">
      <c r="A18" s="121" t="s">
        <v>194</v>
      </c>
      <c r="B18" s="120">
        <v>38581196</v>
      </c>
      <c r="C18" s="339">
        <f>B18/'- 13 -'!$J$53*100</f>
        <v>1.6369471214575999</v>
      </c>
      <c r="D18" s="120">
        <v>2744661</v>
      </c>
      <c r="E18" s="339">
        <f>D18/'- 13 -'!$J$53*100</f>
        <v>0.11645219405139585</v>
      </c>
      <c r="F18" s="120">
        <v>556980</v>
      </c>
      <c r="G18" s="339">
        <f>F18/'- 13 -'!$J$53*100</f>
        <v>2.3631895903627614E-2</v>
      </c>
      <c r="H18" s="120">
        <v>670278</v>
      </c>
      <c r="I18" s="339">
        <f>H18/'- 13 -'!$J$53*100</f>
        <v>2.843897433030218E-2</v>
      </c>
      <c r="J18" s="120">
        <v>16693965</v>
      </c>
      <c r="K18" s="339">
        <f>J18/'- 13 -'!$J$53*100</f>
        <v>0.70830199127222293</v>
      </c>
    </row>
    <row r="19" spans="1:12" x14ac:dyDescent="0.2">
      <c r="A19" s="121" t="s">
        <v>195</v>
      </c>
      <c r="B19" s="120"/>
      <c r="C19" s="340"/>
      <c r="D19" s="122">
        <v>39585086</v>
      </c>
      <c r="E19" s="340">
        <f>D19/'- 13 -'!$J$53*100</f>
        <v>1.6795407944417158</v>
      </c>
      <c r="F19" s="122"/>
      <c r="G19" s="340"/>
      <c r="H19" s="122">
        <v>748854</v>
      </c>
      <c r="I19" s="340"/>
      <c r="J19" s="122"/>
      <c r="K19" s="340"/>
    </row>
    <row r="20" spans="1:12" x14ac:dyDescent="0.2">
      <c r="A20" s="124" t="s">
        <v>196</v>
      </c>
      <c r="B20" s="123">
        <v>13956472</v>
      </c>
      <c r="C20" s="340">
        <f>B20/'- 13 -'!$J$53*100</f>
        <v>0.59215392560934588</v>
      </c>
      <c r="D20" s="123">
        <v>219647</v>
      </c>
      <c r="E20" s="340">
        <f>D20/'- 13 -'!$J$53*100</f>
        <v>9.3193203338433946E-3</v>
      </c>
      <c r="F20" s="123">
        <v>0</v>
      </c>
      <c r="G20" s="340">
        <f>F20/'- 13 -'!$J$53*100</f>
        <v>0</v>
      </c>
      <c r="H20" s="123">
        <v>45500</v>
      </c>
      <c r="I20" s="340">
        <f>H20/'- 13 -'!$J$53*100</f>
        <v>1.9305024661838061E-3</v>
      </c>
      <c r="J20" s="123">
        <v>2251932</v>
      </c>
      <c r="K20" s="340">
        <f>J20/'- 13 -'!$J$53*100</f>
        <v>9.5546379773147935E-2</v>
      </c>
    </row>
    <row r="21" spans="1:12" ht="12.75" customHeight="1" x14ac:dyDescent="0.2">
      <c r="A21" s="125" t="s">
        <v>197</v>
      </c>
      <c r="B21" s="342">
        <f>SUM(B13:B20)</f>
        <v>1130557948</v>
      </c>
      <c r="C21" s="343">
        <f>B21/'- 13 -'!$J$53*100</f>
        <v>47.968019929180294</v>
      </c>
      <c r="D21" s="342">
        <f>SUM(D13:D20)</f>
        <v>384542515</v>
      </c>
      <c r="E21" s="343">
        <f>D21/'- 13 -'!$J$53*100</f>
        <v>16.315610407912601</v>
      </c>
      <c r="F21" s="342">
        <f>SUM(F13:F20)</f>
        <v>9062122</v>
      </c>
      <c r="G21" s="343">
        <f>F21/'- 13 -'!$J$53*100</f>
        <v>0.38449338175513242</v>
      </c>
      <c r="H21" s="342">
        <f>SUM(H13:H20)</f>
        <v>19367265</v>
      </c>
      <c r="I21" s="343">
        <f>H21/'- 13 -'!$J$53*100</f>
        <v>0.82172643617000696</v>
      </c>
      <c r="J21" s="342">
        <f>SUM(J13:J20)</f>
        <v>52154042</v>
      </c>
      <c r="K21" s="343">
        <f>J21/'- 13 -'!$J$53*100</f>
        <v>2.2128243231308531</v>
      </c>
    </row>
    <row r="22" spans="1:12" x14ac:dyDescent="0.2">
      <c r="A22" s="313" t="s">
        <v>80</v>
      </c>
      <c r="B22" s="342">
        <v>68741882</v>
      </c>
      <c r="C22" s="343">
        <f>B22/'- 13 -'!$J$53*100</f>
        <v>2.9166235765080484</v>
      </c>
      <c r="D22" s="342">
        <v>37042572</v>
      </c>
      <c r="E22" s="343">
        <f>D22/'- 13 -'!$J$53*100</f>
        <v>1.5716654197756308</v>
      </c>
      <c r="F22" s="342">
        <v>575341</v>
      </c>
      <c r="G22" s="343">
        <f>F22/'- 13 -'!$J$53*100</f>
        <v>2.4410927898827633E-2</v>
      </c>
      <c r="H22" s="342">
        <v>1815238</v>
      </c>
      <c r="I22" s="343">
        <f>H22/'- 13 -'!$J$53*100</f>
        <v>7.7018053532100228E-2</v>
      </c>
      <c r="J22" s="342">
        <v>6952678</v>
      </c>
      <c r="K22" s="343">
        <f>J22/'- 13 -'!$J$53*100</f>
        <v>0.29499257199081086</v>
      </c>
    </row>
    <row r="23" spans="1:12" x14ac:dyDescent="0.2">
      <c r="A23" s="313" t="s">
        <v>67</v>
      </c>
      <c r="B23" s="128"/>
      <c r="C23" s="341"/>
      <c r="D23" s="128"/>
      <c r="E23" s="341"/>
      <c r="F23" s="128"/>
      <c r="G23" s="341"/>
      <c r="H23" s="128"/>
      <c r="I23" s="341"/>
      <c r="J23" s="128"/>
      <c r="K23" s="341"/>
    </row>
    <row r="24" spans="1:12" x14ac:dyDescent="0.2">
      <c r="A24" s="121" t="s">
        <v>198</v>
      </c>
      <c r="B24" s="120">
        <v>5742027</v>
      </c>
      <c r="C24" s="339">
        <f>B24/'- 13 -'!$J$53*100</f>
        <v>0.24362631394272533</v>
      </c>
      <c r="D24" s="120">
        <v>7613922</v>
      </c>
      <c r="E24" s="339">
        <f>D24/'- 13 -'!$J$53*100</f>
        <v>0.32304824611716787</v>
      </c>
      <c r="F24" s="120">
        <v>55583</v>
      </c>
      <c r="G24" s="339">
        <f>F24/'- 13 -'!$J$53*100</f>
        <v>2.3583102984152636E-3</v>
      </c>
      <c r="H24" s="120">
        <v>1375695</v>
      </c>
      <c r="I24" s="339">
        <f>H24/'- 13 -'!$J$53*100</f>
        <v>5.8368848136631457E-2</v>
      </c>
      <c r="J24" s="120">
        <v>5086153</v>
      </c>
      <c r="K24" s="339">
        <f>J24/'- 13 -'!$J$53*100</f>
        <v>0.21579848153600364</v>
      </c>
    </row>
    <row r="25" spans="1:12" x14ac:dyDescent="0.2">
      <c r="A25" s="121" t="s">
        <v>199</v>
      </c>
      <c r="B25" s="122">
        <v>4227136</v>
      </c>
      <c r="C25" s="340">
        <f>B25/'- 13 -'!$J$53*100</f>
        <v>0.17935157083284287</v>
      </c>
      <c r="D25" s="122">
        <v>348476</v>
      </c>
      <c r="E25" s="340">
        <f>D25/'- 13 -'!$J$53*100</f>
        <v>1.4785357745183912E-2</v>
      </c>
      <c r="F25" s="122">
        <v>62635</v>
      </c>
      <c r="G25" s="340">
        <f>F25/'- 13 -'!$J$53*100</f>
        <v>2.6575169663609387E-3</v>
      </c>
      <c r="H25" s="122">
        <v>52159</v>
      </c>
      <c r="I25" s="340">
        <f>H25/'- 13 -'!$J$53*100</f>
        <v>2.2130346842567285E-3</v>
      </c>
      <c r="J25" s="122">
        <v>1079116</v>
      </c>
      <c r="K25" s="340">
        <f>J25/'- 13 -'!$J$53*100</f>
        <v>4.5785408775789106E-2</v>
      </c>
    </row>
    <row r="26" spans="1:12" x14ac:dyDescent="0.2">
      <c r="A26" s="121" t="s">
        <v>200</v>
      </c>
      <c r="B26" s="122"/>
      <c r="C26" s="340">
        <f>B26/'- 13 -'!$J$53*100</f>
        <v>0</v>
      </c>
      <c r="D26" s="122"/>
      <c r="E26" s="340">
        <f>D26/'- 13 -'!$J$53*100</f>
        <v>0</v>
      </c>
      <c r="F26" s="122">
        <v>37924</v>
      </c>
      <c r="G26" s="340">
        <f>F26/'- 13 -'!$J$53*100</f>
        <v>1.6090631984077947E-3</v>
      </c>
      <c r="H26" s="122"/>
      <c r="I26" s="340">
        <f>H26/'- 13 -'!$J$53*100</f>
        <v>0</v>
      </c>
      <c r="J26" s="122"/>
      <c r="K26" s="340">
        <f>J26/'- 13 -'!$J$53*100</f>
        <v>0</v>
      </c>
    </row>
    <row r="27" spans="1:12" ht="19.5" customHeight="1" x14ac:dyDescent="0.2">
      <c r="A27" s="121" t="s">
        <v>222</v>
      </c>
      <c r="B27" s="122">
        <v>3121763</v>
      </c>
      <c r="C27" s="340">
        <f>B27/'- 13 -'!$J$53*100</f>
        <v>0.13245211363387599</v>
      </c>
      <c r="D27" s="122">
        <v>2500130</v>
      </c>
      <c r="E27" s="340">
        <f>D27/'- 13 -'!$J$53*100</f>
        <v>0.10607707979736526</v>
      </c>
      <c r="F27" s="122">
        <v>77120</v>
      </c>
      <c r="G27" s="340">
        <f>F27/'- 13 -'!$J$53*100</f>
        <v>3.2720956086174755E-3</v>
      </c>
      <c r="H27" s="122">
        <v>224178</v>
      </c>
      <c r="I27" s="340">
        <f>H27/'- 13 -'!$J$53*100</f>
        <v>9.5115644365747973E-3</v>
      </c>
      <c r="J27" s="122">
        <v>2281574</v>
      </c>
      <c r="K27" s="340">
        <f>J27/'- 13 -'!$J$53*100</f>
        <v>9.6804049094084646E-2</v>
      </c>
      <c r="L27" s="636" t="s">
        <v>108</v>
      </c>
    </row>
    <row r="28" spans="1:12" ht="12.75" customHeight="1" x14ac:dyDescent="0.2">
      <c r="A28" s="121" t="s">
        <v>201</v>
      </c>
      <c r="B28" s="122"/>
      <c r="C28" s="340">
        <f>B28/'- 13 -'!$J$53*100</f>
        <v>0</v>
      </c>
      <c r="D28" s="122"/>
      <c r="E28" s="340">
        <f>D28/'- 13 -'!$J$53*100</f>
        <v>0</v>
      </c>
      <c r="F28" s="122"/>
      <c r="G28" s="340">
        <f>F28/'- 13 -'!$J$53*100</f>
        <v>0</v>
      </c>
      <c r="H28" s="122"/>
      <c r="I28" s="340">
        <f>H28/'- 13 -'!$J$53*100</f>
        <v>0</v>
      </c>
      <c r="J28" s="122"/>
      <c r="K28" s="340">
        <f>J28/'- 13 -'!$J$53*100</f>
        <v>0</v>
      </c>
      <c r="L28" s="637"/>
    </row>
    <row r="29" spans="1:12" ht="12.75" customHeight="1" x14ac:dyDescent="0.2">
      <c r="A29" s="121" t="s">
        <v>202</v>
      </c>
      <c r="B29" s="122">
        <v>1169151</v>
      </c>
      <c r="C29" s="340">
        <f>B29/'- 13 -'!$J$53*100</f>
        <v>4.960547008442337E-2</v>
      </c>
      <c r="D29" s="122">
        <v>671189</v>
      </c>
      <c r="E29" s="340">
        <f>D29/'- 13 -'!$J$53*100</f>
        <v>2.8477626808251489E-2</v>
      </c>
      <c r="F29" s="122">
        <v>1171</v>
      </c>
      <c r="G29" s="340">
        <f>F29/'- 13 -'!$J$53*100</f>
        <v>4.9683920613213997E-5</v>
      </c>
      <c r="H29" s="122"/>
      <c r="I29" s="340">
        <f>H29/'- 13 -'!$J$53*100</f>
        <v>0</v>
      </c>
      <c r="J29" s="122"/>
      <c r="K29" s="340">
        <f>J29/'- 13 -'!$J$53*100</f>
        <v>0</v>
      </c>
      <c r="L29" s="637"/>
    </row>
    <row r="30" spans="1:12" ht="12.75" customHeight="1" x14ac:dyDescent="0.2">
      <c r="A30" s="121" t="s">
        <v>203</v>
      </c>
      <c r="B30" s="122">
        <v>259682</v>
      </c>
      <c r="C30" s="340">
        <f>B30/'- 13 -'!$J$53*100</f>
        <v>1.1017950360956994E-2</v>
      </c>
      <c r="D30" s="122">
        <v>27187</v>
      </c>
      <c r="E30" s="340">
        <f>D30/'- 13 -'!$J$53*100</f>
        <v>1.153507045014047E-3</v>
      </c>
      <c r="F30" s="122">
        <v>4654</v>
      </c>
      <c r="G30" s="340">
        <f>F30/'- 13 -'!$J$53*100</f>
        <v>1.9746282368394359E-4</v>
      </c>
      <c r="H30" s="122">
        <v>54129</v>
      </c>
      <c r="I30" s="340">
        <f>H30/'- 13 -'!$J$53*100</f>
        <v>2.2966190767486428E-3</v>
      </c>
      <c r="J30" s="122">
        <v>254982</v>
      </c>
      <c r="K30" s="340">
        <f>J30/'- 13 -'!$J$53*100</f>
        <v>1.081853582049405E-2</v>
      </c>
    </row>
    <row r="31" spans="1:12" x14ac:dyDescent="0.2">
      <c r="A31" s="121" t="s">
        <v>204</v>
      </c>
      <c r="B31" s="122">
        <v>130710</v>
      </c>
      <c r="C31" s="340">
        <f>B31/'- 13 -'!$J$53*100</f>
        <v>5.5458456561513257E-3</v>
      </c>
      <c r="D31" s="122">
        <v>21478</v>
      </c>
      <c r="E31" s="340">
        <f>D31/'- 13 -'!$J$53*100</f>
        <v>9.112820212900174E-4</v>
      </c>
      <c r="F31" s="122">
        <v>2077</v>
      </c>
      <c r="G31" s="340">
        <f>F31/'- 13 -'!$J$53*100</f>
        <v>8.8124255434368466E-5</v>
      </c>
      <c r="H31" s="122">
        <v>2415</v>
      </c>
      <c r="I31" s="340">
        <f>H31/'- 13 -'!$J$53*100</f>
        <v>1.0246513089744818E-4</v>
      </c>
      <c r="J31" s="122">
        <v>1532855</v>
      </c>
      <c r="K31" s="340">
        <f>J31/'- 13 -'!$J$53*100</f>
        <v>6.5036930940707213E-2</v>
      </c>
    </row>
    <row r="32" spans="1:12" x14ac:dyDescent="0.2">
      <c r="A32" s="121" t="s">
        <v>205</v>
      </c>
      <c r="B32" s="122">
        <v>2831285</v>
      </c>
      <c r="C32" s="340">
        <f>B32/'- 13 -'!$J$53*100</f>
        <v>0.12012753131800477</v>
      </c>
      <c r="D32" s="122">
        <v>264698</v>
      </c>
      <c r="E32" s="340">
        <f>D32/'- 13 -'!$J$53*100</f>
        <v>1.1230772347119146E-2</v>
      </c>
      <c r="F32" s="122">
        <v>28752</v>
      </c>
      <c r="G32" s="340">
        <f>F32/'- 13 -'!$J$53*100</f>
        <v>1.2199078441256438E-3</v>
      </c>
      <c r="H32" s="122">
        <v>52373</v>
      </c>
      <c r="I32" s="340">
        <f>H32/'- 13 -'!$J$53*100</f>
        <v>2.2221144101416371E-3</v>
      </c>
      <c r="J32" s="122">
        <v>210535</v>
      </c>
      <c r="K32" s="340">
        <f>J32/'- 13 -'!$J$53*100</f>
        <v>8.9327106970990694E-3</v>
      </c>
    </row>
    <row r="33" spans="1:11" x14ac:dyDescent="0.2">
      <c r="A33" s="121" t="s">
        <v>206</v>
      </c>
      <c r="B33" s="122">
        <v>3401422</v>
      </c>
      <c r="C33" s="340">
        <f>B33/'- 13 -'!$J$53*100</f>
        <v>0.14431766064905174</v>
      </c>
      <c r="D33" s="122">
        <v>190354</v>
      </c>
      <c r="E33" s="340">
        <f>D33/'- 13 -'!$J$53*100</f>
        <v>8.0764586032516968E-3</v>
      </c>
      <c r="F33" s="122">
        <v>663737</v>
      </c>
      <c r="G33" s="340">
        <f>F33/'- 13 -'!$J$53*100</f>
        <v>2.8161448690053645E-2</v>
      </c>
      <c r="H33" s="122">
        <v>621566</v>
      </c>
      <c r="I33" s="340">
        <f>H33/'- 13 -'!$J$53*100</f>
        <v>2.6372191118593489E-2</v>
      </c>
      <c r="J33" s="122">
        <v>-365177</v>
      </c>
      <c r="K33" s="340">
        <f>J33/'- 13 -'!$J$53*100</f>
        <v>-1.5493958221837446E-2</v>
      </c>
    </row>
    <row r="34" spans="1:11" x14ac:dyDescent="0.2">
      <c r="A34" s="392" t="s">
        <v>247</v>
      </c>
      <c r="B34" s="122"/>
      <c r="C34" s="340">
        <f>B34/'- 13 -'!$J$53*100</f>
        <v>0</v>
      </c>
      <c r="D34" s="122"/>
      <c r="E34" s="340">
        <f>D34/'- 13 -'!$J$53*100</f>
        <v>0</v>
      </c>
      <c r="F34" s="122">
        <v>3607</v>
      </c>
      <c r="G34" s="340">
        <f>F34/'- 13 -'!$J$53*100</f>
        <v>1.5304005264890088E-4</v>
      </c>
      <c r="H34" s="122"/>
      <c r="I34" s="340">
        <f>H34/'- 13 -'!$J$53*100</f>
        <v>0</v>
      </c>
      <c r="J34" s="122"/>
      <c r="K34" s="340">
        <f>J34/'- 13 -'!$J$53*100</f>
        <v>0</v>
      </c>
    </row>
    <row r="35" spans="1:11" x14ac:dyDescent="0.2">
      <c r="A35" s="121" t="s">
        <v>207</v>
      </c>
      <c r="B35" s="122">
        <v>327315</v>
      </c>
      <c r="C35" s="340">
        <f>B35/'- 13 -'!$J$53*100</f>
        <v>1.3887525598218738E-2</v>
      </c>
      <c r="D35" s="122">
        <v>36008</v>
      </c>
      <c r="E35" s="340">
        <f>D35/'- 13 -'!$J$53*100</f>
        <v>1.5277699516999229E-3</v>
      </c>
      <c r="F35" s="122">
        <v>20637</v>
      </c>
      <c r="G35" s="340">
        <f>F35/'- 13 -'!$J$53*100</f>
        <v>8.7559954713483973E-4</v>
      </c>
      <c r="H35" s="122">
        <v>100529</v>
      </c>
      <c r="I35" s="340">
        <f>H35/'- 13 -'!$J$53*100</f>
        <v>4.2653073059998213E-3</v>
      </c>
      <c r="J35" s="122">
        <v>738819</v>
      </c>
      <c r="K35" s="340">
        <f>J35/'- 13 -'!$J$53*100</f>
        <v>3.1347074759636336E-2</v>
      </c>
    </row>
    <row r="36" spans="1:11" x14ac:dyDescent="0.2">
      <c r="A36" s="121" t="s">
        <v>208</v>
      </c>
      <c r="B36" s="122">
        <v>1201905</v>
      </c>
      <c r="C36" s="340">
        <f>B36/'- 13 -'!$J$53*100</f>
        <v>5.0995177288321925E-2</v>
      </c>
      <c r="D36" s="122">
        <v>121655</v>
      </c>
      <c r="E36" s="340">
        <f>D36/'- 13 -'!$J$53*100</f>
        <v>5.1616544510679329E-3</v>
      </c>
      <c r="F36" s="122">
        <v>1286</v>
      </c>
      <c r="G36" s="340">
        <f>F36/'- 13 -'!$J$53*100</f>
        <v>5.4563212560711538E-5</v>
      </c>
      <c r="H36" s="122">
        <v>7255</v>
      </c>
      <c r="I36" s="340">
        <f>H36/'- 13 -'!$J$53*100</f>
        <v>3.0781967894864869E-4</v>
      </c>
      <c r="J36" s="122">
        <v>2704423</v>
      </c>
      <c r="K36" s="340">
        <f>J36/'- 13 -'!$J$53*100</f>
        <v>0.11474495101327928</v>
      </c>
    </row>
    <row r="37" spans="1:11" x14ac:dyDescent="0.2">
      <c r="A37" s="126" t="s">
        <v>209</v>
      </c>
      <c r="B37" s="122">
        <v>273542</v>
      </c>
      <c r="C37" s="340">
        <f>B37/'- 13 -'!$J$53*100</f>
        <v>1.1606011112194522E-2</v>
      </c>
      <c r="D37" s="122">
        <v>248512</v>
      </c>
      <c r="E37" s="340">
        <f>D37/'- 13 -'!$J$53*100</f>
        <v>1.0544022612665276E-2</v>
      </c>
      <c r="F37" s="122">
        <v>36143</v>
      </c>
      <c r="G37" s="340">
        <f>F37/'- 13 -'!$J$53*100</f>
        <v>1.5334978161600289E-3</v>
      </c>
      <c r="H37" s="122">
        <v>61909</v>
      </c>
      <c r="I37" s="340">
        <f>H37/'- 13 -'!$J$53*100</f>
        <v>2.6267137841532585E-3</v>
      </c>
      <c r="J37" s="122">
        <v>1193094</v>
      </c>
      <c r="K37" s="340">
        <f>J37/'- 13 -'!$J$53*100</f>
        <v>5.0621338667892354E-2</v>
      </c>
    </row>
    <row r="38" spans="1:11" x14ac:dyDescent="0.2">
      <c r="A38" s="127" t="s">
        <v>210</v>
      </c>
      <c r="B38" s="122">
        <v>10101559</v>
      </c>
      <c r="C38" s="340">
        <f>B38/'- 13 -'!$J$53*100</f>
        <v>0.42859526509453238</v>
      </c>
      <c r="D38" s="122">
        <v>155038</v>
      </c>
      <c r="E38" s="340">
        <f>D38/'- 13 -'!$J$53*100</f>
        <v>6.5780492604880208E-3</v>
      </c>
      <c r="F38" s="122">
        <v>26738</v>
      </c>
      <c r="G38" s="340">
        <f>F38/'- 13 -'!$J$53*100</f>
        <v>1.1344565921059915E-3</v>
      </c>
      <c r="H38" s="122">
        <v>10862</v>
      </c>
      <c r="I38" s="340">
        <f>H38/'- 13 -'!$J$53*100</f>
        <v>4.6085973159754956E-4</v>
      </c>
      <c r="J38" s="122">
        <v>2827952</v>
      </c>
      <c r="K38" s="340">
        <f>J38/'- 13 -'!$J$53*100</f>
        <v>0.11998611670877862</v>
      </c>
    </row>
    <row r="39" spans="1:11" x14ac:dyDescent="0.2">
      <c r="A39" s="125" t="s">
        <v>211</v>
      </c>
      <c r="B39" s="342">
        <f>SUM(B24:B38)</f>
        <v>32787497</v>
      </c>
      <c r="C39" s="343">
        <f>B39/'- 13 -'!$J$53*100</f>
        <v>1.3911284355713001</v>
      </c>
      <c r="D39" s="342">
        <f>SUM(D24:D38)</f>
        <v>12198647</v>
      </c>
      <c r="E39" s="343">
        <f>D39/'- 13 -'!$J$53*100</f>
        <v>0.51757182676056457</v>
      </c>
      <c r="F39" s="342">
        <f>SUM(F24:F38)</f>
        <v>1022064</v>
      </c>
      <c r="G39" s="343">
        <f>F39/'- 13 -'!$J$53*100</f>
        <v>4.3364770826322764E-2</v>
      </c>
      <c r="H39" s="342">
        <f>SUM(H24:H38)</f>
        <v>2563070</v>
      </c>
      <c r="I39" s="343">
        <f>H39/'- 13 -'!$J$53*100</f>
        <v>0.10874753749454348</v>
      </c>
      <c r="J39" s="342">
        <f>SUM(J24:J38)</f>
        <v>17544326</v>
      </c>
      <c r="K39" s="343">
        <f>J39/'- 13 -'!$J$53*100</f>
        <v>0.74438163979192684</v>
      </c>
    </row>
    <row r="40" spans="1:11" x14ac:dyDescent="0.2">
      <c r="A40" s="314" t="s">
        <v>212</v>
      </c>
      <c r="B40" s="128"/>
      <c r="C40" s="341"/>
      <c r="D40" s="128"/>
      <c r="E40" s="341"/>
      <c r="F40" s="128"/>
      <c r="G40" s="341"/>
      <c r="H40" s="128"/>
      <c r="I40" s="341"/>
      <c r="J40" s="128"/>
      <c r="K40" s="341"/>
    </row>
    <row r="41" spans="1:11" x14ac:dyDescent="0.2">
      <c r="A41" s="121" t="s">
        <v>213</v>
      </c>
      <c r="B41" s="122">
        <v>32788373</v>
      </c>
      <c r="C41" s="340">
        <f>B41/'- 13 -'!$J$53*100</f>
        <v>1.3911656030473523</v>
      </c>
      <c r="D41" s="122">
        <v>2688553</v>
      </c>
      <c r="E41" s="340">
        <f>D41/'- 13 -'!$J$53*100</f>
        <v>0.11407160872452464</v>
      </c>
      <c r="F41" s="122">
        <v>266166</v>
      </c>
      <c r="G41" s="340">
        <f>F41/'- 13 -'!$J$53*100</f>
        <v>1.1293057569544592E-2</v>
      </c>
      <c r="H41" s="122">
        <v>1324821</v>
      </c>
      <c r="I41" s="340">
        <f>H41/'- 13 -'!$J$53*100</f>
        <v>5.6210334236309806E-2</v>
      </c>
      <c r="J41" s="122">
        <v>1629184</v>
      </c>
      <c r="K41" s="340">
        <f>J41/'- 13 -'!$J$53*100</f>
        <v>6.9124038019059295E-2</v>
      </c>
    </row>
    <row r="42" spans="1:11" x14ac:dyDescent="0.2">
      <c r="A42" s="121" t="s">
        <v>214</v>
      </c>
      <c r="B42" s="122">
        <v>10971140</v>
      </c>
      <c r="C42" s="340">
        <f>B42/'- 13 -'!$J$53*100</f>
        <v>0.46549039179885282</v>
      </c>
      <c r="D42" s="122">
        <v>515975</v>
      </c>
      <c r="E42" s="340">
        <f>D42/'- 13 -'!$J$53*100</f>
        <v>2.1892110109652516E-2</v>
      </c>
      <c r="F42" s="122">
        <v>69584</v>
      </c>
      <c r="G42" s="340">
        <f>F42/'- 13 -'!$J$53*100</f>
        <v>2.9523534858666807E-3</v>
      </c>
      <c r="H42" s="122">
        <v>122930</v>
      </c>
      <c r="I42" s="340">
        <f>H42/'- 13 -'!$J$53*100</f>
        <v>5.2157509487467096E-3</v>
      </c>
      <c r="J42" s="122">
        <v>94511</v>
      </c>
      <c r="K42" s="340">
        <f>J42/'- 13 -'!$J$53*100</f>
        <v>4.0099718369559934E-3</v>
      </c>
    </row>
    <row r="43" spans="1:11" x14ac:dyDescent="0.2">
      <c r="A43" s="121" t="s">
        <v>215</v>
      </c>
      <c r="B43" s="122">
        <v>12961290</v>
      </c>
      <c r="C43" s="340">
        <f>B43/'- 13 -'!$J$53*100</f>
        <v>0.54992972109721994</v>
      </c>
      <c r="D43" s="122">
        <v>732772</v>
      </c>
      <c r="E43" s="340">
        <f>D43/'- 13 -'!$J$53*100</f>
        <v>3.1090508860449232E-2</v>
      </c>
      <c r="F43" s="122">
        <v>94994</v>
      </c>
      <c r="G43" s="340">
        <f>F43/'- 13 -'!$J$53*100</f>
        <v>4.0304648631354833E-3</v>
      </c>
      <c r="H43" s="122">
        <v>123433</v>
      </c>
      <c r="I43" s="340">
        <f>H43/'- 13 -'!$J$53*100</f>
        <v>5.2370925474388074E-3</v>
      </c>
      <c r="J43" s="122">
        <v>649227</v>
      </c>
      <c r="K43" s="340">
        <f>J43/'- 13 -'!$J$53*100</f>
        <v>2.7545809332156349E-2</v>
      </c>
    </row>
    <row r="44" spans="1:11" x14ac:dyDescent="0.2">
      <c r="A44" s="127" t="s">
        <v>216</v>
      </c>
      <c r="B44" s="122">
        <v>23200190</v>
      </c>
      <c r="C44" s="340">
        <f>B44/'- 13 -'!$J$53*100</f>
        <v>0.98435217606445879</v>
      </c>
      <c r="D44" s="122">
        <v>713784</v>
      </c>
      <c r="E44" s="340">
        <f>D44/'- 13 -'!$J$53*100</f>
        <v>3.0284874116978944E-2</v>
      </c>
      <c r="F44" s="122">
        <v>65989</v>
      </c>
      <c r="G44" s="340">
        <f>F44/'- 13 -'!$J$53*100</f>
        <v>2.799822576725345E-3</v>
      </c>
      <c r="H44" s="122">
        <v>70872</v>
      </c>
      <c r="I44" s="340">
        <f>H44/'- 13 -'!$J$53*100</f>
        <v>3.0070015556786529E-3</v>
      </c>
      <c r="J44" s="122">
        <v>850830</v>
      </c>
      <c r="K44" s="340">
        <f>J44/'- 13 -'!$J$53*100</f>
        <v>3.6099547545124566E-2</v>
      </c>
    </row>
    <row r="45" spans="1:11" x14ac:dyDescent="0.2">
      <c r="A45" s="125" t="s">
        <v>217</v>
      </c>
      <c r="B45" s="342">
        <f>SUM(B41:B44)</f>
        <v>79920993</v>
      </c>
      <c r="C45" s="343">
        <f>B45/'- 13 -'!$J$53*100</f>
        <v>3.3909378920078836</v>
      </c>
      <c r="D45" s="342">
        <f>SUM(D41:D44)</f>
        <v>4651084</v>
      </c>
      <c r="E45" s="343">
        <f>D45/'- 13 -'!$J$53*100</f>
        <v>0.1973391018116053</v>
      </c>
      <c r="F45" s="342">
        <f>SUM(F41:F44)</f>
        <v>496733</v>
      </c>
      <c r="G45" s="343">
        <f>F45/'- 13 -'!$J$53*100</f>
        <v>2.1075698495272101E-2</v>
      </c>
      <c r="H45" s="342">
        <f>SUM(H41:H44)</f>
        <v>1642056</v>
      </c>
      <c r="I45" s="343">
        <f>H45/'- 13 -'!$J$53*100</f>
        <v>6.9670179288173983E-2</v>
      </c>
      <c r="J45" s="342">
        <f>SUM(J41:J44)</f>
        <v>3223752</v>
      </c>
      <c r="K45" s="343">
        <f>J45/'- 13 -'!$J$53*100</f>
        <v>0.13677936673329621</v>
      </c>
    </row>
    <row r="46" spans="1:11" x14ac:dyDescent="0.2">
      <c r="A46" s="313" t="s">
        <v>47</v>
      </c>
      <c r="B46" s="128"/>
      <c r="C46" s="341"/>
      <c r="D46" s="128"/>
      <c r="E46" s="341"/>
      <c r="F46" s="128"/>
      <c r="G46" s="341"/>
      <c r="H46" s="128"/>
      <c r="I46" s="341"/>
      <c r="J46" s="128"/>
      <c r="K46" s="341"/>
    </row>
    <row r="47" spans="1:11" ht="14.25" x14ac:dyDescent="0.2">
      <c r="A47" s="127" t="s">
        <v>243</v>
      </c>
      <c r="B47" s="122"/>
      <c r="C47" s="340"/>
      <c r="D47" s="122"/>
      <c r="E47" s="340"/>
      <c r="F47" s="122">
        <v>51900</v>
      </c>
      <c r="G47" s="340"/>
      <c r="H47" s="122">
        <v>62926</v>
      </c>
      <c r="I47" s="340"/>
      <c r="J47" s="122">
        <v>-114826</v>
      </c>
      <c r="K47" s="340"/>
    </row>
    <row r="48" spans="1:11" x14ac:dyDescent="0.2">
      <c r="A48" s="125" t="s">
        <v>220</v>
      </c>
      <c r="B48" s="342"/>
      <c r="C48" s="343"/>
      <c r="D48" s="342"/>
      <c r="E48" s="343"/>
      <c r="F48" s="342">
        <f>F47</f>
        <v>51900</v>
      </c>
      <c r="G48" s="343"/>
      <c r="H48" s="342">
        <f>H47</f>
        <v>62926</v>
      </c>
      <c r="I48" s="343"/>
      <c r="J48" s="342">
        <f>J47</f>
        <v>-114826</v>
      </c>
      <c r="K48" s="343"/>
    </row>
    <row r="49" spans="1:11" ht="5.0999999999999996" customHeight="1" x14ac:dyDescent="0.2">
      <c r="A49" s="23"/>
      <c r="B49" s="32"/>
      <c r="C49" s="129"/>
      <c r="D49" s="57"/>
      <c r="E49" s="129"/>
      <c r="F49" s="57"/>
      <c r="G49" s="129"/>
      <c r="H49" s="57"/>
      <c r="I49" s="129"/>
      <c r="J49" s="57"/>
      <c r="K49" s="129"/>
    </row>
    <row r="50" spans="1:11" x14ac:dyDescent="0.2">
      <c r="A50" s="315" t="s">
        <v>221</v>
      </c>
      <c r="B50" s="344">
        <f>SUM(B48,B45,B39,B22,B21)</f>
        <v>1312008320</v>
      </c>
      <c r="C50" s="345">
        <f>B50/'- 13 -'!$J$53*100</f>
        <v>55.666709833267525</v>
      </c>
      <c r="D50" s="344">
        <f>SUM(D48,D45,D39,D22,D21)</f>
        <v>438434818</v>
      </c>
      <c r="E50" s="345">
        <f>D50/'- 13 -'!$J$53*100</f>
        <v>18.602186756260402</v>
      </c>
      <c r="F50" s="344">
        <f>SUM(F48,F45,F39,F22,F21)</f>
        <v>11208160</v>
      </c>
      <c r="G50" s="345">
        <f>F50/'- 13 -'!$J$53*100</f>
        <v>0.47554682464577341</v>
      </c>
      <c r="H50" s="344">
        <f>SUM(H48,H45,H39,H22,H21)</f>
        <v>25450555</v>
      </c>
      <c r="I50" s="345">
        <f>H50/'- 13 -'!$J$53*100</f>
        <v>1.0798320701812441</v>
      </c>
      <c r="J50" s="344">
        <f>SUM(J48,J45,J39,J22,J21)</f>
        <v>79759972</v>
      </c>
      <c r="K50" s="345">
        <f>J50/'- 13 -'!$J$53*100</f>
        <v>3.3841059922802486</v>
      </c>
    </row>
    <row r="51" spans="1:11" ht="15.95" customHeight="1" x14ac:dyDescent="0.2">
      <c r="A51" s="414" t="s">
        <v>393</v>
      </c>
    </row>
    <row r="52" spans="1:11" x14ac:dyDescent="0.2">
      <c r="A52" s="132"/>
      <c r="B52" s="2">
        <f>+B50-'- 15 -'!B48</f>
        <v>0</v>
      </c>
      <c r="D52" s="2">
        <f>+D50-'- 15 -'!E48</f>
        <v>0</v>
      </c>
      <c r="F52" s="2">
        <f>+F50-'- 15 -'!H48</f>
        <v>0</v>
      </c>
      <c r="H52" s="2">
        <f>H50-'- 16 -'!B48</f>
        <v>0</v>
      </c>
      <c r="J52" s="2">
        <f>+J50-'- 16 -'!D48</f>
        <v>0</v>
      </c>
    </row>
    <row r="54" spans="1:11" x14ac:dyDescent="0.2">
      <c r="F54" s="2">
        <f>+F50-'- 15 -'!H48</f>
        <v>0</v>
      </c>
      <c r="J54" s="2">
        <f>+J50-'- 16 -'!D48</f>
        <v>0</v>
      </c>
    </row>
  </sheetData>
  <mergeCells count="6">
    <mergeCell ref="L27:L29"/>
    <mergeCell ref="B8:C9"/>
    <mergeCell ref="D8:E9"/>
    <mergeCell ref="F8:G9"/>
    <mergeCell ref="H8:I9"/>
    <mergeCell ref="J8:K9"/>
  </mergeCells>
  <phoneticPr fontId="6" type="noConversion"/>
  <printOptions verticalCentered="1"/>
  <pageMargins left="0.51181102362204722" right="0" top="0.59055118110236227" bottom="0.19685039370078741" header="0.31496062992125984" footer="0.51181102362204722"/>
  <pageSetup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60</vt:i4>
      </vt:variant>
      <vt:variant>
        <vt:lpstr>Named Ranges</vt:lpstr>
      </vt:variant>
      <vt:variant>
        <vt:i4>68</vt:i4>
      </vt:variant>
    </vt:vector>
  </HeadingPairs>
  <TitlesOfParts>
    <vt:vector size="128" baseType="lpstr">
      <vt:lpstr>README</vt:lpstr>
      <vt:lpstr>- 3 -</vt:lpstr>
      <vt:lpstr>- 4 -</vt:lpstr>
      <vt:lpstr>- 6 -</vt:lpstr>
      <vt:lpstr>- 7 -</vt:lpstr>
      <vt:lpstr>- 8 -</vt:lpstr>
      <vt:lpstr>- 9 -</vt:lpstr>
      <vt:lpstr>- 10 -</vt:lpstr>
      <vt:lpstr>- 12 -</vt:lpstr>
      <vt:lpstr>- 13 -</vt:lpstr>
      <vt:lpstr>- 15 -</vt:lpstr>
      <vt:lpstr>- 16 -</vt:lpstr>
      <vt:lpstr>- 17 -</vt:lpstr>
      <vt:lpstr>- 18 -</vt:lpstr>
      <vt:lpstr>- 19 -</vt:lpstr>
      <vt:lpstr>- 20 -</vt:lpstr>
      <vt:lpstr>- 21 -</vt:lpstr>
      <vt:lpstr>- 22 -</vt:lpstr>
      <vt:lpstr>- 23 -</vt:lpstr>
      <vt:lpstr>- 24 -</vt:lpstr>
      <vt:lpstr>- 25 -</vt:lpstr>
      <vt:lpstr>- 26 -</vt:lpstr>
      <vt:lpstr>- 27 -</vt:lpstr>
      <vt:lpstr>- 28 -</vt:lpstr>
      <vt:lpstr>- 29 -</vt:lpstr>
      <vt:lpstr>- 30 -</vt:lpstr>
      <vt:lpstr>- 31 -</vt:lpstr>
      <vt:lpstr>- 32 -</vt:lpstr>
      <vt:lpstr>- 33 -</vt:lpstr>
      <vt:lpstr>- 34 -</vt:lpstr>
      <vt:lpstr>- 35 -</vt:lpstr>
      <vt:lpstr>- 36 -</vt:lpstr>
      <vt:lpstr>- 37 -</vt:lpstr>
      <vt:lpstr>- 38 -</vt:lpstr>
      <vt:lpstr>- 40 -</vt:lpstr>
      <vt:lpstr>- 41 -</vt:lpstr>
      <vt:lpstr>- 42 -</vt:lpstr>
      <vt:lpstr>- 43 -</vt:lpstr>
      <vt:lpstr>- 44 -</vt:lpstr>
      <vt:lpstr>- 45 -</vt:lpstr>
      <vt:lpstr>- 46 -</vt:lpstr>
      <vt:lpstr>- 47 -</vt:lpstr>
      <vt:lpstr>- 48 -</vt:lpstr>
      <vt:lpstr>- 49 -</vt:lpstr>
      <vt:lpstr>- 50 -</vt:lpstr>
      <vt:lpstr>- 51 -</vt:lpstr>
      <vt:lpstr>- 53 -</vt:lpstr>
      <vt:lpstr>- 54 - </vt:lpstr>
      <vt:lpstr>- 55 -</vt:lpstr>
      <vt:lpstr>- 57 -</vt:lpstr>
      <vt:lpstr>- 58 -</vt:lpstr>
      <vt:lpstr>- 59 -</vt:lpstr>
      <vt:lpstr>- 60 -</vt:lpstr>
      <vt:lpstr>- 61 -</vt:lpstr>
      <vt:lpstr>- 62 -</vt:lpstr>
      <vt:lpstr>- 63 -</vt:lpstr>
      <vt:lpstr>- 64 -</vt:lpstr>
      <vt:lpstr>- 65 -</vt:lpstr>
      <vt:lpstr>- 66 -</vt:lpstr>
      <vt:lpstr>Data</vt:lpstr>
      <vt:lpstr>'- 48 -'!capyear</vt:lpstr>
      <vt:lpstr>capyear</vt:lpstr>
      <vt:lpstr>CurrY</vt:lpstr>
      <vt:lpstr>FALLYR</vt:lpstr>
      <vt:lpstr>OPYEAR</vt:lpstr>
      <vt:lpstr>PrevY</vt:lpstr>
      <vt:lpstr>'- 10 -'!Print_Area</vt:lpstr>
      <vt:lpstr>'- 12 -'!Print_Area</vt:lpstr>
      <vt:lpstr>'- 13 -'!Print_Area</vt:lpstr>
      <vt:lpstr>'- 15 -'!Print_Area</vt:lpstr>
      <vt:lpstr>'- 16 -'!Print_Area</vt:lpstr>
      <vt:lpstr>'- 17 -'!Print_Area</vt:lpstr>
      <vt:lpstr>'- 18 -'!Print_Area</vt:lpstr>
      <vt:lpstr>'- 19 -'!Print_Area</vt:lpstr>
      <vt:lpstr>'- 20 -'!Print_Area</vt:lpstr>
      <vt:lpstr>'- 21 -'!Print_Area</vt:lpstr>
      <vt:lpstr>'- 22 -'!Print_Area</vt:lpstr>
      <vt:lpstr>'- 23 -'!Print_Area</vt:lpstr>
      <vt:lpstr>'- 24 -'!Print_Area</vt:lpstr>
      <vt:lpstr>'- 25 -'!Print_Area</vt:lpstr>
      <vt:lpstr>'- 26 -'!Print_Area</vt:lpstr>
      <vt:lpstr>'- 27 -'!Print_Area</vt:lpstr>
      <vt:lpstr>'- 28 -'!Print_Area</vt:lpstr>
      <vt:lpstr>'- 29 -'!Print_Area</vt:lpstr>
      <vt:lpstr>'- 3 -'!Print_Area</vt:lpstr>
      <vt:lpstr>'- 30 -'!Print_Area</vt:lpstr>
      <vt:lpstr>'- 31 -'!Print_Area</vt:lpstr>
      <vt:lpstr>'- 32 -'!Print_Area</vt:lpstr>
      <vt:lpstr>'- 33 -'!Print_Area</vt:lpstr>
      <vt:lpstr>'- 34 -'!Print_Area</vt:lpstr>
      <vt:lpstr>'- 35 -'!Print_Area</vt:lpstr>
      <vt:lpstr>'- 36 -'!Print_Area</vt:lpstr>
      <vt:lpstr>'- 37 -'!Print_Area</vt:lpstr>
      <vt:lpstr>'- 38 -'!Print_Area</vt:lpstr>
      <vt:lpstr>'- 4 -'!Print_Area</vt:lpstr>
      <vt:lpstr>'- 40 -'!Print_Area</vt:lpstr>
      <vt:lpstr>'- 41 -'!Print_Area</vt:lpstr>
      <vt:lpstr>'- 42 -'!Print_Area</vt:lpstr>
      <vt:lpstr>'- 43 -'!Print_Area</vt:lpstr>
      <vt:lpstr>'- 44 -'!Print_Area</vt:lpstr>
      <vt:lpstr>'- 45 -'!Print_Area</vt:lpstr>
      <vt:lpstr>'- 46 -'!Print_Area</vt:lpstr>
      <vt:lpstr>'- 47 -'!Print_Area</vt:lpstr>
      <vt:lpstr>'- 48 -'!Print_Area</vt:lpstr>
      <vt:lpstr>'- 49 -'!Print_Area</vt:lpstr>
      <vt:lpstr>'- 50 -'!Print_Area</vt:lpstr>
      <vt:lpstr>'- 51 -'!Print_Area</vt:lpstr>
      <vt:lpstr>'- 53 -'!Print_Area</vt:lpstr>
      <vt:lpstr>'- 54 - '!Print_Area</vt:lpstr>
      <vt:lpstr>'- 55 -'!Print_Area</vt:lpstr>
      <vt:lpstr>'- 57 -'!Print_Area</vt:lpstr>
      <vt:lpstr>'- 58 -'!Print_Area</vt:lpstr>
      <vt:lpstr>'- 59 -'!Print_Area</vt:lpstr>
      <vt:lpstr>'- 6 -'!Print_Area</vt:lpstr>
      <vt:lpstr>'- 60 -'!Print_Area</vt:lpstr>
      <vt:lpstr>'- 61 -'!Print_Area</vt:lpstr>
      <vt:lpstr>'- 62 -'!Print_Area</vt:lpstr>
      <vt:lpstr>'- 63 -'!Print_Area</vt:lpstr>
      <vt:lpstr>'- 64 -'!Print_Area</vt:lpstr>
      <vt:lpstr>'- 65 -'!Print_Area</vt:lpstr>
      <vt:lpstr>'- 66 -'!Print_Area</vt:lpstr>
      <vt:lpstr>'- 7 -'!Print_Area</vt:lpstr>
      <vt:lpstr>'- 8 -'!Print_Area</vt:lpstr>
      <vt:lpstr>'- 9 -'!Print_Area</vt:lpstr>
      <vt:lpstr>REVYEAR</vt:lpstr>
      <vt:lpstr>SPRINGYR</vt:lpstr>
      <vt:lpstr>STATDATE</vt:lpstr>
      <vt:lpstr>TAXYEAR</vt:lpstr>
    </vt:vector>
  </TitlesOfParts>
  <Company>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J. Anderson</dc:creator>
  <cp:lastModifiedBy>GPizarro</cp:lastModifiedBy>
  <cp:lastPrinted>2019-07-17T17:13:27Z</cp:lastPrinted>
  <dcterms:created xsi:type="dcterms:W3CDTF">1999-01-19T20:49:35Z</dcterms:created>
  <dcterms:modified xsi:type="dcterms:W3CDTF">2019-07-17T17:13:34Z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1769635783</vt:i4>
  </property>
  <property fmtid="{D5CDD505-2E9C-101B-9397-08002B2CF9AE}" pid="3" name="_NewReviewCycle">
    <vt:lpwstr/>
  </property>
  <property fmtid="{D5CDD505-2E9C-101B-9397-08002B2CF9AE}" pid="4" name="_EmailSubject">
    <vt:lpwstr>Frame Actual 2017-18 to be posted</vt:lpwstr>
  </property>
  <property fmtid="{D5CDD505-2E9C-101B-9397-08002B2CF9AE}" pid="5" name="_AuthorEmail">
    <vt:lpwstr>Gonzalo.Pizarro@gov.mb.ca</vt:lpwstr>
  </property>
  <property fmtid="{D5CDD505-2E9C-101B-9397-08002B2CF9AE}" pid="6" name="_AuthorEmailDisplayName">
    <vt:lpwstr>Pizarro, Gonzalo (MET)</vt:lpwstr>
  </property>
</Properties>
</file>