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6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59.xml" ContentType="application/vnd.openxmlformats-officedocument.spreadsheetml.worksheet+xml"/>
  <Override PartName="/xl/worksheets/sheet56.xml" ContentType="application/vnd.openxmlformats-officedocument.spreadsheetml.worksheet+xml"/>
  <Override PartName="/xl/worksheets/sheet55.xml" ContentType="application/vnd.openxmlformats-officedocument.spreadsheetml.worksheet+xml"/>
  <Override PartName="/xl/worksheets/sheet54.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0.xml" ContentType="application/vnd.openxmlformats-officedocument.spreadsheetml.worksheet+xml"/>
  <Override PartName="/xl/worksheets/sheet12.xml" ContentType="application/vnd.openxmlformats-officedocument.spreadsheetml.worksheet+xml"/>
  <Override PartName="/xl/worksheets/sheet31.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3.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17.xml" ContentType="application/vnd.openxmlformats-officedocument.spreadsheetml.worksheet+xml"/>
  <Override PartName="/xl/worksheets/sheet29.xml" ContentType="application/vnd.openxmlformats-officedocument.spreadsheetml.worksheet+xml"/>
  <Override PartName="/xl/worksheets/sheet25.xml" ContentType="application/vnd.openxmlformats-officedocument.spreadsheetml.worksheet+xml"/>
  <Override PartName="/xl/worksheets/sheet28.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4.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omments1.xml" ContentType="application/vnd.openxmlformats-officedocument.spreadsheetml.comment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mc:AlternateContent xmlns:mc="http://schemas.openxmlformats.org/markup-compatibility/2006">
    <mc:Choice Requires="x15">
      <x15ac:absPath xmlns:x15ac="http://schemas.microsoft.com/office/spreadsheetml/2010/11/ac" url="W:\Edusfb\Frame\REPORTS\Internet Versions\"/>
    </mc:Choice>
  </mc:AlternateContent>
  <bookViews>
    <workbookView xWindow="-15" yWindow="-15" windowWidth="15330" windowHeight="4425" tabRatio="864"/>
  </bookViews>
  <sheets>
    <sheet name="README" sheetId="38671" r:id="rId1"/>
    <sheet name="- 3 -" sheetId="5" r:id="rId2"/>
    <sheet name="- 4 -" sheetId="6" r:id="rId3"/>
    <sheet name="- 6 -" sheetId="14" r:id="rId4"/>
    <sheet name="- 7 -" sheetId="15" r:id="rId5"/>
    <sheet name="- 8 -" sheetId="16" r:id="rId6"/>
    <sheet name="- 9 -" sheetId="17" r:id="rId7"/>
    <sheet name="- 10 -" sheetId="21" r:id="rId8"/>
    <sheet name="- 12 -" sheetId="22" r:id="rId9"/>
    <sheet name="- 13 -" sheetId="23" r:id="rId10"/>
    <sheet name="- 15 -" sheetId="18" r:id="rId11"/>
    <sheet name="- 16 -" sheetId="19" r:id="rId12"/>
    <sheet name="- 17 -" sheetId="20" r:id="rId13"/>
    <sheet name="- 18 -" sheetId="8" r:id="rId14"/>
    <sheet name="- 19 -" sheetId="9" r:id="rId15"/>
    <sheet name="- 20 -" sheetId="7" r:id="rId16"/>
    <sheet name="- 21 -" sheetId="10" r:id="rId17"/>
    <sheet name="- 22 -" sheetId="11" r:id="rId18"/>
    <sheet name="- 23 -" sheetId="82" r:id="rId19"/>
    <sheet name="- 24 -" sheetId="25" r:id="rId20"/>
    <sheet name="- 25 -" sheetId="26" r:id="rId21"/>
    <sheet name="- 26 -" sheetId="27" r:id="rId22"/>
    <sheet name="- 27 -" sheetId="38655" r:id="rId23"/>
    <sheet name="- 28 -" sheetId="38656" r:id="rId24"/>
    <sheet name="- 29 -" sheetId="34" r:id="rId25"/>
    <sheet name="- 30 -" sheetId="35" r:id="rId26"/>
    <sheet name="- 31 -" sheetId="36" r:id="rId27"/>
    <sheet name="- 32 -" sheetId="37" r:id="rId28"/>
    <sheet name="- 33 -" sheetId="38" r:id="rId29"/>
    <sheet name="- 34 -" sheetId="39" r:id="rId30"/>
    <sheet name="- 35 -" sheetId="40" r:id="rId31"/>
    <sheet name="- 36 -" sheetId="41" r:id="rId32"/>
    <sheet name="- 37 -" sheetId="54" r:id="rId33"/>
    <sheet name="- 38 -" sheetId="76" r:id="rId34"/>
    <sheet name="- 40 -" sheetId="42" r:id="rId35"/>
    <sheet name="- 41 -" sheetId="43" r:id="rId36"/>
    <sheet name="- 42 -" sheetId="44" r:id="rId37"/>
    <sheet name="- 43 -" sheetId="45" r:id="rId38"/>
    <sheet name="- 44 -" sheetId="70" r:id="rId39"/>
    <sheet name="- 45 -" sheetId="33" r:id="rId40"/>
    <sheet name="- 46 -" sheetId="32" r:id="rId41"/>
    <sheet name="- 47 -" sheetId="48" r:id="rId42"/>
    <sheet name="- 48 -" sheetId="38663" r:id="rId43"/>
    <sheet name="- 49 -" sheetId="38665" r:id="rId44"/>
    <sheet name="- 50 -" sheetId="38670" r:id="rId45"/>
    <sheet name="- 51 -" sheetId="38662" r:id="rId46"/>
    <sheet name="- 53 -" sheetId="38651" r:id="rId47"/>
    <sheet name="- 54 - " sheetId="38668" r:id="rId48"/>
    <sheet name="- 55 -" sheetId="38654" r:id="rId49"/>
    <sheet name="- 57 -" sheetId="81" r:id="rId50"/>
    <sheet name="- 58 -" sheetId="47" r:id="rId51"/>
    <sheet name="- 59 -" sheetId="46" r:id="rId52"/>
    <sheet name="- 60 -" sheetId="52" r:id="rId53"/>
    <sheet name="- 61 -" sheetId="78" r:id="rId54"/>
    <sheet name="- 62 -" sheetId="38658" r:id="rId55"/>
    <sheet name="- 63 -" sheetId="38659" r:id="rId56"/>
    <sheet name="- 64 -" sheetId="38666" r:id="rId57"/>
    <sheet name="- 65 -" sheetId="38667" r:id="rId58"/>
    <sheet name="- 66 -" sheetId="38648" r:id="rId59"/>
    <sheet name="Data" sheetId="3188" state="hidden" r:id="rId60"/>
  </sheets>
  <externalReferences>
    <externalReference r:id="rId61"/>
    <externalReference r:id="rId62"/>
    <externalReference r:id="rId63"/>
    <externalReference r:id="rId64"/>
  </externalReferences>
  <definedNames>
    <definedName name="_Fill" localSheetId="44" hidden="1">#REF!</definedName>
    <definedName name="_Fill" localSheetId="56" hidden="1">#REF!</definedName>
    <definedName name="_Fill" localSheetId="0" hidden="1">#REF!</definedName>
    <definedName name="_Fill" hidden="1">#REF!</definedName>
    <definedName name="_Order1" hidden="1">0</definedName>
    <definedName name="capyear" localSheetId="42">'- 48 -'!$B$3</definedName>
    <definedName name="capyear" localSheetId="47">#REF!</definedName>
    <definedName name="capyear" localSheetId="56">#REF!</definedName>
    <definedName name="capyear" localSheetId="57">#REF!</definedName>
    <definedName name="capyear">'- 46 -'!$B$3</definedName>
    <definedName name="CurrY" localSheetId="0">[1]Data!$B$5</definedName>
    <definedName name="CurrY">Data!$B$5</definedName>
    <definedName name="DATE_ENTRY" localSheetId="44">#REF!</definedName>
    <definedName name="DATE_ENTRY" localSheetId="0">#REF!</definedName>
    <definedName name="DATE_ENTRY">#REF!</definedName>
    <definedName name="DIV">[2]Data!$A$9:$A$696</definedName>
    <definedName name="DIVNUM">[3]DATA!$B$1</definedName>
    <definedName name="FALLYR" localSheetId="0">[1]Data!$B$6</definedName>
    <definedName name="FALLYR">Data!$B$6</definedName>
    <definedName name="HTML_CodePage" hidden="1">1252</definedName>
    <definedName name="HTML_Control" localSheetId="18" hidden="1">{"'- 4 -'!$A$1:$G$76","'-3 -'!$A$1:$G$77"}</definedName>
    <definedName name="HTML_Control" localSheetId="42" hidden="1">{"'- 4 -'!$A$1:$G$76","'-3 -'!$A$1:$G$77"}</definedName>
    <definedName name="HTML_Control" localSheetId="43" hidden="1">{"'- 4 -'!$A$1:$G$76","'-3 -'!$A$1:$G$77"}</definedName>
    <definedName name="HTML_Control" localSheetId="45" hidden="1">{"'- 4 -'!$A$1:$G$76","'-3 -'!$A$1:$G$77"}</definedName>
    <definedName name="HTML_Control" localSheetId="47" hidden="1">{"'- 4 -'!$A$1:$G$76","'-3 -'!$A$1:$G$77"}</definedName>
    <definedName name="HTML_Control" localSheetId="50" hidden="1">{"'- 4 -'!$A$1:$G$76","'-3 -'!$A$1:$G$77"}</definedName>
    <definedName name="HTML_Control" localSheetId="54" hidden="1">{"'- 4 -'!$A$1:$G$76","'-3 -'!$A$1:$G$77"}</definedName>
    <definedName name="HTML_Control" localSheetId="55" hidden="1">{"'- 4 -'!$A$1:$G$76","'-3 -'!$A$1:$G$77"}</definedName>
    <definedName name="HTML_Control" localSheetId="56" hidden="1">{"'- 4 -'!$A$1:$G$76","'-3 -'!$A$1:$G$77"}</definedName>
    <definedName name="HTML_Control" localSheetId="57" hidden="1">{"'- 4 -'!$A$1:$G$76","'-3 -'!$A$1:$G$77"}</definedName>
    <definedName name="HTML_Control" localSheetId="58" hidden="1">{"'- 4 -'!$A$1:$G$76","'-3 -'!$A$1:$G$77"}</definedName>
    <definedName name="HTML_Control" localSheetId="0" hidden="1">{"'- 4 -'!$A$1:$G$76","'-3 -'!$A$1:$G$77"}</definedName>
    <definedName name="HTML_Control" hidden="1">{"'- 4 -'!$A$1:$G$76","'-3 -'!$A$1:$G$77"}</definedName>
    <definedName name="HTML_Description" hidden="1">""</definedName>
    <definedName name="HTML_Email" hidden="1">""</definedName>
    <definedName name="HTML_Header" hidden="1">"- 8 -"</definedName>
    <definedName name="HTML_LastUpdate" hidden="1">"1999-01-20"</definedName>
    <definedName name="HTML_LineAfter" hidden="1">FALSE</definedName>
    <definedName name="HTML_LineBefore" hidden="1">FALSE</definedName>
    <definedName name="HTML_Name" hidden="1">"Chris J. Anderson"</definedName>
    <definedName name="HTML_OBDlg2" hidden="1">TRUE</definedName>
    <definedName name="HTML_OBDlg4" hidden="1">TRUE</definedName>
    <definedName name="HTML_OS" hidden="1">0</definedName>
    <definedName name="HTML_PathFile" hidden="1">"C:\frame\FIN98\MyHTML.htm"</definedName>
    <definedName name="HTML_Title" hidden="1">"98AFRAME"</definedName>
    <definedName name="LIST">[3]DATA!$D$1:$D$39</definedName>
    <definedName name="LOADED1" localSheetId="44">#REF!</definedName>
    <definedName name="LOADED1" localSheetId="0">#REF!</definedName>
    <definedName name="LOADED1">#REF!</definedName>
    <definedName name="LOADED2" localSheetId="44">#REF!</definedName>
    <definedName name="LOADED2">#REF!</definedName>
    <definedName name="LOADED3" localSheetId="44">#REF!</definedName>
    <definedName name="LOADED3">#REF!</definedName>
    <definedName name="NOW" localSheetId="44">#REF!</definedName>
    <definedName name="NOW">#REF!</definedName>
    <definedName name="OD_FINISH" localSheetId="44">#REF!</definedName>
    <definedName name="OD_FINISH">#REF!</definedName>
    <definedName name="OD_FIRST" localSheetId="44">#REF!</definedName>
    <definedName name="OD_FIRST">#REF!</definedName>
    <definedName name="OD_LAST" localSheetId="44">#REF!</definedName>
    <definedName name="OD_LAST">#REF!</definedName>
    <definedName name="OD_START" localSheetId="44">#REF!</definedName>
    <definedName name="OD_START">#REF!</definedName>
    <definedName name="ONE_AM" localSheetId="44">#REF!</definedName>
    <definedName name="ONE_AM">#REF!</definedName>
    <definedName name="ONE_PM" localSheetId="44">#REF!</definedName>
    <definedName name="ONE_PM">#REF!</definedName>
    <definedName name="OPYEAR" localSheetId="0">'[1]- 3 -'!$A$3</definedName>
    <definedName name="OPYEAR">'- 3 -'!$A$3</definedName>
    <definedName name="PrevY" localSheetId="0">[1]Data!$B$4</definedName>
    <definedName name="PrevY">Data!$B$4</definedName>
    <definedName name="_xlnm.Print_Area" localSheetId="7">'- 10 -'!$A$2:$L$28</definedName>
    <definedName name="_xlnm.Print_Area" localSheetId="8">'- 12 -'!$A$2:$L$52</definedName>
    <definedName name="_xlnm.Print_Area" localSheetId="9">'- 13 -'!$A$2:$L$54</definedName>
    <definedName name="_xlnm.Print_Area" localSheetId="10">'- 15 -'!$A$1:$I$52</definedName>
    <definedName name="_xlnm.Print_Area" localSheetId="11">'- 16 -'!$A$1:$I$52</definedName>
    <definedName name="_xlnm.Print_Area" localSheetId="12">'- 17 -'!$A$1:$J$52</definedName>
    <definedName name="_xlnm.Print_Area" localSheetId="13">'- 18 -'!$A$1:$G$52</definedName>
    <definedName name="_xlnm.Print_Area" localSheetId="14">'- 19 -'!$A$1:$J$53</definedName>
    <definedName name="_xlnm.Print_Area" localSheetId="15">'- 20 -'!$A$1:$I$53</definedName>
    <definedName name="_xlnm.Print_Area" localSheetId="16">'- 21 -'!$A$1:$I$55</definedName>
    <definedName name="_xlnm.Print_Area" localSheetId="17">'- 22 -'!$A$1:$J$54</definedName>
    <definedName name="_xlnm.Print_Area" localSheetId="18">'- 23 -'!$A$1:$F$52</definedName>
    <definedName name="_xlnm.Print_Area" localSheetId="19">'- 24 -'!$A$1:$I$52</definedName>
    <definedName name="_xlnm.Print_Area" localSheetId="20">'- 25 -'!$A$1:$J$52</definedName>
    <definedName name="_xlnm.Print_Area" localSheetId="21">'- 26 -'!$A$1:$E$52</definedName>
    <definedName name="_xlnm.Print_Area" localSheetId="22">'- 27 -'!$A$1:$J$52</definedName>
    <definedName name="_xlnm.Print_Area" localSheetId="23">'- 28 -'!$A$1:$J$53</definedName>
    <definedName name="_xlnm.Print_Area" localSheetId="24">'- 29 -'!$A$1:$G$52</definedName>
    <definedName name="_xlnm.Print_Area" localSheetId="1">'- 3 -'!$A$2:$F$58</definedName>
    <definedName name="_xlnm.Print_Area" localSheetId="25">'- 30 -'!$A$1:$G$52</definedName>
    <definedName name="_xlnm.Print_Area" localSheetId="26">'- 31 -'!$A$1:$G$52</definedName>
    <definedName name="_xlnm.Print_Area" localSheetId="27">'- 32 -'!$A$1:$F$52</definedName>
    <definedName name="_xlnm.Print_Area" localSheetId="28">'- 33 -'!$A$1:$G$52</definedName>
    <definedName name="_xlnm.Print_Area" localSheetId="29">'- 34 -'!$A$1:$H$52</definedName>
    <definedName name="_xlnm.Print_Area" localSheetId="30">'- 35 -'!$A$1:$E$52</definedName>
    <definedName name="_xlnm.Print_Area" localSheetId="31">'- 36 -'!$A$1:$G$54</definedName>
    <definedName name="_xlnm.Print_Area" localSheetId="32">'- 37 -'!$A$1:$J$56</definedName>
    <definedName name="_xlnm.Print_Area" localSheetId="33">'- 38 -'!$A$1:$H$54</definedName>
    <definedName name="_xlnm.Print_Area" localSheetId="2">'- 4 -'!$A$1:$E$56</definedName>
    <definedName name="_xlnm.Print_Area" localSheetId="34">'- 40 -'!$A$1:$H$55</definedName>
    <definedName name="_xlnm.Print_Area" localSheetId="35">'- 41 -'!$A$1:$I$62</definedName>
    <definedName name="_xlnm.Print_Area" localSheetId="36">'- 42 -'!$A$1:$I$57</definedName>
    <definedName name="_xlnm.Print_Area" localSheetId="37">'- 43 -'!$A$1:$I$52</definedName>
    <definedName name="_xlnm.Print_Area" localSheetId="38">'- 44 -'!$A$2:$E$60</definedName>
    <definedName name="_xlnm.Print_Area" localSheetId="39">'- 45 -'!$A$1:$F$56</definedName>
    <definedName name="_xlnm.Print_Area" localSheetId="40">'- 46 -'!$A$1:$F$54</definedName>
    <definedName name="_xlnm.Print_Area" localSheetId="41">'- 47 -'!$A$1:$E$59</definedName>
    <definedName name="_xlnm.Print_Area" localSheetId="42">'- 48 -'!$A$1:$G$57</definedName>
    <definedName name="_xlnm.Print_Area" localSheetId="43">'- 49 -'!$A$1:$H$55</definedName>
    <definedName name="_xlnm.Print_Area" localSheetId="44">'- 50 -'!$A$1:$E$59</definedName>
    <definedName name="_xlnm.Print_Area" localSheetId="45">'- 51 -'!$A$1:$D$58</definedName>
    <definedName name="_xlnm.Print_Area" localSheetId="46">'- 53 -'!$A$1:$G$57</definedName>
    <definedName name="_xlnm.Print_Area" localSheetId="47">'- 54 - '!$A$1:$F$53</definedName>
    <definedName name="_xlnm.Print_Area" localSheetId="48">'- 55 -'!$A$1:$F$52</definedName>
    <definedName name="_xlnm.Print_Area" localSheetId="49">'- 57 -'!$A$1:$G$54</definedName>
    <definedName name="_xlnm.Print_Area" localSheetId="50">'- 58 -'!$A$1:$G$54</definedName>
    <definedName name="_xlnm.Print_Area" localSheetId="51">'- 59 -'!$A$1:$F$55</definedName>
    <definedName name="_xlnm.Print_Area" localSheetId="3">'- 6 -'!$A$1:$H$54</definedName>
    <definedName name="_xlnm.Print_Area" localSheetId="52">'- 60 -'!$A$1:$F$53</definedName>
    <definedName name="_xlnm.Print_Area" localSheetId="53">'- 61 -'!$A$1:$F$59</definedName>
    <definedName name="_xlnm.Print_Area" localSheetId="54">'- 62 -'!$A$1:$F$62</definedName>
    <definedName name="_xlnm.Print_Area" localSheetId="55">'- 63 -'!$A$2:$H$55</definedName>
    <definedName name="_xlnm.Print_Area" localSheetId="56">'- 64 -'!$A$1:$I$57</definedName>
    <definedName name="_xlnm.Print_Area" localSheetId="57">'- 65 -'!$A$2:$G$54</definedName>
    <definedName name="_xlnm.Print_Area" localSheetId="58">'- 66 -'!$A$1:$I$58</definedName>
    <definedName name="_xlnm.Print_Area" localSheetId="4">'- 7 -'!$A$1:$G$56</definedName>
    <definedName name="_xlnm.Print_Area" localSheetId="5">'- 8 -'!$A$1:$G$59</definedName>
    <definedName name="_xlnm.Print_Area" localSheetId="6">'- 9 -'!$A$1:$D$58</definedName>
    <definedName name="REVYEAR" localSheetId="0">'[1]- 42 -'!$B$1</definedName>
    <definedName name="REVYEAR">'- 41 -'!$B$1</definedName>
    <definedName name="SPRINGYR" localSheetId="0">[1]Data!$B$7</definedName>
    <definedName name="SPRINGYR">Data!$B$7</definedName>
    <definedName name="STAMP" localSheetId="44">#REF!</definedName>
    <definedName name="STAMP" localSheetId="0">#REF!</definedName>
    <definedName name="STAMP">#REF!</definedName>
    <definedName name="STATDATE" localSheetId="0">'[1]- 6 -'!$B$3</definedName>
    <definedName name="STATDATE">'- 6 -'!$B$3</definedName>
    <definedName name="TAXYEAR" localSheetId="47">'[4]- 46 -'!$B$3</definedName>
    <definedName name="TAXYEAR" localSheetId="0">'[1]- 52 -'!$B$3</definedName>
    <definedName name="TAXYEAR">'- 51 -'!$B$3</definedName>
    <definedName name="TOTAL1" localSheetId="44">#REF!</definedName>
    <definedName name="TOTAL1" localSheetId="0">#REF!</definedName>
    <definedName name="TOTAL1">#REF!</definedName>
    <definedName name="TOTAL2" localSheetId="44">#REF!</definedName>
    <definedName name="TOTAL2">#REF!</definedName>
    <definedName name="TOTAL3" localSheetId="44">#REF!</definedName>
    <definedName name="TOTAL3">#REF!</definedName>
    <definedName name="TWO" localSheetId="44">#REF!</definedName>
    <definedName name="TWO">#REF!</definedName>
  </definedNames>
  <calcPr calcId="162913"/>
</workbook>
</file>

<file path=xl/calcChain.xml><?xml version="1.0" encoding="utf-8"?>
<calcChain xmlns="http://schemas.openxmlformats.org/spreadsheetml/2006/main">
  <c r="G48" i="16" l="1"/>
  <c r="D11" i="16" l="1"/>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H48" i="38659" l="1"/>
  <c r="H47" i="38659"/>
  <c r="H46" i="38659"/>
  <c r="H45" i="38659"/>
  <c r="H44" i="38659"/>
  <c r="H43" i="38659"/>
  <c r="H42" i="38659"/>
  <c r="H41" i="38659"/>
  <c r="H40" i="38659"/>
  <c r="H39" i="38659"/>
  <c r="H38" i="38659"/>
  <c r="H37" i="38659"/>
  <c r="H36" i="38659"/>
  <c r="H35" i="38659"/>
  <c r="H34" i="38659"/>
  <c r="H33" i="38659"/>
  <c r="H32" i="38659"/>
  <c r="H31" i="38659"/>
  <c r="H30" i="38659"/>
  <c r="H29" i="38659"/>
  <c r="H28" i="38659"/>
  <c r="H27" i="38659"/>
  <c r="H26" i="38659"/>
  <c r="H25" i="38659"/>
  <c r="H24" i="38659"/>
  <c r="H23" i="38659"/>
  <c r="H22" i="38659"/>
  <c r="H21" i="38659"/>
  <c r="H19" i="38659"/>
  <c r="H18" i="38659"/>
  <c r="H17" i="38659"/>
  <c r="H15" i="38659"/>
  <c r="H14" i="38659"/>
  <c r="H13" i="38659"/>
  <c r="P48" i="3188" l="1"/>
  <c r="O48" i="3188" l="1"/>
  <c r="N48" i="3188"/>
  <c r="D2" i="38658"/>
  <c r="D48" i="25" l="1"/>
  <c r="B59" i="3188" l="1"/>
  <c r="B60" i="3188" s="1"/>
  <c r="B61" i="3188" s="1"/>
  <c r="B62" i="3188" s="1"/>
  <c r="B63" i="3188" s="1"/>
  <c r="B64" i="3188" s="1"/>
  <c r="B65" i="3188" s="1"/>
  <c r="B66" i="3188" s="1"/>
  <c r="B67" i="3188" s="1"/>
  <c r="B68" i="3188" s="1"/>
  <c r="B69" i="3188" s="1"/>
  <c r="B70" i="3188" s="1"/>
  <c r="B71" i="3188" s="1"/>
  <c r="B58" i="3188"/>
  <c r="B57" i="3188"/>
  <c r="E48" i="26" l="1"/>
  <c r="B48" i="82" l="1"/>
  <c r="D48" i="48" l="1"/>
  <c r="C48" i="48"/>
  <c r="B48" i="48"/>
  <c r="F48" i="32"/>
  <c r="B48" i="35" l="1"/>
  <c r="B48" i="33"/>
  <c r="F48" i="34"/>
  <c r="D48" i="35"/>
  <c r="D48" i="33"/>
  <c r="B48" i="34"/>
  <c r="C48" i="33"/>
  <c r="D48" i="34"/>
  <c r="H48" i="26"/>
  <c r="B48" i="27" l="1"/>
  <c r="E48" i="38655"/>
  <c r="B48" i="38656"/>
  <c r="E48" i="8"/>
  <c r="E48" i="9"/>
  <c r="B48" i="7"/>
  <c r="E48" i="10"/>
  <c r="B48" i="11"/>
  <c r="H48" i="11"/>
  <c r="D48" i="82"/>
  <c r="H48" i="25"/>
  <c r="B48" i="9"/>
  <c r="H48" i="9"/>
  <c r="H48" i="10"/>
  <c r="B48" i="25"/>
  <c r="F48" i="25"/>
  <c r="H48" i="38655"/>
  <c r="E48" i="38656"/>
  <c r="B48" i="38655"/>
  <c r="B48" i="26"/>
  <c r="E48" i="11"/>
  <c r="B48" i="10"/>
  <c r="B48" i="8"/>
  <c r="B48" i="5" l="1"/>
  <c r="C13" i="46" l="1"/>
  <c r="C20" i="46"/>
  <c r="C12" i="46"/>
  <c r="C17" i="46"/>
  <c r="C21" i="46"/>
  <c r="C25" i="46"/>
  <c r="C28" i="46"/>
  <c r="C29" i="46"/>
  <c r="C32" i="46"/>
  <c r="C33" i="46"/>
  <c r="C36" i="46"/>
  <c r="C37" i="46"/>
  <c r="C40" i="46"/>
  <c r="C41" i="46"/>
  <c r="C44" i="46"/>
  <c r="C45" i="46"/>
  <c r="C51" i="46"/>
  <c r="C16" i="46"/>
  <c r="C24" i="46"/>
  <c r="F48" i="47"/>
  <c r="C48" i="81"/>
  <c r="E48" i="81"/>
  <c r="G48" i="81"/>
  <c r="E48" i="38665"/>
  <c r="G48" i="38665"/>
  <c r="C48" i="70"/>
  <c r="B48" i="45"/>
  <c r="F48" i="44"/>
  <c r="B48" i="44"/>
  <c r="D48" i="43"/>
  <c r="D48" i="37"/>
  <c r="B48" i="36"/>
  <c r="C14" i="46"/>
  <c r="C18" i="46"/>
  <c r="C22" i="46"/>
  <c r="C26" i="46"/>
  <c r="C30" i="46"/>
  <c r="C34" i="46"/>
  <c r="C38" i="46"/>
  <c r="C42" i="46"/>
  <c r="C46" i="46"/>
  <c r="C15" i="46"/>
  <c r="C19" i="46"/>
  <c r="C23" i="46"/>
  <c r="C27" i="46"/>
  <c r="C31" i="46"/>
  <c r="C35" i="46"/>
  <c r="C39" i="46"/>
  <c r="C43" i="46"/>
  <c r="C50" i="46"/>
  <c r="S48" i="3188"/>
  <c r="U48" i="3188"/>
  <c r="T48" i="3188"/>
  <c r="C48" i="47"/>
  <c r="D48" i="47"/>
  <c r="E48" i="47"/>
  <c r="B48" i="81"/>
  <c r="D48" i="81"/>
  <c r="F48" i="81"/>
  <c r="C48" i="38665"/>
  <c r="F48" i="38665"/>
  <c r="B48" i="70"/>
  <c r="D48" i="44"/>
  <c r="G48" i="43"/>
  <c r="C48" i="43"/>
  <c r="A53" i="44" s="1"/>
  <c r="D48" i="36"/>
  <c r="C11" i="46"/>
  <c r="F48" i="36"/>
  <c r="B48" i="37"/>
  <c r="H48" i="44"/>
  <c r="D48" i="45"/>
  <c r="B48" i="38665"/>
  <c r="B48" i="47"/>
  <c r="C48" i="38668"/>
  <c r="E48" i="43" l="1"/>
  <c r="R48" i="3188"/>
  <c r="F48" i="46"/>
  <c r="B48" i="52"/>
  <c r="D48" i="52"/>
  <c r="B48" i="46"/>
  <c r="E48" i="46"/>
  <c r="C48" i="78"/>
  <c r="D48" i="46"/>
  <c r="E48" i="78"/>
  <c r="D48" i="78"/>
  <c r="Q48" i="3188"/>
  <c r="C48" i="52"/>
  <c r="J48" i="3188"/>
  <c r="E48" i="3188"/>
  <c r="I48" i="3188"/>
  <c r="H48" i="3188"/>
  <c r="C48" i="3188"/>
  <c r="B48" i="78"/>
  <c r="D48" i="3188"/>
  <c r="F48" i="3188"/>
  <c r="G48" i="3188"/>
  <c r="I28" i="41" l="1"/>
  <c r="A3" i="38666" l="1"/>
  <c r="A3" i="38651"/>
  <c r="A3" i="38668" s="1"/>
  <c r="A57" i="78" l="1"/>
  <c r="C48" i="38654" l="1"/>
  <c r="C46" i="38654"/>
  <c r="C45" i="38654"/>
  <c r="C44" i="38654"/>
  <c r="C43" i="38654"/>
  <c r="C42" i="38654"/>
  <c r="C41" i="38654"/>
  <c r="C40" i="38654"/>
  <c r="C39" i="38654"/>
  <c r="C38" i="38654"/>
  <c r="C37" i="38654"/>
  <c r="C36" i="38654"/>
  <c r="C35" i="38654"/>
  <c r="C34" i="38654"/>
  <c r="C33" i="38654"/>
  <c r="C32" i="38654"/>
  <c r="C31" i="38654"/>
  <c r="C30" i="38654"/>
  <c r="C29" i="38654"/>
  <c r="C28" i="38654"/>
  <c r="C27" i="38654"/>
  <c r="C26" i="38654"/>
  <c r="C25" i="38654"/>
  <c r="C24" i="38654"/>
  <c r="C23" i="38654"/>
  <c r="C22" i="38654"/>
  <c r="C21" i="38654"/>
  <c r="C20" i="38654"/>
  <c r="C19" i="38654"/>
  <c r="C18" i="38654"/>
  <c r="C17" i="38654"/>
  <c r="C16" i="38654"/>
  <c r="C15" i="38654"/>
  <c r="C14" i="38654"/>
  <c r="C13" i="38654"/>
  <c r="C12" i="38654"/>
  <c r="C11" i="38654"/>
  <c r="F48" i="38654"/>
  <c r="F46" i="38654"/>
  <c r="F45" i="38654"/>
  <c r="F44" i="38654"/>
  <c r="F43" i="38654"/>
  <c r="F42" i="38654"/>
  <c r="F41" i="38654"/>
  <c r="F40" i="38654"/>
  <c r="F39" i="38654"/>
  <c r="F38" i="38654"/>
  <c r="F37" i="38654"/>
  <c r="F36" i="38654"/>
  <c r="F35" i="38654"/>
  <c r="F34" i="38654"/>
  <c r="F33" i="38654"/>
  <c r="F32" i="38654"/>
  <c r="F31" i="38654"/>
  <c r="F30" i="38654"/>
  <c r="F29" i="38654"/>
  <c r="F28" i="38654"/>
  <c r="F27" i="38654"/>
  <c r="F26" i="38654"/>
  <c r="F25" i="38654"/>
  <c r="F24" i="38654"/>
  <c r="F23" i="38654"/>
  <c r="F22" i="38654"/>
  <c r="F21" i="38654"/>
  <c r="F20" i="38654"/>
  <c r="F19" i="38654"/>
  <c r="F18" i="38654"/>
  <c r="F17" i="38654"/>
  <c r="F16" i="38654"/>
  <c r="F15" i="38654"/>
  <c r="F14" i="38654"/>
  <c r="F13" i="38654"/>
  <c r="F12" i="38654"/>
  <c r="F11" i="38654"/>
  <c r="H47" i="23" l="1"/>
  <c r="I16" i="21"/>
  <c r="H48" i="22"/>
  <c r="AB48" i="3188" l="1"/>
  <c r="I48" i="41" s="1"/>
  <c r="I50" i="41"/>
  <c r="I46" i="41"/>
  <c r="I45" i="41"/>
  <c r="I44" i="41"/>
  <c r="I43" i="41"/>
  <c r="I42" i="41"/>
  <c r="I41" i="41"/>
  <c r="I40" i="41"/>
  <c r="I39" i="41"/>
  <c r="I38" i="41"/>
  <c r="I37" i="41"/>
  <c r="I36" i="41"/>
  <c r="I35" i="41"/>
  <c r="I34" i="41"/>
  <c r="I33" i="41"/>
  <c r="I32" i="41"/>
  <c r="I31" i="41"/>
  <c r="I30" i="41"/>
  <c r="I29" i="41"/>
  <c r="I27" i="41"/>
  <c r="I26" i="41"/>
  <c r="I25" i="41"/>
  <c r="I24" i="41"/>
  <c r="I23" i="41"/>
  <c r="I22" i="41"/>
  <c r="I21" i="41"/>
  <c r="I20" i="41"/>
  <c r="I19" i="41"/>
  <c r="I18" i="41"/>
  <c r="I17" i="41"/>
  <c r="I16" i="41"/>
  <c r="I15" i="41"/>
  <c r="I14" i="41"/>
  <c r="I13" i="41"/>
  <c r="I12" i="41"/>
  <c r="I11" i="41"/>
  <c r="I9" i="41"/>
  <c r="B46" i="38668"/>
  <c r="B45" i="38668"/>
  <c r="B44" i="38668"/>
  <c r="B43" i="38668"/>
  <c r="B42" i="38668"/>
  <c r="B41" i="38668"/>
  <c r="B40" i="38668"/>
  <c r="B39" i="38668"/>
  <c r="B38" i="38668"/>
  <c r="B37" i="38668"/>
  <c r="B36" i="38668"/>
  <c r="B35" i="38668"/>
  <c r="B34" i="38668"/>
  <c r="B33" i="38668"/>
  <c r="B32" i="38668"/>
  <c r="B31" i="38668"/>
  <c r="B30" i="38668"/>
  <c r="B29" i="38668"/>
  <c r="B28" i="38668"/>
  <c r="B27" i="38668"/>
  <c r="B26" i="38668"/>
  <c r="B25" i="38668"/>
  <c r="B24" i="38668"/>
  <c r="B23" i="38668"/>
  <c r="B22" i="38668"/>
  <c r="B21" i="38668"/>
  <c r="B20" i="38668"/>
  <c r="B19" i="38668"/>
  <c r="B18" i="38668"/>
  <c r="B17" i="38668"/>
  <c r="B16" i="38668"/>
  <c r="B15" i="38668"/>
  <c r="B14" i="38668"/>
  <c r="B13" i="38668"/>
  <c r="B12" i="38668"/>
  <c r="D46" i="38668"/>
  <c r="D45" i="38668"/>
  <c r="D44" i="38668"/>
  <c r="D43" i="38668"/>
  <c r="D42" i="38668"/>
  <c r="D41" i="38668"/>
  <c r="D40" i="38668"/>
  <c r="D39" i="38668"/>
  <c r="D38" i="38668"/>
  <c r="D37" i="38668"/>
  <c r="D36" i="38668"/>
  <c r="D35" i="38668"/>
  <c r="D34" i="38668"/>
  <c r="D33" i="38668"/>
  <c r="D32" i="38668"/>
  <c r="D31" i="38668"/>
  <c r="D30" i="38668"/>
  <c r="D29" i="38668"/>
  <c r="D28" i="38668"/>
  <c r="D27" i="38668"/>
  <c r="D26" i="38668"/>
  <c r="D25" i="38668"/>
  <c r="D24" i="38668"/>
  <c r="D23" i="38668"/>
  <c r="D22" i="38668"/>
  <c r="D21" i="38668"/>
  <c r="D20" i="38668"/>
  <c r="D19" i="38668"/>
  <c r="D18" i="38668"/>
  <c r="D17" i="38668"/>
  <c r="D16" i="38668"/>
  <c r="D15" i="38668"/>
  <c r="D14" i="38668"/>
  <c r="D13" i="38668"/>
  <c r="D12" i="38668"/>
  <c r="D11" i="38668"/>
  <c r="B11" i="38668"/>
  <c r="I51" i="38648"/>
  <c r="I50" i="38648"/>
  <c r="I14" i="38648"/>
  <c r="I21" i="21"/>
  <c r="F45" i="23"/>
  <c r="F21" i="21" s="1"/>
  <c r="B45" i="23"/>
  <c r="F19" i="21" s="1"/>
  <c r="J28" i="23"/>
  <c r="D21" i="21"/>
  <c r="D19" i="21"/>
  <c r="B21" i="23"/>
  <c r="C19" i="21" s="1"/>
  <c r="J48" i="22"/>
  <c r="H45" i="22"/>
  <c r="F16" i="21" s="1"/>
  <c r="D45" i="22"/>
  <c r="F14" i="21" s="1"/>
  <c r="J34" i="23"/>
  <c r="F39" i="22"/>
  <c r="E15" i="21" s="1"/>
  <c r="D17" i="21"/>
  <c r="D16" i="21"/>
  <c r="D15" i="21"/>
  <c r="D14" i="21"/>
  <c r="D13" i="21"/>
  <c r="H21" i="22"/>
  <c r="C16" i="21" s="1"/>
  <c r="H50" i="23"/>
  <c r="J50" i="23" s="1"/>
  <c r="B7" i="3188"/>
  <c r="C52" i="38658"/>
  <c r="B89" i="3188"/>
  <c r="A53" i="81" s="1"/>
  <c r="B9" i="38648"/>
  <c r="C9" i="38648"/>
  <c r="H9" i="38648"/>
  <c r="K6" i="38667"/>
  <c r="L6" i="38667"/>
  <c r="J7" i="38667"/>
  <c r="K7" i="38667"/>
  <c r="L7" i="38667"/>
  <c r="J47" i="38667"/>
  <c r="K47" i="38667"/>
  <c r="L47" i="38667"/>
  <c r="K20" i="38659"/>
  <c r="I16" i="38658"/>
  <c r="I20" i="38658"/>
  <c r="H51" i="38658"/>
  <c r="B3" i="38654"/>
  <c r="G11" i="38648"/>
  <c r="G12" i="38648"/>
  <c r="F12" i="38651"/>
  <c r="G13" i="38648"/>
  <c r="F13" i="38651"/>
  <c r="G14" i="38648"/>
  <c r="G15" i="38648"/>
  <c r="F15" i="38651"/>
  <c r="G16" i="38648"/>
  <c r="F16" i="38651"/>
  <c r="G17" i="38648"/>
  <c r="F17" i="38651"/>
  <c r="G18" i="38648"/>
  <c r="F18" i="38651"/>
  <c r="G18" i="38651" s="1"/>
  <c r="I18" i="38648" s="1"/>
  <c r="G19" i="38648"/>
  <c r="F19" i="38651"/>
  <c r="G20" i="38648"/>
  <c r="F20" i="38651"/>
  <c r="G21" i="38648"/>
  <c r="F21" i="38651"/>
  <c r="G22" i="38648"/>
  <c r="F22" i="38651"/>
  <c r="G23" i="38648"/>
  <c r="F23" i="38651"/>
  <c r="G24" i="38648"/>
  <c r="F24" i="38651"/>
  <c r="G25" i="38648"/>
  <c r="F25" i="38651"/>
  <c r="G26" i="38648"/>
  <c r="F26" i="38651"/>
  <c r="G27" i="38648"/>
  <c r="F27" i="38651"/>
  <c r="G28" i="38648"/>
  <c r="F28" i="38651"/>
  <c r="G29" i="38648"/>
  <c r="F29" i="38651"/>
  <c r="G30" i="38648"/>
  <c r="F30" i="38651"/>
  <c r="G31" i="38648"/>
  <c r="F31" i="38651"/>
  <c r="G32" i="38648"/>
  <c r="F32" i="38651"/>
  <c r="G33" i="38648"/>
  <c r="F33" i="38651"/>
  <c r="G34" i="38648"/>
  <c r="F34" i="38651"/>
  <c r="G35" i="38648"/>
  <c r="F35" i="38651"/>
  <c r="G36" i="38648"/>
  <c r="F36" i="38651"/>
  <c r="G37" i="38648"/>
  <c r="F37" i="38651"/>
  <c r="G38" i="38648"/>
  <c r="F38" i="38651"/>
  <c r="G39" i="38648"/>
  <c r="F39" i="38651"/>
  <c r="G40" i="38648"/>
  <c r="F40" i="38651"/>
  <c r="G41" i="38648"/>
  <c r="F41" i="38651"/>
  <c r="G42" i="38648"/>
  <c r="F42" i="38651"/>
  <c r="G43" i="38648"/>
  <c r="F43" i="38651"/>
  <c r="G44" i="38648"/>
  <c r="F44" i="38651"/>
  <c r="G45" i="38648"/>
  <c r="F45" i="38651"/>
  <c r="G46" i="38648"/>
  <c r="F46" i="38651"/>
  <c r="G48" i="38648"/>
  <c r="E11" i="38651"/>
  <c r="I11" i="38651"/>
  <c r="E12" i="38651"/>
  <c r="I12" i="38651"/>
  <c r="E13" i="38651"/>
  <c r="I13" i="38651"/>
  <c r="E14" i="38651"/>
  <c r="I14" i="38651"/>
  <c r="E15" i="38651"/>
  <c r="I15" i="38651"/>
  <c r="E16" i="38651"/>
  <c r="I16" i="38651"/>
  <c r="E17" i="38651"/>
  <c r="I17" i="38651"/>
  <c r="E18" i="38651"/>
  <c r="I18" i="38651"/>
  <c r="E19" i="38651"/>
  <c r="G19" i="38651" s="1"/>
  <c r="I19" i="38648" s="1"/>
  <c r="I19" i="38651"/>
  <c r="E20" i="38651"/>
  <c r="I20" i="38651"/>
  <c r="E21" i="38651"/>
  <c r="I21" i="38651"/>
  <c r="E22" i="38651"/>
  <c r="I22" i="38651"/>
  <c r="E23" i="38651"/>
  <c r="G23" i="38651" s="1"/>
  <c r="I23" i="38648" s="1"/>
  <c r="I23" i="38651"/>
  <c r="E24" i="38651"/>
  <c r="I24" i="38651"/>
  <c r="E25" i="38651"/>
  <c r="I25" i="38651"/>
  <c r="E26" i="38651"/>
  <c r="G26" i="38651" s="1"/>
  <c r="I26" i="38648" s="1"/>
  <c r="I26" i="38651"/>
  <c r="E27" i="38651"/>
  <c r="I27" i="38651"/>
  <c r="E28" i="38651"/>
  <c r="I28" i="38651"/>
  <c r="E29" i="38651"/>
  <c r="I29" i="38651"/>
  <c r="E30" i="38651"/>
  <c r="I30" i="38651"/>
  <c r="E31" i="38651"/>
  <c r="I31" i="38651"/>
  <c r="E32" i="38651"/>
  <c r="G32" i="38651" s="1"/>
  <c r="J31" i="38651" s="1"/>
  <c r="I32" i="38651"/>
  <c r="E33" i="38651"/>
  <c r="I33" i="38651"/>
  <c r="E34" i="38651"/>
  <c r="G34" i="38651" s="1"/>
  <c r="J33" i="38651" s="1"/>
  <c r="I34" i="38651"/>
  <c r="E35" i="38651"/>
  <c r="I35" i="38651"/>
  <c r="E36" i="38651"/>
  <c r="I36" i="38651"/>
  <c r="E37" i="38651"/>
  <c r="I37" i="38651"/>
  <c r="E38" i="38651"/>
  <c r="I38" i="38651"/>
  <c r="E39" i="38651"/>
  <c r="I39" i="38651"/>
  <c r="E40" i="38651"/>
  <c r="I40" i="38651"/>
  <c r="E41" i="38651"/>
  <c r="I41" i="38651"/>
  <c r="E42" i="38651"/>
  <c r="I42" i="38651"/>
  <c r="E43" i="38651"/>
  <c r="I43" i="38651"/>
  <c r="E44" i="38651"/>
  <c r="I44" i="38651"/>
  <c r="E45" i="38651"/>
  <c r="I45" i="38651"/>
  <c r="E46" i="38651"/>
  <c r="B48" i="38651"/>
  <c r="B53" i="38651" s="1"/>
  <c r="C48" i="38651"/>
  <c r="C53" i="38651" s="1"/>
  <c r="D48" i="38651"/>
  <c r="D53" i="38651" s="1"/>
  <c r="E50" i="38651"/>
  <c r="E51" i="38651"/>
  <c r="A5" i="38662"/>
  <c r="B11" i="38662"/>
  <c r="C11" i="38662" s="1"/>
  <c r="B12" i="38662"/>
  <c r="C12" i="38662" s="1"/>
  <c r="B12" i="38654" s="1"/>
  <c r="D12" i="38654" s="1"/>
  <c r="B13" i="38662"/>
  <c r="C13" i="38662" s="1"/>
  <c r="B13" i="38654" s="1"/>
  <c r="D13" i="38654" s="1"/>
  <c r="B14" i="38662"/>
  <c r="C14" i="38662" s="1"/>
  <c r="B14" i="38654" s="1"/>
  <c r="D14" i="38654" s="1"/>
  <c r="B15" i="38662"/>
  <c r="C15" i="38662" s="1"/>
  <c r="B15" i="38654" s="1"/>
  <c r="D15" i="38654" s="1"/>
  <c r="B16" i="38662"/>
  <c r="C16" i="38662" s="1"/>
  <c r="B16" i="38654" s="1"/>
  <c r="D16" i="38654" s="1"/>
  <c r="B17" i="38662"/>
  <c r="C17" i="38662" s="1"/>
  <c r="B17" i="38654" s="1"/>
  <c r="D17" i="38654" s="1"/>
  <c r="B18" i="38662"/>
  <c r="C18" i="38662" s="1"/>
  <c r="B18" i="38654" s="1"/>
  <c r="D18" i="38654" s="1"/>
  <c r="B19" i="38662"/>
  <c r="C19" i="38662" s="1"/>
  <c r="B19" i="38654" s="1"/>
  <c r="D19" i="38654" s="1"/>
  <c r="B20" i="38662"/>
  <c r="C20" i="38662" s="1"/>
  <c r="B20" i="38654" s="1"/>
  <c r="D20" i="38654" s="1"/>
  <c r="B21" i="38662"/>
  <c r="C21" i="38662" s="1"/>
  <c r="B21" i="38654" s="1"/>
  <c r="D21" i="38654" s="1"/>
  <c r="B22" i="38662"/>
  <c r="C22" i="38662" s="1"/>
  <c r="B22" i="38654" s="1"/>
  <c r="D22" i="38654" s="1"/>
  <c r="B23" i="38662"/>
  <c r="C23" i="38662" s="1"/>
  <c r="B23" i="38654" s="1"/>
  <c r="D23" i="38654" s="1"/>
  <c r="B24" i="38662"/>
  <c r="C24" i="38662" s="1"/>
  <c r="B24" i="38654" s="1"/>
  <c r="D24" i="38654" s="1"/>
  <c r="B25" i="38662"/>
  <c r="C25" i="38662" s="1"/>
  <c r="B25" i="38654" s="1"/>
  <c r="D25" i="38654" s="1"/>
  <c r="B26" i="38662"/>
  <c r="C26" i="38662" s="1"/>
  <c r="B26" i="38654" s="1"/>
  <c r="D26" i="38654" s="1"/>
  <c r="B27" i="38662"/>
  <c r="C27" i="38662" s="1"/>
  <c r="B27" i="38654" s="1"/>
  <c r="D27" i="38654" s="1"/>
  <c r="B28" i="38662"/>
  <c r="C28" i="38662" s="1"/>
  <c r="B28" i="38654" s="1"/>
  <c r="D28" i="38654" s="1"/>
  <c r="B29" i="38662"/>
  <c r="C29" i="38662" s="1"/>
  <c r="B29" i="38654" s="1"/>
  <c r="D29" i="38654" s="1"/>
  <c r="B30" i="38662"/>
  <c r="C30" i="38662" s="1"/>
  <c r="B30" i="38654" s="1"/>
  <c r="D30" i="38654" s="1"/>
  <c r="B31" i="38662"/>
  <c r="C31" i="38662" s="1"/>
  <c r="B31" i="38654" s="1"/>
  <c r="D31" i="38654" s="1"/>
  <c r="B32" i="38662"/>
  <c r="C32" i="38662" s="1"/>
  <c r="B32" i="38654" s="1"/>
  <c r="D32" i="38654" s="1"/>
  <c r="B33" i="38662"/>
  <c r="C33" i="38662" s="1"/>
  <c r="B33" i="38654" s="1"/>
  <c r="D33" i="38654" s="1"/>
  <c r="B34" i="38662"/>
  <c r="C34" i="38662" s="1"/>
  <c r="B34" i="38654" s="1"/>
  <c r="D34" i="38654" s="1"/>
  <c r="B35" i="38662"/>
  <c r="C35" i="38662" s="1"/>
  <c r="B35" i="38654" s="1"/>
  <c r="D35" i="38654" s="1"/>
  <c r="B36" i="38662"/>
  <c r="C36" i="38662" s="1"/>
  <c r="B36" i="38654" s="1"/>
  <c r="D36" i="38654" s="1"/>
  <c r="B37" i="38662"/>
  <c r="C37" i="38662" s="1"/>
  <c r="B37" i="38654" s="1"/>
  <c r="D37" i="38654" s="1"/>
  <c r="B38" i="38662"/>
  <c r="C38" i="38662" s="1"/>
  <c r="B38" i="38654" s="1"/>
  <c r="D38" i="38654" s="1"/>
  <c r="B39" i="38662"/>
  <c r="C39" i="38662" s="1"/>
  <c r="B39" i="38654" s="1"/>
  <c r="D39" i="38654" s="1"/>
  <c r="B40" i="38662"/>
  <c r="C40" i="38662" s="1"/>
  <c r="B40" i="38654" s="1"/>
  <c r="D40" i="38654" s="1"/>
  <c r="B41" i="38662"/>
  <c r="C41" i="38662" s="1"/>
  <c r="B41" i="38654" s="1"/>
  <c r="D41" i="38654" s="1"/>
  <c r="B42" i="38662"/>
  <c r="C42" i="38662" s="1"/>
  <c r="B42" i="38654" s="1"/>
  <c r="D42" i="38654" s="1"/>
  <c r="B43" i="38662"/>
  <c r="C43" i="38662" s="1"/>
  <c r="B43" i="38654" s="1"/>
  <c r="D43" i="38654" s="1"/>
  <c r="B44" i="38662"/>
  <c r="C44" i="38662" s="1"/>
  <c r="B44" i="38654" s="1"/>
  <c r="D44" i="38654" s="1"/>
  <c r="B45" i="38662"/>
  <c r="C45" i="38662" s="1"/>
  <c r="B45" i="38654" s="1"/>
  <c r="D45" i="38654" s="1"/>
  <c r="B46" i="38662"/>
  <c r="C46" i="38662" s="1"/>
  <c r="B46" i="38654" s="1"/>
  <c r="D46" i="38654" s="1"/>
  <c r="B50" i="38662"/>
  <c r="B51" i="38662"/>
  <c r="C51" i="38662" s="1"/>
  <c r="A2" i="38665"/>
  <c r="A2" i="38670" s="1"/>
  <c r="D14" i="40"/>
  <c r="D27" i="40"/>
  <c r="D50" i="40"/>
  <c r="D50" i="39"/>
  <c r="F50" i="39"/>
  <c r="H50" i="39"/>
  <c r="B48" i="16"/>
  <c r="C48" i="16"/>
  <c r="F48" i="16"/>
  <c r="D50" i="16"/>
  <c r="D51" i="16"/>
  <c r="B3" i="14"/>
  <c r="B3" i="17" s="1"/>
  <c r="F11" i="38651"/>
  <c r="D9" i="38667"/>
  <c r="G9" i="38667" s="1"/>
  <c r="J44" i="23"/>
  <c r="I17" i="21"/>
  <c r="J41" i="23"/>
  <c r="J13" i="23"/>
  <c r="F51" i="23"/>
  <c r="J45" i="22"/>
  <c r="F17" i="21" s="1"/>
  <c r="D21" i="23"/>
  <c r="J15" i="23"/>
  <c r="F39" i="23"/>
  <c r="E21" i="21" s="1"/>
  <c r="K22" i="21"/>
  <c r="J19" i="23"/>
  <c r="J37" i="23"/>
  <c r="J42" i="23"/>
  <c r="J43" i="23"/>
  <c r="D20" i="21"/>
  <c r="J22" i="23"/>
  <c r="J24" i="23"/>
  <c r="J38" i="23"/>
  <c r="H48" i="23"/>
  <c r="J48" i="23" s="1"/>
  <c r="G25" i="21"/>
  <c r="B39" i="23"/>
  <c r="E19" i="21" s="1"/>
  <c r="J21" i="22"/>
  <c r="D21" i="22"/>
  <c r="C14" i="21" s="1"/>
  <c r="F21" i="22"/>
  <c r="C15" i="21" s="1"/>
  <c r="B45" i="22"/>
  <c r="D39" i="23"/>
  <c r="E20" i="21" s="1"/>
  <c r="J27" i="23"/>
  <c r="D45" i="23"/>
  <c r="F20" i="21" s="1"/>
  <c r="I15" i="21"/>
  <c r="F48" i="22"/>
  <c r="J14" i="23"/>
  <c r="F21" i="23"/>
  <c r="C21" i="21" s="1"/>
  <c r="J29" i="23"/>
  <c r="J17" i="23"/>
  <c r="J30" i="23"/>
  <c r="J31" i="23"/>
  <c r="J32" i="23"/>
  <c r="J33" i="23"/>
  <c r="J35" i="23"/>
  <c r="H25" i="21"/>
  <c r="H49" i="23"/>
  <c r="J49" i="23" s="1"/>
  <c r="B39" i="22"/>
  <c r="E13" i="21" s="1"/>
  <c r="J20" i="23"/>
  <c r="J26" i="23"/>
  <c r="J25" i="23"/>
  <c r="J18" i="23"/>
  <c r="C47" i="38658" l="1"/>
  <c r="C45" i="38658"/>
  <c r="C43" i="38658"/>
  <c r="C41" i="38658"/>
  <c r="C39" i="38658"/>
  <c r="C37" i="38658"/>
  <c r="C35" i="38658"/>
  <c r="C33" i="38658"/>
  <c r="C31" i="38658"/>
  <c r="C29" i="38658"/>
  <c r="C27" i="38658"/>
  <c r="C25" i="38658"/>
  <c r="C23" i="38658"/>
  <c r="C21" i="38658"/>
  <c r="C19" i="38658"/>
  <c r="C17" i="38658"/>
  <c r="C15" i="38658"/>
  <c r="C48" i="38658"/>
  <c r="C46" i="38658"/>
  <c r="C44" i="38658"/>
  <c r="C42" i="38658"/>
  <c r="C40" i="38658"/>
  <c r="C38" i="38658"/>
  <c r="C36" i="38658"/>
  <c r="C34" i="38658"/>
  <c r="C32" i="38658"/>
  <c r="C30" i="38658"/>
  <c r="C28" i="38658"/>
  <c r="C26" i="38658"/>
  <c r="C22" i="38658"/>
  <c r="C18" i="38658"/>
  <c r="C14" i="38658"/>
  <c r="C13" i="38658"/>
  <c r="G43" i="38651"/>
  <c r="I43" i="38648" s="1"/>
  <c r="G39" i="38651"/>
  <c r="I39" i="38648" s="1"/>
  <c r="G33" i="38651"/>
  <c r="I33" i="38648" s="1"/>
  <c r="G12" i="38651"/>
  <c r="J12" i="38651" s="1"/>
  <c r="G27" i="38651"/>
  <c r="I27" i="38648" s="1"/>
  <c r="G41" i="38651"/>
  <c r="I41" i="38648" s="1"/>
  <c r="G35" i="38651"/>
  <c r="I35" i="38648" s="1"/>
  <c r="G31" i="38651"/>
  <c r="I31" i="38648" s="1"/>
  <c r="G15" i="38651"/>
  <c r="I15" i="38648" s="1"/>
  <c r="G11" i="38651"/>
  <c r="I11" i="38648" s="1"/>
  <c r="B2" i="32"/>
  <c r="B2" i="33" s="1"/>
  <c r="E7" i="70"/>
  <c r="C3" i="70"/>
  <c r="B48" i="38668"/>
  <c r="D48" i="38668"/>
  <c r="J22" i="38651"/>
  <c r="B2" i="38659"/>
  <c r="A3" i="5"/>
  <c r="B3" i="36" s="1"/>
  <c r="B2" i="38663"/>
  <c r="B1" i="43"/>
  <c r="B2" i="48"/>
  <c r="G42" i="38651"/>
  <c r="I42" i="38648" s="1"/>
  <c r="G40" i="38651"/>
  <c r="J39" i="38651" s="1"/>
  <c r="B3" i="15"/>
  <c r="B9" i="38667"/>
  <c r="F9" i="38667" s="1"/>
  <c r="A3" i="38648"/>
  <c r="A3" i="38667" s="1"/>
  <c r="H51" i="23"/>
  <c r="H53" i="23" s="1"/>
  <c r="I42" i="38666"/>
  <c r="B48" i="38662"/>
  <c r="B53" i="38662" s="1"/>
  <c r="E48" i="38651"/>
  <c r="E53" i="38651" s="1"/>
  <c r="J18" i="38651"/>
  <c r="I40" i="38666"/>
  <c r="L48" i="3188"/>
  <c r="D9" i="38648"/>
  <c r="I32" i="38666"/>
  <c r="I24" i="38666"/>
  <c r="E50" i="38658"/>
  <c r="C50" i="38659"/>
  <c r="I43" i="38666"/>
  <c r="I33" i="38666"/>
  <c r="I15" i="38666"/>
  <c r="I14" i="38666"/>
  <c r="C24" i="38658"/>
  <c r="I50" i="38666"/>
  <c r="I46" i="38666"/>
  <c r="I41" i="38666"/>
  <c r="I38" i="38666"/>
  <c r="I35" i="38666"/>
  <c r="I29" i="38666"/>
  <c r="I28" i="38666"/>
  <c r="I26" i="38666"/>
  <c r="I25" i="38666"/>
  <c r="I19" i="38666"/>
  <c r="I16" i="38666"/>
  <c r="I12" i="38666"/>
  <c r="C48" i="38666"/>
  <c r="D53" i="23"/>
  <c r="K19" i="21"/>
  <c r="B53" i="23"/>
  <c r="B50" i="38658"/>
  <c r="J50" i="38659"/>
  <c r="I51" i="38666"/>
  <c r="I45" i="38666"/>
  <c r="I44" i="38666"/>
  <c r="I39" i="38666"/>
  <c r="I37" i="38666"/>
  <c r="I36" i="38666"/>
  <c r="I34" i="38666"/>
  <c r="I31" i="38666"/>
  <c r="I30" i="38666"/>
  <c r="I27" i="38666"/>
  <c r="I23" i="38666"/>
  <c r="I22" i="38666"/>
  <c r="I21" i="38666"/>
  <c r="I20" i="38666"/>
  <c r="I18" i="38666"/>
  <c r="I17" i="38666"/>
  <c r="I13" i="38666"/>
  <c r="H48" i="38666"/>
  <c r="B48" i="38666"/>
  <c r="G48" i="38666"/>
  <c r="E48" i="38666"/>
  <c r="F53" i="23"/>
  <c r="D25" i="21"/>
  <c r="D48" i="16"/>
  <c r="D50" i="38659"/>
  <c r="F48" i="38666"/>
  <c r="D48" i="38666"/>
  <c r="I11" i="38666"/>
  <c r="M48" i="3188"/>
  <c r="G30" i="38651"/>
  <c r="J29" i="38651" s="1"/>
  <c r="G25" i="38651"/>
  <c r="I25" i="38648" s="1"/>
  <c r="G24" i="38651"/>
  <c r="J23" i="38651" s="1"/>
  <c r="G46" i="38651"/>
  <c r="I46" i="38648" s="1"/>
  <c r="G45" i="38651"/>
  <c r="I45" i="38648" s="1"/>
  <c r="G44" i="38651"/>
  <c r="J43" i="38651" s="1"/>
  <c r="G38" i="38651"/>
  <c r="J37" i="38651" s="1"/>
  <c r="G37" i="38651"/>
  <c r="I37" i="38648" s="1"/>
  <c r="G36" i="38651"/>
  <c r="J35" i="38651" s="1"/>
  <c r="G29" i="38651"/>
  <c r="I29" i="38648" s="1"/>
  <c r="G28" i="38651"/>
  <c r="I28" i="38648" s="1"/>
  <c r="G22" i="38651"/>
  <c r="I22" i="38648" s="1"/>
  <c r="G21" i="38651"/>
  <c r="I21" i="38648" s="1"/>
  <c r="G20" i="38651"/>
  <c r="I20" i="38648" s="1"/>
  <c r="G17" i="38651"/>
  <c r="I17" i="38648" s="1"/>
  <c r="G13" i="38651"/>
  <c r="J13" i="38651" s="1"/>
  <c r="J51" i="23"/>
  <c r="G16" i="38651"/>
  <c r="F48" i="38651"/>
  <c r="M47" i="38667"/>
  <c r="I47" i="38667" s="1"/>
  <c r="J14" i="38651"/>
  <c r="J30" i="38651"/>
  <c r="J25" i="38651"/>
  <c r="J17" i="38651"/>
  <c r="J16" i="23"/>
  <c r="C48" i="38662"/>
  <c r="C53" i="38662" s="1"/>
  <c r="B11" i="38654"/>
  <c r="H39" i="22"/>
  <c r="I12" i="38648"/>
  <c r="I32" i="38648"/>
  <c r="I34" i="38648"/>
  <c r="J36" i="23"/>
  <c r="K21" i="21"/>
  <c r="B21" i="22"/>
  <c r="C13" i="21" s="1"/>
  <c r="D39" i="22"/>
  <c r="J39" i="22"/>
  <c r="J50" i="22" s="1"/>
  <c r="F45" i="22"/>
  <c r="F15" i="21" s="1"/>
  <c r="K15" i="21" s="1"/>
  <c r="C20" i="21"/>
  <c r="K20" i="21" s="1"/>
  <c r="I25" i="21"/>
  <c r="C17" i="21"/>
  <c r="F13" i="21"/>
  <c r="J32" i="38651" l="1"/>
  <c r="I40" i="38648"/>
  <c r="J41" i="38651"/>
  <c r="J26" i="38651"/>
  <c r="J34" i="38651"/>
  <c r="I30" i="38648"/>
  <c r="J11" i="38651"/>
  <c r="J38" i="38651"/>
  <c r="G48" i="38651"/>
  <c r="I48" i="38648" s="1"/>
  <c r="J40" i="38651"/>
  <c r="J42" i="38651"/>
  <c r="J16" i="38651"/>
  <c r="I38" i="38648"/>
  <c r="B3" i="54"/>
  <c r="I24" i="38648"/>
  <c r="J24" i="38651"/>
  <c r="J19" i="38651"/>
  <c r="I44" i="38648"/>
  <c r="J27" i="38651"/>
  <c r="J28" i="38651"/>
  <c r="J21" i="38651"/>
  <c r="I13" i="38648"/>
  <c r="J45" i="38651"/>
  <c r="J36" i="38651"/>
  <c r="B2" i="52"/>
  <c r="B2" i="44"/>
  <c r="B2" i="45"/>
  <c r="B2" i="78"/>
  <c r="A2" i="42"/>
  <c r="B2" i="81"/>
  <c r="B2" i="47"/>
  <c r="B2" i="46"/>
  <c r="B3" i="26"/>
  <c r="B3" i="38"/>
  <c r="B3" i="38656"/>
  <c r="A3" i="41"/>
  <c r="B3" i="82"/>
  <c r="B3" i="37"/>
  <c r="B3" i="9"/>
  <c r="B3" i="18"/>
  <c r="B3" i="38655"/>
  <c r="B3" i="27"/>
  <c r="B3" i="39"/>
  <c r="B3" i="25"/>
  <c r="B3" i="7"/>
  <c r="C2" i="23"/>
  <c r="D2" i="22"/>
  <c r="B3" i="34"/>
  <c r="B3" i="10"/>
  <c r="B3" i="40"/>
  <c r="B3" i="20"/>
  <c r="B3" i="35"/>
  <c r="C3" i="11"/>
  <c r="B3" i="8"/>
  <c r="B3" i="19"/>
  <c r="B3" i="76"/>
  <c r="C2" i="21"/>
  <c r="J44" i="38651"/>
  <c r="I36" i="38648"/>
  <c r="J20" i="38651"/>
  <c r="I48" i="38666"/>
  <c r="F50" i="22"/>
  <c r="B50" i="22"/>
  <c r="J21" i="23"/>
  <c r="C50" i="38658"/>
  <c r="I16" i="38648"/>
  <c r="J15" i="38651"/>
  <c r="E16" i="21"/>
  <c r="K16" i="21" s="1"/>
  <c r="H50" i="22"/>
  <c r="D11" i="38654"/>
  <c r="D48" i="38654" s="1"/>
  <c r="B48" i="38654"/>
  <c r="E17" i="21"/>
  <c r="K17" i="21" s="1"/>
  <c r="J39" i="23"/>
  <c r="J45" i="23"/>
  <c r="E14" i="21"/>
  <c r="D50" i="22"/>
  <c r="C25" i="21"/>
  <c r="F25" i="21"/>
  <c r="K13" i="21"/>
  <c r="J53" i="23" l="1"/>
  <c r="K50" i="22" s="1"/>
  <c r="N27" i="23" s="1"/>
  <c r="K14" i="21"/>
  <c r="K25" i="21" s="1"/>
  <c r="E25" i="21"/>
  <c r="I24" i="22" l="1"/>
  <c r="E43" i="23"/>
  <c r="C20" i="22"/>
  <c r="C35" i="22"/>
  <c r="E45" i="23"/>
  <c r="C41" i="23"/>
  <c r="G39" i="23"/>
  <c r="E32" i="23"/>
  <c r="C27" i="23"/>
  <c r="G53" i="23"/>
  <c r="N30" i="23" s="1"/>
  <c r="G30" i="22"/>
  <c r="C30" i="22"/>
  <c r="E26" i="23"/>
  <c r="E21" i="23"/>
  <c r="E25" i="23"/>
  <c r="K20" i="22"/>
  <c r="I35" i="22"/>
  <c r="G36" i="22"/>
  <c r="K48" i="23"/>
  <c r="N16" i="23" s="1"/>
  <c r="I25" i="22"/>
  <c r="K51" i="23"/>
  <c r="C50" i="22"/>
  <c r="N23" i="23" s="1"/>
  <c r="G15" i="23"/>
  <c r="E50" i="22"/>
  <c r="N24" i="23" s="1"/>
  <c r="C21" i="22"/>
  <c r="K44" i="22"/>
  <c r="K28" i="23"/>
  <c r="C15" i="23"/>
  <c r="G34" i="23"/>
  <c r="C32" i="22"/>
  <c r="C33" i="22"/>
  <c r="E38" i="23"/>
  <c r="G43" i="23"/>
  <c r="K22" i="23"/>
  <c r="N13" i="23" s="1"/>
  <c r="C20" i="23"/>
  <c r="G15" i="22"/>
  <c r="E41" i="22"/>
  <c r="K26" i="22"/>
  <c r="E44" i="23"/>
  <c r="C17" i="23"/>
  <c r="E36" i="22"/>
  <c r="I17" i="22"/>
  <c r="I30" i="22"/>
  <c r="K41" i="23"/>
  <c r="C14" i="22"/>
  <c r="G33" i="23"/>
  <c r="K17" i="22"/>
  <c r="I37" i="22"/>
  <c r="E16" i="22"/>
  <c r="G18" i="23"/>
  <c r="K38" i="23"/>
  <c r="G38" i="22"/>
  <c r="E18" i="23"/>
  <c r="K49" i="23"/>
  <c r="G28" i="22"/>
  <c r="G20" i="22"/>
  <c r="K25" i="22"/>
  <c r="G39" i="22"/>
  <c r="E32" i="22"/>
  <c r="K35" i="23"/>
  <c r="E38" i="22"/>
  <c r="C28" i="22"/>
  <c r="G18" i="22"/>
  <c r="I15" i="22"/>
  <c r="C39" i="23"/>
  <c r="G21" i="22"/>
  <c r="G24" i="23"/>
  <c r="C26" i="23"/>
  <c r="E17" i="22"/>
  <c r="I44" i="22"/>
  <c r="K41" i="22"/>
  <c r="G14" i="22"/>
  <c r="I38" i="22"/>
  <c r="I50" i="23"/>
  <c r="C45" i="22"/>
  <c r="K50" i="23"/>
  <c r="G29" i="22"/>
  <c r="G32" i="23"/>
  <c r="I34" i="22"/>
  <c r="I53" i="23"/>
  <c r="N31" i="23" s="1"/>
  <c r="I50" i="22"/>
  <c r="N26" i="23" s="1"/>
  <c r="I39" i="22"/>
  <c r="I14" i="22"/>
  <c r="K44" i="23"/>
  <c r="K18" i="22"/>
  <c r="I42" i="22"/>
  <c r="G42" i="23"/>
  <c r="C31" i="23"/>
  <c r="G22" i="22"/>
  <c r="G28" i="23"/>
  <c r="I33" i="22"/>
  <c r="K26" i="23"/>
  <c r="K35" i="22"/>
  <c r="I48" i="23"/>
  <c r="E42" i="22"/>
  <c r="K36" i="22"/>
  <c r="G45" i="22"/>
  <c r="C24" i="23"/>
  <c r="E25" i="22"/>
  <c r="K21" i="22"/>
  <c r="E43" i="22"/>
  <c r="G42" i="22"/>
  <c r="E29" i="23"/>
  <c r="I18" i="22"/>
  <c r="I29" i="22"/>
  <c r="K32" i="23"/>
  <c r="K31" i="23"/>
  <c r="G43" i="22"/>
  <c r="K24" i="22"/>
  <c r="G29" i="23"/>
  <c r="G26" i="22"/>
  <c r="I22" i="22"/>
  <c r="E24" i="22"/>
  <c r="K33" i="23"/>
  <c r="C25" i="23"/>
  <c r="C27" i="22"/>
  <c r="G38" i="23"/>
  <c r="G22" i="23"/>
  <c r="E28" i="23"/>
  <c r="K15" i="23"/>
  <c r="E34" i="23"/>
  <c r="K20" i="23"/>
  <c r="I28" i="22"/>
  <c r="K27" i="23"/>
  <c r="G25" i="22"/>
  <c r="C44" i="23"/>
  <c r="G44" i="22"/>
  <c r="C36" i="22"/>
  <c r="G27" i="22"/>
  <c r="C36" i="23"/>
  <c r="E39" i="22"/>
  <c r="G36" i="23"/>
  <c r="I20" i="22"/>
  <c r="E31" i="23"/>
  <c r="K37" i="22"/>
  <c r="E22" i="22"/>
  <c r="I26" i="22"/>
  <c r="C44" i="22"/>
  <c r="C34" i="22"/>
  <c r="C37" i="23"/>
  <c r="K21" i="23"/>
  <c r="N12" i="23" s="1"/>
  <c r="K30" i="23"/>
  <c r="K25" i="23"/>
  <c r="E53" i="23"/>
  <c r="N29" i="23" s="1"/>
  <c r="I51" i="23"/>
  <c r="G44" i="23"/>
  <c r="K14" i="23"/>
  <c r="C39" i="22"/>
  <c r="E39" i="23"/>
  <c r="G17" i="23"/>
  <c r="C43" i="23"/>
  <c r="G24" i="22"/>
  <c r="E31" i="22"/>
  <c r="E20" i="23"/>
  <c r="C42" i="23"/>
  <c r="E34" i="22"/>
  <c r="G31" i="22"/>
  <c r="K14" i="22"/>
  <c r="K16" i="23"/>
  <c r="G17" i="22"/>
  <c r="C28" i="23"/>
  <c r="G37" i="23"/>
  <c r="E33" i="23"/>
  <c r="K45" i="22"/>
  <c r="G37" i="22"/>
  <c r="C35" i="23"/>
  <c r="C24" i="22"/>
  <c r="G41" i="22"/>
  <c r="E17" i="23"/>
  <c r="C14" i="23"/>
  <c r="C38" i="23"/>
  <c r="K28" i="22"/>
  <c r="K18" i="23"/>
  <c r="C30" i="23"/>
  <c r="E35" i="22"/>
  <c r="K29" i="23"/>
  <c r="I49" i="23"/>
  <c r="K45" i="23"/>
  <c r="N15" i="23" s="1"/>
  <c r="C41" i="22"/>
  <c r="I32" i="22"/>
  <c r="G27" i="23"/>
  <c r="E27" i="23"/>
  <c r="K38" i="22"/>
  <c r="C17" i="22"/>
  <c r="E30" i="23"/>
  <c r="K37" i="23"/>
  <c r="K31" i="22"/>
  <c r="I43" i="22"/>
  <c r="C53" i="23"/>
  <c r="N28" i="23" s="1"/>
  <c r="G16" i="23"/>
  <c r="E19" i="22"/>
  <c r="E16" i="23"/>
  <c r="K43" i="23"/>
  <c r="C15" i="22"/>
  <c r="C22" i="23"/>
  <c r="C31" i="22"/>
  <c r="E14" i="23"/>
  <c r="G34" i="22"/>
  <c r="K43" i="22"/>
  <c r="E36" i="23"/>
  <c r="C21" i="23"/>
  <c r="E26" i="22"/>
  <c r="C25" i="22"/>
  <c r="E45" i="22"/>
  <c r="I41" i="22"/>
  <c r="K17" i="23"/>
  <c r="K39" i="23"/>
  <c r="N14" i="23" s="1"/>
  <c r="G21" i="23"/>
  <c r="E21" i="22"/>
  <c r="I45" i="22"/>
  <c r="K15" i="22"/>
  <c r="I31" i="22"/>
  <c r="K29" i="22"/>
  <c r="C43" i="22"/>
  <c r="C26" i="22"/>
  <c r="C18" i="23"/>
  <c r="E42" i="23"/>
  <c r="K22" i="22"/>
  <c r="C38" i="22"/>
  <c r="G31" i="23"/>
  <c r="E37" i="23"/>
  <c r="E24" i="23"/>
  <c r="G25" i="23"/>
  <c r="I27" i="22"/>
  <c r="K53" i="23"/>
  <c r="K42" i="23"/>
  <c r="C16" i="22"/>
  <c r="C16" i="23"/>
  <c r="K27" i="22"/>
  <c r="E15" i="22"/>
  <c r="G33" i="22"/>
  <c r="K32" i="22"/>
  <c r="I36" i="22"/>
  <c r="E20" i="22"/>
  <c r="C42" i="22"/>
  <c r="K24" i="23"/>
  <c r="G30" i="23"/>
  <c r="E27" i="22"/>
  <c r="E15" i="23"/>
  <c r="K13" i="23"/>
  <c r="E33" i="22"/>
  <c r="K33" i="22"/>
  <c r="I16" i="22"/>
  <c r="G32" i="22"/>
  <c r="C29" i="22"/>
  <c r="E30" i="22"/>
  <c r="G14" i="23"/>
  <c r="K16" i="22"/>
  <c r="C45" i="23"/>
  <c r="E35" i="23"/>
  <c r="E28" i="22"/>
  <c r="G35" i="23"/>
  <c r="K36" i="23"/>
  <c r="K34" i="22"/>
  <c r="I21" i="22"/>
  <c r="E44" i="22"/>
  <c r="K34" i="23"/>
  <c r="K42" i="22"/>
  <c r="G26" i="23"/>
  <c r="C33" i="23"/>
  <c r="E22" i="23"/>
  <c r="K30" i="22"/>
  <c r="G45" i="23"/>
  <c r="G16" i="22"/>
  <c r="E37" i="22"/>
  <c r="G41" i="23"/>
  <c r="E18" i="22"/>
  <c r="C18" i="22"/>
  <c r="C29" i="23"/>
  <c r="C37" i="22"/>
  <c r="E14" i="22"/>
  <c r="C34" i="23"/>
  <c r="E41" i="23"/>
  <c r="G35" i="22"/>
  <c r="C22" i="22"/>
  <c r="C32" i="23"/>
  <c r="E29" i="22"/>
  <c r="G20" i="23"/>
  <c r="K19" i="23"/>
  <c r="K39" i="22"/>
  <c r="G50" i="22"/>
  <c r="N25" i="23" s="1"/>
  <c r="N17" i="23" l="1"/>
  <c r="N19" i="23" s="1"/>
  <c r="N33" i="23"/>
  <c r="G29" i="8" l="1"/>
  <c r="G29" i="9"/>
  <c r="C29" i="38670"/>
  <c r="E29" i="52"/>
  <c r="C29" i="15" l="1"/>
  <c r="E29" i="15" s="1"/>
  <c r="E29" i="41" s="1"/>
  <c r="E30" i="52"/>
  <c r="E29" i="33"/>
  <c r="B29" i="38670"/>
  <c r="D29" i="70"/>
  <c r="H29" i="20"/>
  <c r="G29" i="47"/>
  <c r="G30" i="47"/>
  <c r="E29" i="7"/>
  <c r="F29" i="52"/>
  <c r="F29" i="78" l="1"/>
  <c r="B29" i="43" s="1"/>
  <c r="E29" i="16"/>
  <c r="F30" i="52"/>
  <c r="I29" i="7"/>
  <c r="G29" i="7"/>
  <c r="H29" i="7"/>
  <c r="F29" i="7"/>
  <c r="J29" i="20"/>
  <c r="D29" i="7"/>
  <c r="F29" i="43" l="1"/>
  <c r="H29" i="43" s="1"/>
  <c r="F30" i="78"/>
  <c r="B30" i="43" s="1"/>
  <c r="F30" i="43" s="1"/>
  <c r="H30" i="43" s="1"/>
  <c r="K29" i="3188"/>
  <c r="C29" i="5" s="1"/>
  <c r="F30" i="45"/>
  <c r="D29" i="9"/>
  <c r="B29" i="39"/>
  <c r="G29" i="38656"/>
  <c r="E29" i="18"/>
  <c r="D29" i="10"/>
  <c r="J29" i="11"/>
  <c r="G29" i="38655"/>
  <c r="J29" i="26"/>
  <c r="H29" i="18"/>
  <c r="D29" i="27"/>
  <c r="D29" i="76" s="1"/>
  <c r="B29" i="76"/>
  <c r="B29" i="41"/>
  <c r="D29" i="19"/>
  <c r="D29" i="26"/>
  <c r="D29" i="8"/>
  <c r="B29" i="18"/>
  <c r="G29" i="26"/>
  <c r="J29" i="38655"/>
  <c r="D29" i="11"/>
  <c r="D29" i="38656"/>
  <c r="F29" i="41"/>
  <c r="G29" i="41" s="1"/>
  <c r="J29" i="9"/>
  <c r="G29" i="10"/>
  <c r="B29" i="40"/>
  <c r="D29" i="40" s="1"/>
  <c r="G29" i="11"/>
  <c r="B29" i="19"/>
  <c r="E29" i="20"/>
  <c r="F29" i="45"/>
  <c r="B29" i="20"/>
  <c r="I29" i="45" l="1"/>
  <c r="G29" i="44" s="1"/>
  <c r="E29" i="42" s="1"/>
  <c r="I30" i="45"/>
  <c r="C30" i="44" s="1"/>
  <c r="C30" i="42" s="1"/>
  <c r="G29" i="20"/>
  <c r="D29" i="20"/>
  <c r="D29" i="38655"/>
  <c r="G29" i="19"/>
  <c r="C29" i="41"/>
  <c r="D29" i="41"/>
  <c r="E29" i="5"/>
  <c r="D31" i="38658"/>
  <c r="J29" i="38667"/>
  <c r="D29" i="18"/>
  <c r="F29" i="19"/>
  <c r="K29" i="38667"/>
  <c r="G29" i="18"/>
  <c r="D29" i="39"/>
  <c r="H29" i="39"/>
  <c r="F29" i="39"/>
  <c r="E29" i="45" l="1"/>
  <c r="H29" i="42" s="1"/>
  <c r="I29" i="44"/>
  <c r="F29" i="42" s="1"/>
  <c r="C29" i="44"/>
  <c r="C29" i="42" s="1"/>
  <c r="G29" i="45"/>
  <c r="E29" i="44"/>
  <c r="D29" i="42" s="1"/>
  <c r="I29" i="43"/>
  <c r="B29" i="42" s="1"/>
  <c r="C29" i="45"/>
  <c r="G29" i="42" s="1"/>
  <c r="I30" i="44"/>
  <c r="F30" i="42" s="1"/>
  <c r="I30" i="43"/>
  <c r="B30" i="42" s="1"/>
  <c r="G30" i="44"/>
  <c r="E30" i="42" s="1"/>
  <c r="C30" i="45"/>
  <c r="G30" i="42" s="1"/>
  <c r="G30" i="45"/>
  <c r="E30" i="44"/>
  <c r="D30" i="42" s="1"/>
  <c r="E30" i="45"/>
  <c r="H30" i="42" s="1"/>
  <c r="I29" i="19"/>
  <c r="L29" i="38667"/>
  <c r="M29" i="38667" s="1"/>
  <c r="I31" i="38658"/>
  <c r="F31" i="38659"/>
  <c r="J29" i="42" l="1"/>
  <c r="J30" i="42"/>
  <c r="J30" i="9" l="1"/>
  <c r="G30" i="9"/>
  <c r="C30" i="38670"/>
  <c r="E30" i="7" l="1"/>
  <c r="G30" i="7" s="1"/>
  <c r="D31" i="70"/>
  <c r="E30" i="33"/>
  <c r="C30" i="15"/>
  <c r="E30" i="15" s="1"/>
  <c r="H30" i="20"/>
  <c r="D30" i="70"/>
  <c r="B30" i="38670"/>
  <c r="F30" i="7" l="1"/>
  <c r="I30" i="7"/>
  <c r="H30" i="7"/>
  <c r="D30" i="7"/>
  <c r="J30" i="20"/>
  <c r="E30" i="41"/>
  <c r="E30" i="16"/>
  <c r="J51" i="9" l="1"/>
  <c r="G51" i="9"/>
  <c r="G50" i="8"/>
  <c r="J50" i="9"/>
  <c r="G50" i="9"/>
  <c r="G46" i="9"/>
  <c r="J45" i="9"/>
  <c r="G45" i="9"/>
  <c r="G44" i="8"/>
  <c r="J44" i="9"/>
  <c r="J43" i="9"/>
  <c r="G43" i="9"/>
  <c r="J42" i="9"/>
  <c r="G42" i="9"/>
  <c r="G41" i="8"/>
  <c r="J41" i="9"/>
  <c r="G41" i="9"/>
  <c r="G40" i="9"/>
  <c r="J39" i="9"/>
  <c r="G39" i="9"/>
  <c r="G38" i="9"/>
  <c r="G37" i="8"/>
  <c r="G37" i="9"/>
  <c r="J36" i="9"/>
  <c r="G36" i="9"/>
  <c r="G35" i="9"/>
  <c r="G34" i="9"/>
  <c r="J33" i="9"/>
  <c r="G33" i="9"/>
  <c r="G32" i="9"/>
  <c r="J31" i="9"/>
  <c r="G31" i="9"/>
  <c r="G28" i="8"/>
  <c r="J28" i="9"/>
  <c r="G28" i="9"/>
  <c r="J27" i="9"/>
  <c r="G27" i="9"/>
  <c r="G26" i="9"/>
  <c r="G25" i="9"/>
  <c r="G24" i="9"/>
  <c r="J23" i="9"/>
  <c r="G23" i="9"/>
  <c r="G22" i="8"/>
  <c r="J22" i="9"/>
  <c r="G22" i="9"/>
  <c r="G21" i="8"/>
  <c r="J21" i="9"/>
  <c r="G21" i="9"/>
  <c r="J20" i="9"/>
  <c r="G20" i="9"/>
  <c r="J19" i="9"/>
  <c r="G19" i="9"/>
  <c r="J18" i="9"/>
  <c r="G18" i="9"/>
  <c r="J17" i="9"/>
  <c r="G17" i="9"/>
  <c r="J16" i="9"/>
  <c r="G16" i="9"/>
  <c r="J15" i="9"/>
  <c r="G15" i="9"/>
  <c r="G14" i="8"/>
  <c r="J14" i="9"/>
  <c r="G13" i="9"/>
  <c r="J12" i="9"/>
  <c r="G12" i="9"/>
  <c r="F48" i="14"/>
  <c r="F51" i="39"/>
  <c r="D51" i="40"/>
  <c r="D51" i="39"/>
  <c r="C51" i="38670"/>
  <c r="C50" i="38670"/>
  <c r="C46" i="38670"/>
  <c r="C45" i="38670"/>
  <c r="C44" i="38670"/>
  <c r="C43" i="38670"/>
  <c r="C42" i="38670"/>
  <c r="C41" i="38670"/>
  <c r="C40" i="38670"/>
  <c r="C39" i="38670"/>
  <c r="C38" i="38670"/>
  <c r="C37" i="38670"/>
  <c r="C36" i="38670"/>
  <c r="C35" i="38670"/>
  <c r="C34" i="38670"/>
  <c r="C33" i="38670"/>
  <c r="C32" i="38670"/>
  <c r="C31" i="38670"/>
  <c r="B31" i="38670" s="1"/>
  <c r="C28" i="38670"/>
  <c r="C27" i="38670"/>
  <c r="C26" i="38670"/>
  <c r="C25" i="38670"/>
  <c r="C24" i="38670"/>
  <c r="C23" i="38670"/>
  <c r="C22" i="38670"/>
  <c r="C21" i="38670"/>
  <c r="C20" i="38670"/>
  <c r="C19" i="38670"/>
  <c r="C18" i="38670"/>
  <c r="C17" i="38670"/>
  <c r="C16" i="38670"/>
  <c r="C15" i="38670"/>
  <c r="C14" i="38670"/>
  <c r="C13" i="38670"/>
  <c r="C12" i="38670"/>
  <c r="H48" i="14" l="1"/>
  <c r="E21" i="33"/>
  <c r="E43" i="33"/>
  <c r="E25" i="33"/>
  <c r="E50" i="33"/>
  <c r="C12" i="15"/>
  <c r="E12" i="15" s="1"/>
  <c r="E12" i="16" s="1"/>
  <c r="C13" i="15"/>
  <c r="E13" i="15" s="1"/>
  <c r="E13" i="41" s="1"/>
  <c r="C14" i="15"/>
  <c r="E14" i="15" s="1"/>
  <c r="E14" i="16" s="1"/>
  <c r="C15" i="15"/>
  <c r="E15" i="15" s="1"/>
  <c r="E15" i="41" s="1"/>
  <c r="C16" i="15"/>
  <c r="E16" i="15" s="1"/>
  <c r="C17" i="15"/>
  <c r="E17" i="15" s="1"/>
  <c r="E17" i="16" s="1"/>
  <c r="C18" i="15"/>
  <c r="E18" i="15" s="1"/>
  <c r="E18" i="16" s="1"/>
  <c r="C19" i="15"/>
  <c r="E19" i="15" s="1"/>
  <c r="E19" i="41" s="1"/>
  <c r="C20" i="15"/>
  <c r="E20" i="15" s="1"/>
  <c r="E20" i="16" s="1"/>
  <c r="C23" i="15"/>
  <c r="E23" i="15" s="1"/>
  <c r="E23" i="16" s="1"/>
  <c r="C24" i="15"/>
  <c r="E24" i="15" s="1"/>
  <c r="E24" i="41" s="1"/>
  <c r="C25" i="15"/>
  <c r="E25" i="15" s="1"/>
  <c r="E25" i="41" s="1"/>
  <c r="C26" i="15"/>
  <c r="E26" i="15" s="1"/>
  <c r="E26" i="16" s="1"/>
  <c r="C27" i="15"/>
  <c r="E27" i="15" s="1"/>
  <c r="E27" i="41" s="1"/>
  <c r="C31" i="15"/>
  <c r="E31" i="15" s="1"/>
  <c r="E31" i="16" s="1"/>
  <c r="C32" i="15"/>
  <c r="E32" i="15" s="1"/>
  <c r="E32" i="16" s="1"/>
  <c r="C33" i="15"/>
  <c r="E33" i="15" s="1"/>
  <c r="C34" i="15"/>
  <c r="E34" i="15" s="1"/>
  <c r="E34" i="16" s="1"/>
  <c r="C35" i="15"/>
  <c r="E35" i="15" s="1"/>
  <c r="E35" i="16" s="1"/>
  <c r="C21" i="15"/>
  <c r="E21" i="15" s="1"/>
  <c r="E21" i="16" s="1"/>
  <c r="C22" i="15"/>
  <c r="E22" i="15" s="1"/>
  <c r="C28" i="15"/>
  <c r="E28" i="15" s="1"/>
  <c r="E28" i="16" s="1"/>
  <c r="G50" i="47"/>
  <c r="G45" i="47"/>
  <c r="G43" i="47"/>
  <c r="G41" i="47"/>
  <c r="G39" i="47"/>
  <c r="G35" i="47"/>
  <c r="G33" i="47"/>
  <c r="G31" i="47"/>
  <c r="G27" i="47"/>
  <c r="G25" i="47"/>
  <c r="G23" i="47"/>
  <c r="G21" i="47"/>
  <c r="G19" i="47"/>
  <c r="G17" i="47"/>
  <c r="G15" i="47"/>
  <c r="D18" i="70"/>
  <c r="D14" i="70"/>
  <c r="G11" i="47"/>
  <c r="B27" i="38670"/>
  <c r="D27" i="70"/>
  <c r="D25" i="70"/>
  <c r="B23" i="38670"/>
  <c r="D23" i="70"/>
  <c r="D21" i="70"/>
  <c r="B19" i="38670"/>
  <c r="D19" i="70"/>
  <c r="D17" i="70"/>
  <c r="B15" i="38670"/>
  <c r="D15" i="70"/>
  <c r="D13" i="70"/>
  <c r="H13" i="20"/>
  <c r="H17" i="20"/>
  <c r="H21" i="20"/>
  <c r="H25" i="20"/>
  <c r="H31" i="20"/>
  <c r="H35" i="20"/>
  <c r="H39" i="20"/>
  <c r="H43" i="20"/>
  <c r="H50" i="20"/>
  <c r="D48" i="14"/>
  <c r="J11" i="9"/>
  <c r="G37" i="47"/>
  <c r="G51" i="47"/>
  <c r="G46" i="47"/>
  <c r="G44" i="47"/>
  <c r="G42" i="47"/>
  <c r="G40" i="47"/>
  <c r="G38" i="47"/>
  <c r="G36" i="47"/>
  <c r="G34" i="47"/>
  <c r="G32" i="47"/>
  <c r="G28" i="47"/>
  <c r="G26" i="47"/>
  <c r="G24" i="47"/>
  <c r="G22" i="47"/>
  <c r="G20" i="47"/>
  <c r="G18" i="47"/>
  <c r="G16" i="47"/>
  <c r="G14" i="47"/>
  <c r="G12" i="47"/>
  <c r="E22" i="33"/>
  <c r="E26" i="33"/>
  <c r="E36" i="33"/>
  <c r="E44" i="33"/>
  <c r="E36" i="7"/>
  <c r="E37" i="7"/>
  <c r="E38" i="7"/>
  <c r="E39" i="7"/>
  <c r="E40" i="7"/>
  <c r="E41" i="7"/>
  <c r="E42" i="7"/>
  <c r="E43" i="7"/>
  <c r="E44" i="7"/>
  <c r="E45" i="7"/>
  <c r="E46" i="7"/>
  <c r="E50" i="7"/>
  <c r="E51" i="7"/>
  <c r="B28" i="38670"/>
  <c r="D28" i="70"/>
  <c r="D16" i="70"/>
  <c r="D51" i="70"/>
  <c r="D46" i="70"/>
  <c r="D44" i="70"/>
  <c r="D42" i="70"/>
  <c r="B40" i="38670"/>
  <c r="D40" i="70"/>
  <c r="D38" i="70"/>
  <c r="D36" i="70"/>
  <c r="D34" i="70"/>
  <c r="D32" i="70"/>
  <c r="H12" i="20"/>
  <c r="H16" i="20"/>
  <c r="H20" i="20"/>
  <c r="H24" i="20"/>
  <c r="H28" i="20"/>
  <c r="H34" i="20"/>
  <c r="H38" i="20"/>
  <c r="H42" i="20"/>
  <c r="H46" i="20"/>
  <c r="C48" i="40"/>
  <c r="G11" i="9"/>
  <c r="C48" i="14"/>
  <c r="G13" i="47"/>
  <c r="E51" i="52"/>
  <c r="E46" i="52"/>
  <c r="F46" i="52" s="1"/>
  <c r="E44" i="52"/>
  <c r="E42" i="52"/>
  <c r="F42" i="52" s="1"/>
  <c r="E40" i="52"/>
  <c r="E38" i="52"/>
  <c r="F38" i="52" s="1"/>
  <c r="E36" i="52"/>
  <c r="E34" i="52"/>
  <c r="F34" i="52" s="1"/>
  <c r="E32" i="52"/>
  <c r="E28" i="52"/>
  <c r="F28" i="52" s="1"/>
  <c r="E26" i="52"/>
  <c r="E24" i="52"/>
  <c r="F24" i="52" s="1"/>
  <c r="E22" i="52"/>
  <c r="E20" i="52"/>
  <c r="F20" i="52" s="1"/>
  <c r="E18" i="52"/>
  <c r="E16" i="52"/>
  <c r="F16" i="52" s="1"/>
  <c r="E14" i="52"/>
  <c r="E12" i="52"/>
  <c r="E13" i="33"/>
  <c r="E14" i="33"/>
  <c r="E17" i="33"/>
  <c r="E18" i="33"/>
  <c r="E31" i="33"/>
  <c r="E32" i="33"/>
  <c r="E35" i="33"/>
  <c r="E39" i="33"/>
  <c r="E40" i="33"/>
  <c r="E51" i="33"/>
  <c r="B21" i="38670"/>
  <c r="B25" i="38670"/>
  <c r="B38" i="38670"/>
  <c r="B42" i="38670"/>
  <c r="B51" i="38670"/>
  <c r="G48" i="14"/>
  <c r="D24" i="70"/>
  <c r="H11" i="20"/>
  <c r="B48" i="38"/>
  <c r="H15" i="20"/>
  <c r="H19" i="20"/>
  <c r="H23" i="20"/>
  <c r="H27" i="20"/>
  <c r="H33" i="20"/>
  <c r="H37" i="20"/>
  <c r="H41" i="20"/>
  <c r="H45" i="20"/>
  <c r="F48" i="38"/>
  <c r="D48" i="38"/>
  <c r="B48" i="14"/>
  <c r="C11" i="15"/>
  <c r="E12" i="41"/>
  <c r="E16" i="41"/>
  <c r="E16" i="16"/>
  <c r="E20" i="41"/>
  <c r="E22" i="16"/>
  <c r="E22" i="41"/>
  <c r="E26" i="41"/>
  <c r="E33" i="41"/>
  <c r="E33" i="16"/>
  <c r="D26" i="70"/>
  <c r="D22" i="70"/>
  <c r="D20" i="70"/>
  <c r="D12" i="70"/>
  <c r="B50" i="38670"/>
  <c r="D50" i="70"/>
  <c r="B45" i="38670"/>
  <c r="D45" i="70"/>
  <c r="D43" i="70"/>
  <c r="B41" i="38670"/>
  <c r="D41" i="70"/>
  <c r="D39" i="70"/>
  <c r="B37" i="38670"/>
  <c r="D37" i="70"/>
  <c r="B35" i="38670"/>
  <c r="D35" i="70"/>
  <c r="B33" i="38670"/>
  <c r="D33" i="70"/>
  <c r="H14" i="20"/>
  <c r="H18" i="20"/>
  <c r="H22" i="20"/>
  <c r="H26" i="20"/>
  <c r="H32" i="20"/>
  <c r="H36" i="20"/>
  <c r="H40" i="20"/>
  <c r="H44" i="20"/>
  <c r="H51" i="20"/>
  <c r="C11" i="38670"/>
  <c r="E11" i="7"/>
  <c r="E48" i="14"/>
  <c r="B48" i="15"/>
  <c r="G11" i="8"/>
  <c r="E50" i="52"/>
  <c r="E45" i="52"/>
  <c r="E43" i="52"/>
  <c r="E41" i="52"/>
  <c r="E39" i="52"/>
  <c r="E37" i="52"/>
  <c r="E35" i="52"/>
  <c r="E33" i="52"/>
  <c r="E31" i="52"/>
  <c r="E27" i="52"/>
  <c r="E25" i="52"/>
  <c r="E23" i="52"/>
  <c r="E21" i="52"/>
  <c r="E19" i="52"/>
  <c r="E17" i="52"/>
  <c r="E15" i="52"/>
  <c r="E13" i="52"/>
  <c r="E11" i="52"/>
  <c r="E12" i="33"/>
  <c r="E15" i="33"/>
  <c r="E16" i="33"/>
  <c r="E19" i="33"/>
  <c r="E20" i="33"/>
  <c r="E23" i="33"/>
  <c r="E24" i="33"/>
  <c r="E27" i="33"/>
  <c r="E28" i="33"/>
  <c r="E33" i="33"/>
  <c r="E34" i="33"/>
  <c r="E37" i="33"/>
  <c r="E38" i="33"/>
  <c r="E41" i="33"/>
  <c r="E42" i="33"/>
  <c r="E45" i="33"/>
  <c r="E46" i="33"/>
  <c r="B12" i="38670"/>
  <c r="B13" i="38670"/>
  <c r="B14" i="38670"/>
  <c r="B16" i="38670"/>
  <c r="B17" i="38670"/>
  <c r="B18" i="38670"/>
  <c r="B20" i="38670"/>
  <c r="B22" i="38670"/>
  <c r="B24" i="38670"/>
  <c r="B26" i="38670"/>
  <c r="B32" i="38670"/>
  <c r="B34" i="38670"/>
  <c r="B36" i="38670"/>
  <c r="B39" i="38670"/>
  <c r="B43" i="38670"/>
  <c r="B44" i="38670"/>
  <c r="B46" i="38670"/>
  <c r="E12" i="7"/>
  <c r="E13" i="7"/>
  <c r="E14" i="7"/>
  <c r="E15" i="7"/>
  <c r="E16" i="7"/>
  <c r="E17" i="7"/>
  <c r="E18" i="7"/>
  <c r="E19" i="7"/>
  <c r="E20" i="7"/>
  <c r="E21" i="7"/>
  <c r="E22" i="7"/>
  <c r="E23" i="7"/>
  <c r="E24" i="7"/>
  <c r="E25" i="7"/>
  <c r="E26" i="7"/>
  <c r="E27" i="7"/>
  <c r="E28" i="7"/>
  <c r="E31" i="7"/>
  <c r="E32" i="7"/>
  <c r="E33" i="7"/>
  <c r="E34" i="7"/>
  <c r="E35" i="7"/>
  <c r="C36" i="15"/>
  <c r="E36" i="15" s="1"/>
  <c r="C37" i="15"/>
  <c r="E37" i="15" s="1"/>
  <c r="C38" i="15"/>
  <c r="E38" i="15" s="1"/>
  <c r="C39" i="15"/>
  <c r="E39" i="15" s="1"/>
  <c r="C40" i="15"/>
  <c r="E40" i="15" s="1"/>
  <c r="C41" i="15"/>
  <c r="E41" i="15" s="1"/>
  <c r="C42" i="15"/>
  <c r="E42" i="15" s="1"/>
  <c r="C43" i="15"/>
  <c r="E43" i="15" s="1"/>
  <c r="C44" i="15"/>
  <c r="E44" i="15" s="1"/>
  <c r="C45" i="15"/>
  <c r="E45" i="15" s="1"/>
  <c r="C46" i="15"/>
  <c r="E46" i="15" s="1"/>
  <c r="C50" i="15"/>
  <c r="E50" i="15" s="1"/>
  <c r="C51" i="15"/>
  <c r="E51" i="15" s="1"/>
  <c r="F12" i="52"/>
  <c r="E23" i="41" l="1"/>
  <c r="E27" i="16"/>
  <c r="E34" i="41"/>
  <c r="E28" i="41"/>
  <c r="E17" i="41"/>
  <c r="E13" i="16"/>
  <c r="E35" i="41"/>
  <c r="F12" i="78"/>
  <c r="B12" i="43" s="1"/>
  <c r="F12" i="43" s="1"/>
  <c r="H12" i="43" s="1"/>
  <c r="E14" i="41"/>
  <c r="E31" i="41"/>
  <c r="E24" i="16"/>
  <c r="E18" i="41"/>
  <c r="F20" i="78"/>
  <c r="B20" i="43" s="1"/>
  <c r="F20" i="43" s="1"/>
  <c r="H20" i="43" s="1"/>
  <c r="F28" i="78"/>
  <c r="B28" i="43" s="1"/>
  <c r="F28" i="43" s="1"/>
  <c r="H28" i="43" s="1"/>
  <c r="F38" i="78"/>
  <c r="B38" i="43" s="1"/>
  <c r="F38" i="43" s="1"/>
  <c r="H38" i="43" s="1"/>
  <c r="F46" i="78"/>
  <c r="B46" i="43" s="1"/>
  <c r="E25" i="16"/>
  <c r="F26" i="52"/>
  <c r="F26" i="78" s="1"/>
  <c r="B26" i="43" s="1"/>
  <c r="F26" i="43" s="1"/>
  <c r="H26" i="43" s="1"/>
  <c r="F36" i="52"/>
  <c r="F36" i="78" s="1"/>
  <c r="B36" i="43" s="1"/>
  <c r="F36" i="43" s="1"/>
  <c r="H36" i="43" s="1"/>
  <c r="F44" i="52"/>
  <c r="F44" i="78" s="1"/>
  <c r="B44" i="43" s="1"/>
  <c r="F44" i="43" s="1"/>
  <c r="H44" i="43" s="1"/>
  <c r="F24" i="78"/>
  <c r="B24" i="43" s="1"/>
  <c r="F24" i="43" s="1"/>
  <c r="H24" i="43" s="1"/>
  <c r="F42" i="78"/>
  <c r="B42" i="43" s="1"/>
  <c r="F42" i="43" s="1"/>
  <c r="H42" i="43" s="1"/>
  <c r="F18" i="52"/>
  <c r="F18" i="78" s="1"/>
  <c r="B18" i="43" s="1"/>
  <c r="F18" i="43" s="1"/>
  <c r="H18" i="43" s="1"/>
  <c r="E21" i="41"/>
  <c r="E19" i="16"/>
  <c r="E15" i="16"/>
  <c r="F34" i="78"/>
  <c r="B34" i="43" s="1"/>
  <c r="F34" i="43" s="1"/>
  <c r="H34" i="43" s="1"/>
  <c r="E32" i="41"/>
  <c r="F16" i="78"/>
  <c r="B16" i="43" s="1"/>
  <c r="F16" i="43" s="1"/>
  <c r="H16" i="43" s="1"/>
  <c r="C48" i="46"/>
  <c r="A54" i="46" s="1"/>
  <c r="F14" i="52"/>
  <c r="K30" i="3188"/>
  <c r="C30" i="5" s="1"/>
  <c r="B15" i="41"/>
  <c r="F19" i="52"/>
  <c r="F27" i="52"/>
  <c r="F37" i="52"/>
  <c r="F45" i="52"/>
  <c r="F13" i="52"/>
  <c r="F13" i="78" s="1"/>
  <c r="B13" i="43" s="1"/>
  <c r="F13" i="43" s="1"/>
  <c r="H13" i="43" s="1"/>
  <c r="F51" i="52"/>
  <c r="F22" i="52"/>
  <c r="F22" i="78" s="1"/>
  <c r="B22" i="43" s="1"/>
  <c r="F22" i="43" s="1"/>
  <c r="H22" i="43" s="1"/>
  <c r="F39" i="52"/>
  <c r="F31" i="52"/>
  <c r="G27" i="38656"/>
  <c r="G36" i="26"/>
  <c r="J50" i="11"/>
  <c r="F32" i="52"/>
  <c r="F17" i="52"/>
  <c r="F25" i="52"/>
  <c r="F35" i="52"/>
  <c r="F43" i="52"/>
  <c r="F21" i="52"/>
  <c r="F11" i="52"/>
  <c r="F11" i="78" s="1"/>
  <c r="F40" i="52"/>
  <c r="D25" i="8"/>
  <c r="B28" i="41"/>
  <c r="B33" i="41"/>
  <c r="G50" i="26"/>
  <c r="J36" i="11"/>
  <c r="F50" i="52"/>
  <c r="F15" i="52"/>
  <c r="F23" i="52"/>
  <c r="F33" i="52"/>
  <c r="F41" i="52"/>
  <c r="D32" i="38656"/>
  <c r="J30" i="11"/>
  <c r="G51" i="26"/>
  <c r="G35" i="11"/>
  <c r="J37" i="38655"/>
  <c r="D13" i="8"/>
  <c r="J30" i="26"/>
  <c r="D30" i="11"/>
  <c r="E30" i="20"/>
  <c r="B30" i="41"/>
  <c r="G30" i="38655"/>
  <c r="B30" i="39"/>
  <c r="F30" i="41"/>
  <c r="G30" i="41" s="1"/>
  <c r="F17" i="41"/>
  <c r="G17" i="41" s="1"/>
  <c r="F39" i="45"/>
  <c r="F50" i="45"/>
  <c r="E51" i="16"/>
  <c r="E51" i="41"/>
  <c r="E44" i="41"/>
  <c r="E44" i="16"/>
  <c r="E40" i="16"/>
  <c r="E40" i="41"/>
  <c r="E36" i="16"/>
  <c r="E36" i="41"/>
  <c r="H27" i="7"/>
  <c r="I27" i="7"/>
  <c r="F27" i="7"/>
  <c r="G27" i="7"/>
  <c r="F25" i="7"/>
  <c r="H25" i="7"/>
  <c r="I25" i="7"/>
  <c r="D25" i="7"/>
  <c r="G25" i="7"/>
  <c r="F23" i="7"/>
  <c r="I23" i="7"/>
  <c r="H23" i="7"/>
  <c r="G23" i="7"/>
  <c r="D23" i="7"/>
  <c r="H20" i="7"/>
  <c r="F20" i="7"/>
  <c r="I20" i="7"/>
  <c r="D20" i="7"/>
  <c r="G20" i="7"/>
  <c r="D18" i="7"/>
  <c r="H18" i="7"/>
  <c r="F18" i="7"/>
  <c r="G18" i="7"/>
  <c r="I18" i="7"/>
  <c r="G16" i="7"/>
  <c r="H16" i="7"/>
  <c r="F16" i="7"/>
  <c r="I16" i="7"/>
  <c r="D11" i="7"/>
  <c r="G11" i="7"/>
  <c r="E48" i="7"/>
  <c r="F11" i="7"/>
  <c r="I11" i="7"/>
  <c r="H11" i="7"/>
  <c r="J44" i="20"/>
  <c r="J36" i="20"/>
  <c r="J26" i="20"/>
  <c r="J18" i="20"/>
  <c r="J41" i="20"/>
  <c r="J33" i="20"/>
  <c r="J23" i="20"/>
  <c r="J15" i="20"/>
  <c r="D44" i="7"/>
  <c r="G44" i="7"/>
  <c r="F44" i="7"/>
  <c r="H44" i="7"/>
  <c r="I44" i="7"/>
  <c r="G42" i="7"/>
  <c r="H42" i="7"/>
  <c r="F42" i="7"/>
  <c r="I42" i="7"/>
  <c r="G37" i="7"/>
  <c r="H37" i="7"/>
  <c r="F37" i="7"/>
  <c r="I37" i="7"/>
  <c r="J50" i="20"/>
  <c r="J39" i="20"/>
  <c r="J31" i="20"/>
  <c r="J21" i="20"/>
  <c r="J13" i="20"/>
  <c r="G48" i="47"/>
  <c r="D30" i="38656"/>
  <c r="J30" i="38655"/>
  <c r="F46" i="41"/>
  <c r="G46" i="41" s="1"/>
  <c r="D39" i="38656"/>
  <c r="D30" i="8"/>
  <c r="J22" i="11"/>
  <c r="G19" i="11"/>
  <c r="E45" i="41"/>
  <c r="E45" i="16"/>
  <c r="E41" i="41"/>
  <c r="E41" i="16"/>
  <c r="E37" i="41"/>
  <c r="E37" i="16"/>
  <c r="G34" i="7"/>
  <c r="I34" i="7"/>
  <c r="H34" i="7"/>
  <c r="F34" i="7"/>
  <c r="I32" i="7"/>
  <c r="H32" i="7"/>
  <c r="G32" i="7"/>
  <c r="F32" i="7"/>
  <c r="G14" i="7"/>
  <c r="D14" i="7"/>
  <c r="H14" i="7"/>
  <c r="F14" i="7"/>
  <c r="I14" i="7"/>
  <c r="F12" i="7"/>
  <c r="I12" i="7"/>
  <c r="H12" i="7"/>
  <c r="G12" i="7"/>
  <c r="D12" i="7"/>
  <c r="B11" i="38670"/>
  <c r="B48" i="38670" s="1"/>
  <c r="C48" i="38670"/>
  <c r="H48" i="20"/>
  <c r="J42" i="20"/>
  <c r="J34" i="20"/>
  <c r="J24" i="20"/>
  <c r="J16" i="20"/>
  <c r="F50" i="7"/>
  <c r="G50" i="7"/>
  <c r="D50" i="7"/>
  <c r="I50" i="7"/>
  <c r="H50" i="7"/>
  <c r="H45" i="7"/>
  <c r="I45" i="7"/>
  <c r="F45" i="7"/>
  <c r="G45" i="7"/>
  <c r="G40" i="7"/>
  <c r="D40" i="7"/>
  <c r="H40" i="7"/>
  <c r="I40" i="7"/>
  <c r="F40" i="7"/>
  <c r="G38" i="7"/>
  <c r="F38" i="7"/>
  <c r="I38" i="7"/>
  <c r="H38" i="7"/>
  <c r="D26" i="38656"/>
  <c r="B30" i="20"/>
  <c r="G30" i="26"/>
  <c r="D17" i="27"/>
  <c r="D17" i="76" s="1"/>
  <c r="B17" i="76"/>
  <c r="F27" i="45"/>
  <c r="D30" i="9"/>
  <c r="D18" i="8"/>
  <c r="D20" i="8"/>
  <c r="B37" i="41"/>
  <c r="B16" i="41"/>
  <c r="B30" i="19"/>
  <c r="G30" i="10"/>
  <c r="D30" i="26"/>
  <c r="D30" i="19"/>
  <c r="D30" i="27"/>
  <c r="D30" i="76" s="1"/>
  <c r="B30" i="76"/>
  <c r="F38" i="45"/>
  <c r="E46" i="41"/>
  <c r="E46" i="16"/>
  <c r="E42" i="16"/>
  <c r="E42" i="41"/>
  <c r="E38" i="41"/>
  <c r="E38" i="16"/>
  <c r="G28" i="7"/>
  <c r="F28" i="7"/>
  <c r="D28" i="7"/>
  <c r="H28" i="7"/>
  <c r="I28" i="7"/>
  <c r="H26" i="7"/>
  <c r="I26" i="7"/>
  <c r="G26" i="7"/>
  <c r="F26" i="7"/>
  <c r="I24" i="7"/>
  <c r="G24" i="7"/>
  <c r="F24" i="7"/>
  <c r="H24" i="7"/>
  <c r="H21" i="7"/>
  <c r="G21" i="7"/>
  <c r="F21" i="7"/>
  <c r="I21" i="7"/>
  <c r="G19" i="7"/>
  <c r="D19" i="7"/>
  <c r="H19" i="7"/>
  <c r="I19" i="7"/>
  <c r="F19" i="7"/>
  <c r="I17" i="7"/>
  <c r="F17" i="7"/>
  <c r="D17" i="7"/>
  <c r="G17" i="7"/>
  <c r="H17" i="7"/>
  <c r="F15" i="7"/>
  <c r="G15" i="7"/>
  <c r="D15" i="7"/>
  <c r="I15" i="7"/>
  <c r="H15" i="7"/>
  <c r="J51" i="20"/>
  <c r="J40" i="20"/>
  <c r="J32" i="20"/>
  <c r="J22" i="20"/>
  <c r="J14" i="20"/>
  <c r="J45" i="20"/>
  <c r="J37" i="20"/>
  <c r="J27" i="20"/>
  <c r="J19" i="20"/>
  <c r="F51" i="7"/>
  <c r="G51" i="7"/>
  <c r="I51" i="7"/>
  <c r="D51" i="7"/>
  <c r="H51" i="7"/>
  <c r="F43" i="7"/>
  <c r="I43" i="7"/>
  <c r="G43" i="7"/>
  <c r="H43" i="7"/>
  <c r="D43" i="7"/>
  <c r="G36" i="7"/>
  <c r="I36" i="7"/>
  <c r="D36" i="7"/>
  <c r="F36" i="7"/>
  <c r="H36" i="7"/>
  <c r="J43" i="20"/>
  <c r="J35" i="20"/>
  <c r="J25" i="20"/>
  <c r="J17" i="20"/>
  <c r="D48" i="38670"/>
  <c r="F24" i="41"/>
  <c r="G24" i="41" s="1"/>
  <c r="F45" i="41"/>
  <c r="G45" i="41" s="1"/>
  <c r="G30" i="11"/>
  <c r="G32" i="26"/>
  <c r="F25" i="45"/>
  <c r="G26" i="11"/>
  <c r="B34" i="41"/>
  <c r="B44" i="41"/>
  <c r="B25" i="41"/>
  <c r="B21" i="41"/>
  <c r="E30" i="18"/>
  <c r="D30" i="10"/>
  <c r="B30" i="40"/>
  <c r="D30" i="40" s="1"/>
  <c r="H30" i="18"/>
  <c r="G30" i="38656"/>
  <c r="F41" i="45"/>
  <c r="E50" i="41"/>
  <c r="E50" i="16"/>
  <c r="E43" i="16"/>
  <c r="E43" i="41"/>
  <c r="E39" i="41"/>
  <c r="E39" i="16"/>
  <c r="G35" i="7"/>
  <c r="I35" i="7"/>
  <c r="H35" i="7"/>
  <c r="F35" i="7"/>
  <c r="I33" i="7"/>
  <c r="H33" i="7"/>
  <c r="G33" i="7"/>
  <c r="F33" i="7"/>
  <c r="F31" i="7"/>
  <c r="G31" i="7"/>
  <c r="I31" i="7"/>
  <c r="H31" i="7"/>
  <c r="H22" i="7"/>
  <c r="G22" i="7"/>
  <c r="I22" i="7"/>
  <c r="F22" i="7"/>
  <c r="I13" i="7"/>
  <c r="G13" i="7"/>
  <c r="H13" i="7"/>
  <c r="F13" i="7"/>
  <c r="C48" i="15"/>
  <c r="E11" i="15"/>
  <c r="J11" i="20" s="1"/>
  <c r="J46" i="20"/>
  <c r="J38" i="20"/>
  <c r="J28" i="20"/>
  <c r="J20" i="20"/>
  <c r="J12" i="20"/>
  <c r="G46" i="7"/>
  <c r="I46" i="7"/>
  <c r="F46" i="7"/>
  <c r="H46" i="7"/>
  <c r="H41" i="7"/>
  <c r="F41" i="7"/>
  <c r="I41" i="7"/>
  <c r="G41" i="7"/>
  <c r="H39" i="7"/>
  <c r="G39" i="7"/>
  <c r="I39" i="7"/>
  <c r="F39" i="7"/>
  <c r="D39" i="7"/>
  <c r="D11" i="70"/>
  <c r="E11" i="33"/>
  <c r="E48" i="33" s="1"/>
  <c r="D38" i="11"/>
  <c r="D13" i="7"/>
  <c r="D51" i="11"/>
  <c r="D46" i="11"/>
  <c r="D37" i="11"/>
  <c r="D43" i="11"/>
  <c r="K37" i="3188"/>
  <c r="C37" i="5" s="1"/>
  <c r="D34" i="7"/>
  <c r="K38" i="3188"/>
  <c r="C38" i="5" s="1"/>
  <c r="D26" i="7"/>
  <c r="K50" i="3188"/>
  <c r="C50" i="5" s="1"/>
  <c r="K46" i="3188"/>
  <c r="C46" i="5" s="1"/>
  <c r="K45" i="3188"/>
  <c r="C45" i="5" s="1"/>
  <c r="K42" i="3188"/>
  <c r="C42" i="5" s="1"/>
  <c r="K44" i="3188"/>
  <c r="C44" i="5" s="1"/>
  <c r="F15" i="78" l="1"/>
  <c r="B15" i="43" s="1"/>
  <c r="F15" i="43" s="1"/>
  <c r="H15" i="43" s="1"/>
  <c r="F23" i="78"/>
  <c r="B23" i="43" s="1"/>
  <c r="F23" i="43" s="1"/>
  <c r="H23" i="43" s="1"/>
  <c r="F21" i="78"/>
  <c r="B21" i="43" s="1"/>
  <c r="F21" i="43" s="1"/>
  <c r="H21" i="43" s="1"/>
  <c r="F17" i="78"/>
  <c r="B17" i="43" s="1"/>
  <c r="F17" i="43" s="1"/>
  <c r="H17" i="43" s="1"/>
  <c r="F27" i="78"/>
  <c r="B27" i="43" s="1"/>
  <c r="F27" i="43" s="1"/>
  <c r="H27" i="43" s="1"/>
  <c r="F43" i="78"/>
  <c r="B43" i="43" s="1"/>
  <c r="F43" i="43" s="1"/>
  <c r="H43" i="43" s="1"/>
  <c r="F32" i="78"/>
  <c r="B32" i="43" s="1"/>
  <c r="F32" i="43" s="1"/>
  <c r="H32" i="43" s="1"/>
  <c r="F19" i="78"/>
  <c r="B19" i="43" s="1"/>
  <c r="F19" i="43" s="1"/>
  <c r="H19" i="43" s="1"/>
  <c r="F33" i="78"/>
  <c r="B33" i="43" s="1"/>
  <c r="F33" i="43" s="1"/>
  <c r="H33" i="43" s="1"/>
  <c r="F25" i="78"/>
  <c r="B25" i="43" s="1"/>
  <c r="F25" i="43" s="1"/>
  <c r="H25" i="43" s="1"/>
  <c r="I25" i="45" s="1"/>
  <c r="G25" i="45" s="1"/>
  <c r="F39" i="78"/>
  <c r="B39" i="43" s="1"/>
  <c r="F39" i="43" s="1"/>
  <c r="H39" i="43" s="1"/>
  <c r="I39" i="45" s="1"/>
  <c r="F51" i="78"/>
  <c r="B51" i="43" s="1"/>
  <c r="F51" i="43" s="1"/>
  <c r="H51" i="43" s="1"/>
  <c r="F37" i="78"/>
  <c r="B37" i="43" s="1"/>
  <c r="F37" i="43" s="1"/>
  <c r="H37" i="43" s="1"/>
  <c r="F40" i="78"/>
  <c r="B40" i="43" s="1"/>
  <c r="F40" i="43" s="1"/>
  <c r="H40" i="43" s="1"/>
  <c r="F31" i="78"/>
  <c r="B31" i="43" s="1"/>
  <c r="F31" i="43" s="1"/>
  <c r="H31" i="43" s="1"/>
  <c r="F41" i="78"/>
  <c r="B41" i="43" s="1"/>
  <c r="F41" i="43" s="1"/>
  <c r="H41" i="43" s="1"/>
  <c r="I41" i="45" s="1"/>
  <c r="I41" i="43" s="1"/>
  <c r="B41" i="42" s="1"/>
  <c r="F50" i="78"/>
  <c r="B50" i="43" s="1"/>
  <c r="F50" i="43" s="1"/>
  <c r="H50" i="43" s="1"/>
  <c r="I50" i="45" s="1"/>
  <c r="E50" i="44" s="1"/>
  <c r="D50" i="42" s="1"/>
  <c r="F35" i="78"/>
  <c r="B35" i="43" s="1"/>
  <c r="F35" i="43" s="1"/>
  <c r="H35" i="43" s="1"/>
  <c r="F45" i="78"/>
  <c r="B45" i="43" s="1"/>
  <c r="F45" i="43" s="1"/>
  <c r="H45" i="43" s="1"/>
  <c r="F14" i="78"/>
  <c r="B14" i="43" s="1"/>
  <c r="F14" i="43" s="1"/>
  <c r="H14" i="43" s="1"/>
  <c r="F18" i="45"/>
  <c r="I18" i="45" s="1"/>
  <c r="I18" i="44" s="1"/>
  <c r="F18" i="42" s="1"/>
  <c r="F40" i="45"/>
  <c r="F23" i="45"/>
  <c r="F44" i="45"/>
  <c r="I44" i="45" s="1"/>
  <c r="G44" i="45" s="1"/>
  <c r="F43" i="45"/>
  <c r="F16" i="45"/>
  <c r="I16" i="45" s="1"/>
  <c r="G16" i="45" s="1"/>
  <c r="F37" i="45"/>
  <c r="F17" i="45"/>
  <c r="K13" i="3188"/>
  <c r="C13" i="5" s="1"/>
  <c r="K17" i="3188"/>
  <c r="C17" i="5" s="1"/>
  <c r="K36" i="3188"/>
  <c r="C36" i="5" s="1"/>
  <c r="K21" i="3188"/>
  <c r="C21" i="5" s="1"/>
  <c r="K51" i="3188"/>
  <c r="C51" i="5" s="1"/>
  <c r="K40" i="3188"/>
  <c r="C40" i="5" s="1"/>
  <c r="K26" i="3188"/>
  <c r="C26" i="5" s="1"/>
  <c r="K39" i="3188"/>
  <c r="C39" i="5" s="1"/>
  <c r="K19" i="3188"/>
  <c r="C19" i="5" s="1"/>
  <c r="K24" i="3188"/>
  <c r="C24" i="5" s="1"/>
  <c r="K16" i="3188"/>
  <c r="C16" i="5" s="1"/>
  <c r="E35" i="20"/>
  <c r="G35" i="20" s="1"/>
  <c r="K20" i="3188"/>
  <c r="C20" i="5" s="1"/>
  <c r="E27" i="20"/>
  <c r="G27" i="20" s="1"/>
  <c r="F46" i="45"/>
  <c r="F32" i="45"/>
  <c r="F14" i="45"/>
  <c r="F35" i="45"/>
  <c r="F19" i="45"/>
  <c r="F46" i="43"/>
  <c r="H46" i="43" s="1"/>
  <c r="K15" i="3188"/>
  <c r="C15" i="5" s="1"/>
  <c r="K43" i="3188"/>
  <c r="C43" i="5" s="1"/>
  <c r="K33" i="3188"/>
  <c r="C33" i="5" s="1"/>
  <c r="K32" i="3188"/>
  <c r="C32" i="5" s="1"/>
  <c r="K23" i="3188"/>
  <c r="C23" i="5" s="1"/>
  <c r="B46" i="20"/>
  <c r="D46" i="20" s="1"/>
  <c r="F11" i="45"/>
  <c r="D32" i="38658"/>
  <c r="F32" i="38659" s="1"/>
  <c r="E48" i="52"/>
  <c r="K14" i="3188"/>
  <c r="C14" i="5" s="1"/>
  <c r="F42" i="45"/>
  <c r="I42" i="45" s="1"/>
  <c r="C42" i="45" s="1"/>
  <c r="G42" i="42" s="1"/>
  <c r="K25" i="3188"/>
  <c r="C25" i="5" s="1"/>
  <c r="K41" i="3188"/>
  <c r="C41" i="5" s="1"/>
  <c r="K34" i="3188"/>
  <c r="C34" i="5" s="1"/>
  <c r="K28" i="3188"/>
  <c r="C28" i="5" s="1"/>
  <c r="K31" i="3188"/>
  <c r="C31" i="5" s="1"/>
  <c r="K35" i="3188"/>
  <c r="C35" i="5" s="1"/>
  <c r="K18" i="3188"/>
  <c r="C18" i="5" s="1"/>
  <c r="K27" i="3188"/>
  <c r="C27" i="5" s="1"/>
  <c r="K22" i="3188"/>
  <c r="C22" i="5" s="1"/>
  <c r="F24" i="45"/>
  <c r="I24" i="45" s="1"/>
  <c r="G24" i="45" s="1"/>
  <c r="B32" i="39"/>
  <c r="D51" i="9"/>
  <c r="D33" i="7"/>
  <c r="D11" i="11"/>
  <c r="E15" i="18"/>
  <c r="D15" i="10"/>
  <c r="D43" i="26"/>
  <c r="D43" i="19"/>
  <c r="J43" i="26"/>
  <c r="G36" i="8"/>
  <c r="D32" i="26"/>
  <c r="D17" i="9"/>
  <c r="D44" i="8"/>
  <c r="B44" i="18"/>
  <c r="D20" i="9"/>
  <c r="D42" i="7"/>
  <c r="J12" i="11"/>
  <c r="G11" i="10"/>
  <c r="D13" i="11"/>
  <c r="B20" i="18"/>
  <c r="J37" i="9"/>
  <c r="D41" i="7"/>
  <c r="J34" i="9"/>
  <c r="D13" i="9"/>
  <c r="D26" i="9"/>
  <c r="G15" i="10"/>
  <c r="G12" i="10"/>
  <c r="G15" i="11"/>
  <c r="B43" i="41"/>
  <c r="D15" i="9"/>
  <c r="G14" i="9"/>
  <c r="B41" i="18"/>
  <c r="D41" i="8"/>
  <c r="J35" i="9"/>
  <c r="E11" i="18"/>
  <c r="D11" i="10"/>
  <c r="D14" i="11"/>
  <c r="D15" i="11"/>
  <c r="I38" i="45"/>
  <c r="G38" i="45" s="1"/>
  <c r="G24" i="8"/>
  <c r="D51" i="8"/>
  <c r="B51" i="18"/>
  <c r="D39" i="9"/>
  <c r="E13" i="18"/>
  <c r="D13" i="10"/>
  <c r="D12" i="11"/>
  <c r="E14" i="18"/>
  <c r="D14" i="10"/>
  <c r="D17" i="11"/>
  <c r="D18" i="11"/>
  <c r="G12" i="11"/>
  <c r="B43" i="19"/>
  <c r="B43" i="40"/>
  <c r="D43" i="40" s="1"/>
  <c r="J15" i="11"/>
  <c r="G17" i="10"/>
  <c r="D24" i="11"/>
  <c r="D22" i="11"/>
  <c r="D20" i="11"/>
  <c r="B13" i="18"/>
  <c r="B43" i="39"/>
  <c r="B43" i="76"/>
  <c r="D43" i="27"/>
  <c r="D43" i="76" s="1"/>
  <c r="G14" i="10"/>
  <c r="E18" i="18"/>
  <c r="D18" i="10"/>
  <c r="G25" i="8"/>
  <c r="G20" i="11"/>
  <c r="G22" i="10"/>
  <c r="J23" i="11"/>
  <c r="E19" i="18"/>
  <c r="D19" i="10"/>
  <c r="E17" i="18"/>
  <c r="D17" i="10"/>
  <c r="D34" i="9"/>
  <c r="J40" i="9"/>
  <c r="G23" i="8"/>
  <c r="B43" i="20"/>
  <c r="D45" i="38658"/>
  <c r="G30" i="8"/>
  <c r="E16" i="18"/>
  <c r="D16" i="10"/>
  <c r="J19" i="11"/>
  <c r="J16" i="11"/>
  <c r="F43" i="41"/>
  <c r="G43" i="41" s="1"/>
  <c r="G44" i="9"/>
  <c r="D33" i="9"/>
  <c r="J13" i="11"/>
  <c r="E42" i="18"/>
  <c r="D42" i="10"/>
  <c r="B12" i="19"/>
  <c r="H12" i="18"/>
  <c r="H20" i="18"/>
  <c r="H35" i="18"/>
  <c r="H41" i="18"/>
  <c r="D15" i="26"/>
  <c r="D15" i="19"/>
  <c r="D23" i="26"/>
  <c r="D34" i="26"/>
  <c r="D34" i="19"/>
  <c r="G33" i="38655"/>
  <c r="G37" i="38655"/>
  <c r="B12" i="40"/>
  <c r="D12" i="40" s="1"/>
  <c r="B18" i="40"/>
  <c r="D18" i="40" s="1"/>
  <c r="B20" i="40"/>
  <c r="D20" i="40" s="1"/>
  <c r="B23" i="40"/>
  <c r="D23" i="40" s="1"/>
  <c r="B25" i="40"/>
  <c r="D25" i="40" s="1"/>
  <c r="B28" i="40"/>
  <c r="D28" i="40" s="1"/>
  <c r="B34" i="40"/>
  <c r="D34" i="40" s="1"/>
  <c r="B37" i="39"/>
  <c r="B42" i="40"/>
  <c r="D42" i="40" s="1"/>
  <c r="B50" i="40"/>
  <c r="D15" i="38658"/>
  <c r="D39" i="38658"/>
  <c r="H24" i="18"/>
  <c r="H28" i="18"/>
  <c r="D38" i="10"/>
  <c r="J36" i="26"/>
  <c r="J46" i="26"/>
  <c r="D12" i="38656"/>
  <c r="G46" i="38655"/>
  <c r="B31" i="40"/>
  <c r="D31" i="40" s="1"/>
  <c r="E13" i="20"/>
  <c r="H15" i="18"/>
  <c r="H46" i="18"/>
  <c r="B51" i="40"/>
  <c r="B31" i="39"/>
  <c r="B35" i="39"/>
  <c r="D41" i="19"/>
  <c r="D41" i="26"/>
  <c r="G38" i="38655"/>
  <c r="B42" i="39"/>
  <c r="E20" i="18"/>
  <c r="D20" i="10"/>
  <c r="G43" i="38656"/>
  <c r="B33" i="18"/>
  <c r="D33" i="8"/>
  <c r="J14" i="11"/>
  <c r="H23" i="18"/>
  <c r="D38" i="38658"/>
  <c r="G12" i="26"/>
  <c r="G17" i="38655"/>
  <c r="G36" i="38655"/>
  <c r="J24" i="26"/>
  <c r="D39" i="19"/>
  <c r="D39" i="26"/>
  <c r="D28" i="19"/>
  <c r="D28" i="26"/>
  <c r="D16" i="26"/>
  <c r="G12" i="8"/>
  <c r="G43" i="10"/>
  <c r="G18" i="10"/>
  <c r="D32" i="9"/>
  <c r="J33" i="26"/>
  <c r="J44" i="26"/>
  <c r="G19" i="38655"/>
  <c r="J38" i="9"/>
  <c r="J15" i="26"/>
  <c r="H50" i="18"/>
  <c r="D23" i="9"/>
  <c r="J13" i="26"/>
  <c r="B26" i="20"/>
  <c r="E38" i="20"/>
  <c r="E44" i="20"/>
  <c r="E45" i="20"/>
  <c r="B51" i="41"/>
  <c r="C51" i="41" s="1"/>
  <c r="J50" i="26"/>
  <c r="B26" i="19"/>
  <c r="E12" i="20"/>
  <c r="D34" i="27"/>
  <c r="D34" i="76" s="1"/>
  <c r="B34" i="76"/>
  <c r="E44" i="18"/>
  <c r="D44" i="10"/>
  <c r="G13" i="26"/>
  <c r="G17" i="26"/>
  <c r="G16" i="38656"/>
  <c r="G25" i="10"/>
  <c r="G39" i="8"/>
  <c r="F23" i="41"/>
  <c r="G23" i="41" s="1"/>
  <c r="J41" i="11"/>
  <c r="B41" i="20"/>
  <c r="B39" i="18"/>
  <c r="D39" i="8"/>
  <c r="G31" i="8"/>
  <c r="G40" i="10"/>
  <c r="B17" i="40"/>
  <c r="D17" i="40" s="1"/>
  <c r="B40" i="19"/>
  <c r="G37" i="26"/>
  <c r="D33" i="38656"/>
  <c r="F14" i="41"/>
  <c r="G14" i="41" s="1"/>
  <c r="F18" i="41"/>
  <c r="G18" i="41" s="1"/>
  <c r="E23" i="20"/>
  <c r="F35" i="41"/>
  <c r="G35" i="41" s="1"/>
  <c r="B16" i="40"/>
  <c r="D16" i="40" s="1"/>
  <c r="B41" i="41"/>
  <c r="B50" i="41"/>
  <c r="D37" i="9"/>
  <c r="D45" i="9"/>
  <c r="G37" i="10"/>
  <c r="J22" i="38655"/>
  <c r="B13" i="41"/>
  <c r="D35" i="27"/>
  <c r="D35" i="76" s="1"/>
  <c r="B35" i="76"/>
  <c r="G44" i="38656"/>
  <c r="G12" i="38656"/>
  <c r="G40" i="38656"/>
  <c r="E36" i="20"/>
  <c r="J14" i="26"/>
  <c r="D28" i="11"/>
  <c r="B28" i="76"/>
  <c r="D28" i="27"/>
  <c r="D28" i="76" s="1"/>
  <c r="B27" i="20"/>
  <c r="F32" i="41"/>
  <c r="G32" i="41" s="1"/>
  <c r="G28" i="11"/>
  <c r="J45" i="38655"/>
  <c r="G19" i="26"/>
  <c r="G23" i="11"/>
  <c r="G46" i="38656"/>
  <c r="B15" i="20"/>
  <c r="B23" i="20"/>
  <c r="D12" i="27"/>
  <c r="D12" i="76" s="1"/>
  <c r="B12" i="76"/>
  <c r="B43" i="18"/>
  <c r="D43" i="8"/>
  <c r="G38" i="8"/>
  <c r="B31" i="18"/>
  <c r="D31" i="8"/>
  <c r="E36" i="18"/>
  <c r="D36" i="10"/>
  <c r="G42" i="10"/>
  <c r="B13" i="20"/>
  <c r="D21" i="38656"/>
  <c r="B17" i="19"/>
  <c r="B25" i="19"/>
  <c r="D24" i="9"/>
  <c r="D41" i="38656"/>
  <c r="D40" i="26"/>
  <c r="D26" i="38658"/>
  <c r="G33" i="11"/>
  <c r="B24" i="76"/>
  <c r="D24" i="27"/>
  <c r="D24" i="76" s="1"/>
  <c r="B34" i="20"/>
  <c r="G25" i="26"/>
  <c r="G13" i="38656"/>
  <c r="G21" i="38656"/>
  <c r="B33" i="20"/>
  <c r="B19" i="41"/>
  <c r="G40" i="8"/>
  <c r="J17" i="38655"/>
  <c r="J44" i="38655"/>
  <c r="G38" i="11"/>
  <c r="D22" i="27"/>
  <c r="D22" i="76" s="1"/>
  <c r="B22" i="76"/>
  <c r="F34" i="41"/>
  <c r="G34" i="41" s="1"/>
  <c r="G23" i="38656"/>
  <c r="G38" i="38656"/>
  <c r="B46" i="39"/>
  <c r="G28" i="26"/>
  <c r="B25" i="20"/>
  <c r="J39" i="26"/>
  <c r="J41" i="38655"/>
  <c r="F16" i="41"/>
  <c r="G16" i="41" s="1"/>
  <c r="G46" i="11"/>
  <c r="D19" i="27"/>
  <c r="D19" i="76" s="1"/>
  <c r="B19" i="76"/>
  <c r="J33" i="11"/>
  <c r="D19" i="19"/>
  <c r="D19" i="26"/>
  <c r="E21" i="20"/>
  <c r="D27" i="19"/>
  <c r="G31" i="11"/>
  <c r="G32" i="10"/>
  <c r="G46" i="10"/>
  <c r="B37" i="19"/>
  <c r="E27" i="18"/>
  <c r="D36" i="11"/>
  <c r="G40" i="11"/>
  <c r="B45" i="19"/>
  <c r="J33" i="38655"/>
  <c r="F37" i="41"/>
  <c r="G37" i="41" s="1"/>
  <c r="D34" i="8"/>
  <c r="B34" i="18"/>
  <c r="B45" i="20"/>
  <c r="B36" i="41"/>
  <c r="F12" i="41"/>
  <c r="G12" i="41" s="1"/>
  <c r="B44" i="76"/>
  <c r="D44" i="27"/>
  <c r="D44" i="76" s="1"/>
  <c r="J40" i="11"/>
  <c r="J38" i="38655"/>
  <c r="G24" i="26"/>
  <c r="B18" i="41"/>
  <c r="B38" i="20"/>
  <c r="J51" i="38655"/>
  <c r="D11" i="38656"/>
  <c r="D24" i="26"/>
  <c r="D24" i="19"/>
  <c r="H25" i="18"/>
  <c r="G30" i="18"/>
  <c r="K30" i="38667"/>
  <c r="D21" i="41"/>
  <c r="C21" i="41"/>
  <c r="C44" i="41"/>
  <c r="D44" i="41"/>
  <c r="D37" i="41"/>
  <c r="C37" i="41"/>
  <c r="F30" i="39"/>
  <c r="H30" i="39"/>
  <c r="D30" i="39"/>
  <c r="G30" i="20"/>
  <c r="C33" i="41"/>
  <c r="D33" i="41"/>
  <c r="D35" i="7"/>
  <c r="K12" i="3188"/>
  <c r="C12" i="5" s="1"/>
  <c r="F21" i="45"/>
  <c r="B30" i="18"/>
  <c r="F34" i="45"/>
  <c r="F28" i="45"/>
  <c r="B25" i="18"/>
  <c r="E34" i="20"/>
  <c r="G17" i="11"/>
  <c r="E12" i="18"/>
  <c r="D12" i="10"/>
  <c r="G13" i="10"/>
  <c r="E43" i="20"/>
  <c r="D19" i="11"/>
  <c r="G20" i="10"/>
  <c r="J21" i="11"/>
  <c r="G24" i="11"/>
  <c r="D25" i="11"/>
  <c r="D23" i="8"/>
  <c r="B23" i="18"/>
  <c r="D22" i="9"/>
  <c r="G43" i="8"/>
  <c r="G42" i="8"/>
  <c r="D36" i="9"/>
  <c r="J11" i="11"/>
  <c r="D26" i="11"/>
  <c r="D41" i="9"/>
  <c r="J43" i="38655"/>
  <c r="D27" i="10"/>
  <c r="E39" i="18"/>
  <c r="D39" i="10"/>
  <c r="H40" i="18"/>
  <c r="H45" i="18"/>
  <c r="D11" i="19"/>
  <c r="D11" i="26"/>
  <c r="D13" i="26"/>
  <c r="D13" i="19"/>
  <c r="J22" i="26"/>
  <c r="D38" i="26"/>
  <c r="D38" i="19"/>
  <c r="J12" i="38655"/>
  <c r="G16" i="38655"/>
  <c r="G20" i="38655"/>
  <c r="G24" i="38655"/>
  <c r="G28" i="38655"/>
  <c r="G40" i="38655"/>
  <c r="B13" i="40"/>
  <c r="D13" i="40" s="1"/>
  <c r="B14" i="39"/>
  <c r="B21" i="40"/>
  <c r="D21" i="40" s="1"/>
  <c r="B22" i="39"/>
  <c r="B24" i="39"/>
  <c r="B26" i="40"/>
  <c r="D26" i="40" s="1"/>
  <c r="B33" i="40"/>
  <c r="D33" i="40" s="1"/>
  <c r="B41" i="40"/>
  <c r="D41" i="40" s="1"/>
  <c r="B46" i="40"/>
  <c r="D46" i="40" s="1"/>
  <c r="B11" i="41"/>
  <c r="D18" i="38658"/>
  <c r="D22" i="38658"/>
  <c r="D41" i="38658"/>
  <c r="E28" i="18"/>
  <c r="D28" i="10"/>
  <c r="E45" i="18"/>
  <c r="D45" i="10"/>
  <c r="H22" i="18"/>
  <c r="H32" i="18"/>
  <c r="J12" i="26"/>
  <c r="J42" i="26"/>
  <c r="G45" i="38655"/>
  <c r="B11" i="20"/>
  <c r="B40" i="39"/>
  <c r="B12" i="39"/>
  <c r="F11" i="41"/>
  <c r="B39" i="40"/>
  <c r="D39" i="40" s="1"/>
  <c r="G44" i="38655"/>
  <c r="B33" i="39"/>
  <c r="G11" i="26"/>
  <c r="J32" i="26"/>
  <c r="G34" i="38655"/>
  <c r="B12" i="20"/>
  <c r="J20" i="26"/>
  <c r="D46" i="26"/>
  <c r="D33" i="26"/>
  <c r="D18" i="26"/>
  <c r="D18" i="19"/>
  <c r="D51" i="38655"/>
  <c r="G51" i="19"/>
  <c r="D43" i="10"/>
  <c r="J17" i="11"/>
  <c r="D27" i="8"/>
  <c r="B27" i="18"/>
  <c r="D50" i="9"/>
  <c r="J40" i="26"/>
  <c r="G11" i="11"/>
  <c r="H44" i="18"/>
  <c r="B36" i="39"/>
  <c r="G33" i="8"/>
  <c r="D12" i="9"/>
  <c r="F38" i="41"/>
  <c r="G38" i="41" s="1"/>
  <c r="F42" i="41"/>
  <c r="G42" i="41" s="1"/>
  <c r="B45" i="41"/>
  <c r="F44" i="41"/>
  <c r="G44" i="41" s="1"/>
  <c r="B22" i="19"/>
  <c r="D40" i="38656"/>
  <c r="D27" i="11"/>
  <c r="J44" i="11"/>
  <c r="G33" i="26"/>
  <c r="B21" i="76"/>
  <c r="D21" i="27"/>
  <c r="D21" i="76" s="1"/>
  <c r="F36" i="41"/>
  <c r="G36" i="41" s="1"/>
  <c r="G11" i="38656"/>
  <c r="G33" i="38656"/>
  <c r="B21" i="20"/>
  <c r="D40" i="9"/>
  <c r="D21" i="9"/>
  <c r="G34" i="10"/>
  <c r="J46" i="38655"/>
  <c r="J46" i="9"/>
  <c r="G39" i="38655"/>
  <c r="D15" i="38656"/>
  <c r="D20" i="38656"/>
  <c r="D23" i="38656"/>
  <c r="D28" i="38656"/>
  <c r="J39" i="38655"/>
  <c r="G51" i="38656"/>
  <c r="B12" i="41"/>
  <c r="E16" i="20"/>
  <c r="F22" i="41"/>
  <c r="G22" i="41" s="1"/>
  <c r="E32" i="20"/>
  <c r="G51" i="38655"/>
  <c r="D45" i="38656"/>
  <c r="E46" i="20"/>
  <c r="E51" i="20"/>
  <c r="B17" i="39"/>
  <c r="B21" i="18"/>
  <c r="D21" i="8"/>
  <c r="D17" i="8"/>
  <c r="J35" i="11"/>
  <c r="G39" i="10"/>
  <c r="G44" i="10"/>
  <c r="D31" i="11"/>
  <c r="F50" i="41"/>
  <c r="G50" i="41" s="1"/>
  <c r="E50" i="18"/>
  <c r="D50" i="10"/>
  <c r="D16" i="38656"/>
  <c r="E28" i="20"/>
  <c r="J31" i="26"/>
  <c r="B28" i="19"/>
  <c r="G51" i="10"/>
  <c r="B24" i="19"/>
  <c r="J37" i="11"/>
  <c r="G23" i="26"/>
  <c r="G27" i="26"/>
  <c r="E43" i="18"/>
  <c r="B15" i="39"/>
  <c r="J42" i="11"/>
  <c r="D42" i="11"/>
  <c r="G26" i="10"/>
  <c r="F20" i="41"/>
  <c r="G20" i="41" s="1"/>
  <c r="B28" i="20"/>
  <c r="H13" i="18"/>
  <c r="H51" i="18"/>
  <c r="D33" i="11"/>
  <c r="D41" i="11"/>
  <c r="D51" i="38656"/>
  <c r="J20" i="38655"/>
  <c r="B13" i="19"/>
  <c r="E24" i="20"/>
  <c r="J31" i="38655"/>
  <c r="D51" i="19"/>
  <c r="D51" i="26"/>
  <c r="D15" i="27"/>
  <c r="D15" i="76" s="1"/>
  <c r="B15" i="76"/>
  <c r="E18" i="20"/>
  <c r="G34" i="26"/>
  <c r="G20" i="38656"/>
  <c r="G35" i="38656"/>
  <c r="B31" i="20"/>
  <c r="B26" i="41"/>
  <c r="J13" i="38655"/>
  <c r="G42" i="38656"/>
  <c r="G45" i="38656"/>
  <c r="D42" i="9"/>
  <c r="D14" i="38656"/>
  <c r="B33" i="19"/>
  <c r="G32" i="38656"/>
  <c r="G15" i="26"/>
  <c r="G22" i="38656"/>
  <c r="G36" i="38656"/>
  <c r="J20" i="11"/>
  <c r="B17" i="20"/>
  <c r="B50" i="20"/>
  <c r="G51" i="11"/>
  <c r="B21" i="19"/>
  <c r="E17" i="20"/>
  <c r="E31" i="20"/>
  <c r="B17" i="41"/>
  <c r="G27" i="11"/>
  <c r="G41" i="11"/>
  <c r="B34" i="19"/>
  <c r="G41" i="26"/>
  <c r="D40" i="8"/>
  <c r="B40" i="18"/>
  <c r="G37" i="11"/>
  <c r="F25" i="41"/>
  <c r="G25" i="41" s="1"/>
  <c r="D32" i="11"/>
  <c r="G21" i="26"/>
  <c r="D27" i="9"/>
  <c r="D15" i="8"/>
  <c r="B15" i="18"/>
  <c r="D41" i="27"/>
  <c r="D41" i="76" s="1"/>
  <c r="B41" i="76"/>
  <c r="E22" i="20"/>
  <c r="B35" i="41"/>
  <c r="G21" i="11"/>
  <c r="D38" i="9"/>
  <c r="H38" i="18"/>
  <c r="E50" i="20"/>
  <c r="F33" i="41"/>
  <c r="G33" i="41" s="1"/>
  <c r="G27" i="10"/>
  <c r="D48" i="70"/>
  <c r="E30" i="5"/>
  <c r="C30" i="41"/>
  <c r="D30" i="41"/>
  <c r="D46" i="7"/>
  <c r="D39" i="11"/>
  <c r="E25" i="20"/>
  <c r="D38" i="7"/>
  <c r="D45" i="11"/>
  <c r="F22" i="45"/>
  <c r="J32" i="9"/>
  <c r="D46" i="9"/>
  <c r="G51" i="8"/>
  <c r="J18" i="11"/>
  <c r="E21" i="18"/>
  <c r="D21" i="10"/>
  <c r="D43" i="9"/>
  <c r="G35" i="8"/>
  <c r="D38" i="8"/>
  <c r="B38" i="18"/>
  <c r="D18" i="9"/>
  <c r="H27" i="18"/>
  <c r="H39" i="18"/>
  <c r="D21" i="26"/>
  <c r="D21" i="19"/>
  <c r="D27" i="26"/>
  <c r="J37" i="26"/>
  <c r="D30" i="38658"/>
  <c r="G32" i="38655"/>
  <c r="G42" i="38655"/>
  <c r="B19" i="39"/>
  <c r="B20" i="39"/>
  <c r="B27" i="40"/>
  <c r="B36" i="40"/>
  <c r="D36" i="40" s="1"/>
  <c r="B40" i="40"/>
  <c r="D40" i="40" s="1"/>
  <c r="F13" i="41"/>
  <c r="G13" i="41" s="1"/>
  <c r="D25" i="38658"/>
  <c r="D34" i="38658"/>
  <c r="D44" i="38658"/>
  <c r="H18" i="18"/>
  <c r="H26" i="18"/>
  <c r="H31" i="18"/>
  <c r="H36" i="18"/>
  <c r="H42" i="18"/>
  <c r="D11" i="27"/>
  <c r="D11" i="76" s="1"/>
  <c r="B11" i="76"/>
  <c r="J23" i="26"/>
  <c r="B14" i="41"/>
  <c r="H17" i="18"/>
  <c r="B13" i="39"/>
  <c r="B39" i="39"/>
  <c r="B45" i="39"/>
  <c r="B27" i="39"/>
  <c r="B11" i="40"/>
  <c r="J11" i="26"/>
  <c r="D11" i="9"/>
  <c r="E32" i="18"/>
  <c r="D32" i="10"/>
  <c r="B45" i="40"/>
  <c r="D45" i="40" s="1"/>
  <c r="D11" i="8"/>
  <c r="B11" i="18"/>
  <c r="D26" i="10"/>
  <c r="B22" i="18"/>
  <c r="D22" i="8"/>
  <c r="D25" i="9"/>
  <c r="G22" i="11"/>
  <c r="J25" i="26"/>
  <c r="G13" i="38655"/>
  <c r="J18" i="26"/>
  <c r="D44" i="26"/>
  <c r="D44" i="19"/>
  <c r="D35" i="26"/>
  <c r="D35" i="19"/>
  <c r="D20" i="26"/>
  <c r="D20" i="19"/>
  <c r="G50" i="38655"/>
  <c r="G15" i="8"/>
  <c r="G27" i="8"/>
  <c r="D16" i="8"/>
  <c r="J28" i="26"/>
  <c r="G25" i="38655"/>
  <c r="H34" i="18"/>
  <c r="B35" i="18"/>
  <c r="D35" i="8"/>
  <c r="B50" i="18"/>
  <c r="D50" i="8"/>
  <c r="B23" i="39"/>
  <c r="B20" i="20"/>
  <c r="B22" i="20"/>
  <c r="G43" i="11"/>
  <c r="E37" i="18"/>
  <c r="D37" i="10"/>
  <c r="G27" i="38655"/>
  <c r="E40" i="20"/>
  <c r="D26" i="8"/>
  <c r="B26" i="18"/>
  <c r="F40" i="41"/>
  <c r="G40" i="41" s="1"/>
  <c r="B40" i="41"/>
  <c r="B14" i="19"/>
  <c r="D25" i="27"/>
  <c r="D25" i="76" s="1"/>
  <c r="B25" i="76"/>
  <c r="F27" i="41"/>
  <c r="G27" i="41" s="1"/>
  <c r="D14" i="8"/>
  <c r="B14" i="18"/>
  <c r="D14" i="27"/>
  <c r="D14" i="76" s="1"/>
  <c r="B14" i="76"/>
  <c r="B40" i="20"/>
  <c r="G24" i="38656"/>
  <c r="B19" i="20"/>
  <c r="B44" i="39"/>
  <c r="G34" i="8"/>
  <c r="D26" i="27"/>
  <c r="D26" i="76" s="1"/>
  <c r="B26" i="76"/>
  <c r="G41" i="38656"/>
  <c r="B15" i="19"/>
  <c r="J14" i="38655"/>
  <c r="D36" i="38656"/>
  <c r="B16" i="20"/>
  <c r="E15" i="20"/>
  <c r="E19" i="20"/>
  <c r="F31" i="41"/>
  <c r="G31" i="41" s="1"/>
  <c r="E42" i="20"/>
  <c r="J24" i="9"/>
  <c r="D42" i="8"/>
  <c r="B42" i="18"/>
  <c r="G35" i="10"/>
  <c r="J35" i="38655"/>
  <c r="G15" i="38656"/>
  <c r="F19" i="41"/>
  <c r="G19" i="41" s="1"/>
  <c r="E35" i="18"/>
  <c r="D35" i="10"/>
  <c r="E41" i="18"/>
  <c r="D41" i="10"/>
  <c r="D31" i="26"/>
  <c r="D31" i="19"/>
  <c r="J45" i="26"/>
  <c r="B41" i="39"/>
  <c r="F28" i="41"/>
  <c r="G28" i="41" s="1"/>
  <c r="G34" i="11"/>
  <c r="D12" i="19"/>
  <c r="D12" i="26"/>
  <c r="D31" i="27"/>
  <c r="D31" i="76" s="1"/>
  <c r="B31" i="76"/>
  <c r="J24" i="38655"/>
  <c r="B37" i="40"/>
  <c r="D37" i="40" s="1"/>
  <c r="B11" i="19"/>
  <c r="B21" i="39"/>
  <c r="B37" i="20"/>
  <c r="J25" i="9"/>
  <c r="G26" i="26"/>
  <c r="F41" i="41"/>
  <c r="G41" i="41" s="1"/>
  <c r="J32" i="11"/>
  <c r="G41" i="10"/>
  <c r="B46" i="19"/>
  <c r="G50" i="38656"/>
  <c r="G25" i="38656"/>
  <c r="B20" i="19"/>
  <c r="E39" i="20"/>
  <c r="G33" i="10"/>
  <c r="E51" i="18"/>
  <c r="D51" i="10"/>
  <c r="J51" i="26"/>
  <c r="B42" i="76"/>
  <c r="D42" i="27"/>
  <c r="D42" i="76" s="1"/>
  <c r="E33" i="20"/>
  <c r="D26" i="19"/>
  <c r="D26" i="26"/>
  <c r="B27" i="19"/>
  <c r="D45" i="26"/>
  <c r="B35" i="20"/>
  <c r="G19" i="38656"/>
  <c r="G31" i="38656"/>
  <c r="G42" i="26"/>
  <c r="B20" i="41"/>
  <c r="G23" i="10"/>
  <c r="J28" i="11"/>
  <c r="G44" i="26"/>
  <c r="G13" i="8"/>
  <c r="B19" i="19"/>
  <c r="B50" i="76"/>
  <c r="D50" i="27"/>
  <c r="D50" i="76" s="1"/>
  <c r="G18" i="38656"/>
  <c r="G34" i="38656"/>
  <c r="B23" i="41"/>
  <c r="G35" i="26"/>
  <c r="G31" i="10"/>
  <c r="B51" i="76"/>
  <c r="D51" i="27"/>
  <c r="D51" i="76" s="1"/>
  <c r="F15" i="41"/>
  <c r="G15" i="41" s="1"/>
  <c r="B18" i="19"/>
  <c r="D39" i="27"/>
  <c r="D39" i="76" s="1"/>
  <c r="B39" i="76"/>
  <c r="D37" i="19"/>
  <c r="E11" i="20"/>
  <c r="G38" i="10"/>
  <c r="D45" i="19"/>
  <c r="D25" i="38656"/>
  <c r="E22" i="18"/>
  <c r="D22" i="10"/>
  <c r="G36" i="11"/>
  <c r="B42" i="19"/>
  <c r="F21" i="41"/>
  <c r="G21" i="41" s="1"/>
  <c r="D28" i="8"/>
  <c r="B28" i="18"/>
  <c r="E14" i="20"/>
  <c r="J25" i="38655"/>
  <c r="B51" i="20"/>
  <c r="D19" i="8"/>
  <c r="B19" i="18"/>
  <c r="B31" i="41"/>
  <c r="G50" i="11"/>
  <c r="D34" i="11"/>
  <c r="D13" i="27"/>
  <c r="D13" i="76" s="1"/>
  <c r="B13" i="76"/>
  <c r="E48" i="15"/>
  <c r="E48" i="41" s="1"/>
  <c r="E11" i="16"/>
  <c r="E48" i="16" s="1"/>
  <c r="E11" i="41"/>
  <c r="C25" i="41"/>
  <c r="D25" i="41"/>
  <c r="C34" i="41"/>
  <c r="D34" i="41"/>
  <c r="F48" i="52"/>
  <c r="C16" i="41"/>
  <c r="D16" i="41"/>
  <c r="C15" i="41"/>
  <c r="D15" i="41"/>
  <c r="C28" i="41"/>
  <c r="D28" i="41"/>
  <c r="D31" i="7"/>
  <c r="K11" i="3188"/>
  <c r="F20" i="45"/>
  <c r="F12" i="45"/>
  <c r="D24" i="7"/>
  <c r="F33" i="45"/>
  <c r="D32" i="7"/>
  <c r="F13" i="45"/>
  <c r="F31" i="45"/>
  <c r="F15" i="45"/>
  <c r="D40" i="11"/>
  <c r="F26" i="45"/>
  <c r="F51" i="45"/>
  <c r="G16" i="11"/>
  <c r="H43" i="18"/>
  <c r="G43" i="26"/>
  <c r="G14" i="11"/>
  <c r="E23" i="18"/>
  <c r="D23" i="10"/>
  <c r="G24" i="10"/>
  <c r="D35" i="9"/>
  <c r="D23" i="11"/>
  <c r="D32" i="8"/>
  <c r="B32" i="18"/>
  <c r="J13" i="9"/>
  <c r="D16" i="9"/>
  <c r="D36" i="8"/>
  <c r="B36" i="18"/>
  <c r="D43" i="38656"/>
  <c r="D16" i="11"/>
  <c r="G16" i="10"/>
  <c r="D21" i="11"/>
  <c r="G18" i="11"/>
  <c r="G45" i="8"/>
  <c r="E31" i="18"/>
  <c r="D31" i="10"/>
  <c r="H14" i="18"/>
  <c r="H37" i="18"/>
  <c r="D17" i="26"/>
  <c r="D17" i="19"/>
  <c r="D25" i="26"/>
  <c r="D25" i="19"/>
  <c r="D36" i="19"/>
  <c r="D36" i="26"/>
  <c r="G11" i="38655"/>
  <c r="G12" i="38655"/>
  <c r="G14" i="38655"/>
  <c r="G18" i="38655"/>
  <c r="G22" i="38655"/>
  <c r="G26" i="38655"/>
  <c r="G31" i="38655"/>
  <c r="G35" i="38655"/>
  <c r="G41" i="38655"/>
  <c r="D47" i="38658"/>
  <c r="B14" i="40"/>
  <c r="B15" i="40"/>
  <c r="D15" i="40" s="1"/>
  <c r="B19" i="40"/>
  <c r="D19" i="40" s="1"/>
  <c r="B22" i="40"/>
  <c r="D22" i="40" s="1"/>
  <c r="B24" i="40"/>
  <c r="D24" i="40" s="1"/>
  <c r="B25" i="39"/>
  <c r="B26" i="39"/>
  <c r="B28" i="39"/>
  <c r="B35" i="40"/>
  <c r="D35" i="40" s="1"/>
  <c r="B38" i="40"/>
  <c r="D38" i="40" s="1"/>
  <c r="B44" i="40"/>
  <c r="D44" i="40" s="1"/>
  <c r="B50" i="39"/>
  <c r="D40" i="38658"/>
  <c r="J31" i="11"/>
  <c r="H16" i="18"/>
  <c r="H33" i="18"/>
  <c r="J17" i="26"/>
  <c r="J27" i="26"/>
  <c r="J38" i="26"/>
  <c r="B11" i="39"/>
  <c r="B34" i="39"/>
  <c r="D50" i="19"/>
  <c r="D50" i="26"/>
  <c r="H11" i="18"/>
  <c r="E33" i="18"/>
  <c r="D33" i="10"/>
  <c r="E24" i="18"/>
  <c r="D24" i="10"/>
  <c r="D28" i="9"/>
  <c r="H21" i="18"/>
  <c r="G43" i="38655"/>
  <c r="D12" i="8"/>
  <c r="B12" i="18"/>
  <c r="J21" i="26"/>
  <c r="J34" i="26"/>
  <c r="G23" i="38655"/>
  <c r="J16" i="26"/>
  <c r="J41" i="26"/>
  <c r="G21" i="38655"/>
  <c r="D37" i="26"/>
  <c r="D22" i="19"/>
  <c r="D22" i="26"/>
  <c r="D14" i="26"/>
  <c r="D14" i="19"/>
  <c r="G17" i="8"/>
  <c r="G32" i="8"/>
  <c r="D24" i="8"/>
  <c r="B24" i="18"/>
  <c r="B24" i="20"/>
  <c r="G46" i="8"/>
  <c r="G13" i="11"/>
  <c r="G18" i="8"/>
  <c r="D44" i="9"/>
  <c r="G15" i="38655"/>
  <c r="H19" i="18"/>
  <c r="F39" i="41"/>
  <c r="G39" i="41" s="1"/>
  <c r="F51" i="41"/>
  <c r="D18" i="27"/>
  <c r="D18" i="76" s="1"/>
  <c r="B18" i="76"/>
  <c r="E20" i="20"/>
  <c r="J39" i="11"/>
  <c r="G45" i="26"/>
  <c r="J19" i="38655"/>
  <c r="B42" i="41"/>
  <c r="G20" i="8"/>
  <c r="B38" i="76"/>
  <c r="D38" i="27"/>
  <c r="D38" i="76" s="1"/>
  <c r="B18" i="39"/>
  <c r="B38" i="41"/>
  <c r="J26" i="9"/>
  <c r="G19" i="8"/>
  <c r="B36" i="19"/>
  <c r="F26" i="41"/>
  <c r="G26" i="41" s="1"/>
  <c r="J45" i="11"/>
  <c r="G20" i="26"/>
  <c r="B46" i="41"/>
  <c r="D19" i="9"/>
  <c r="G45" i="10"/>
  <c r="E40" i="18"/>
  <c r="D40" i="10"/>
  <c r="B23" i="19"/>
  <c r="J26" i="38655"/>
  <c r="E41" i="20"/>
  <c r="B18" i="20"/>
  <c r="D46" i="8"/>
  <c r="B46" i="18"/>
  <c r="D23" i="38658"/>
  <c r="J46" i="11"/>
  <c r="D24" i="38656"/>
  <c r="B44" i="20"/>
  <c r="B39" i="19"/>
  <c r="J50" i="38655"/>
  <c r="J26" i="26"/>
  <c r="D42" i="26"/>
  <c r="D42" i="19"/>
  <c r="B32" i="40"/>
  <c r="D32" i="40" s="1"/>
  <c r="J28" i="38655"/>
  <c r="J27" i="38655"/>
  <c r="E34" i="18"/>
  <c r="D34" i="10"/>
  <c r="G28" i="10"/>
  <c r="G37" i="38656"/>
  <c r="G25" i="11"/>
  <c r="D31" i="9"/>
  <c r="J51" i="11"/>
  <c r="D35" i="11"/>
  <c r="G14" i="26"/>
  <c r="G21" i="10"/>
  <c r="E26" i="20"/>
  <c r="G46" i="26"/>
  <c r="B36" i="20"/>
  <c r="J24" i="11"/>
  <c r="G16" i="26"/>
  <c r="E37" i="20"/>
  <c r="E25" i="18"/>
  <c r="D25" i="10"/>
  <c r="G39" i="11"/>
  <c r="G45" i="11"/>
  <c r="B41" i="19"/>
  <c r="G18" i="26"/>
  <c r="B16" i="39"/>
  <c r="J19" i="26"/>
  <c r="G32" i="11"/>
  <c r="D34" i="38656"/>
  <c r="G40" i="26"/>
  <c r="G17" i="38656"/>
  <c r="G26" i="38656"/>
  <c r="G39" i="38656"/>
  <c r="J40" i="38655"/>
  <c r="B27" i="41"/>
  <c r="B14" i="20"/>
  <c r="G14" i="38656"/>
  <c r="G28" i="38656"/>
  <c r="J42" i="38655"/>
  <c r="B38" i="39"/>
  <c r="G19" i="10"/>
  <c r="G31" i="26"/>
  <c r="B39" i="41"/>
  <c r="B24" i="41"/>
  <c r="B31" i="19"/>
  <c r="B44" i="19"/>
  <c r="D33" i="19"/>
  <c r="B39" i="20"/>
  <c r="G36" i="10"/>
  <c r="G50" i="10"/>
  <c r="B38" i="19"/>
  <c r="G22" i="26"/>
  <c r="D37" i="8"/>
  <c r="B37" i="18"/>
  <c r="G42" i="11"/>
  <c r="D32" i="19"/>
  <c r="G38" i="26"/>
  <c r="B51" i="39"/>
  <c r="H51" i="39" s="1"/>
  <c r="G26" i="8"/>
  <c r="G44" i="11"/>
  <c r="B50" i="19"/>
  <c r="B32" i="41"/>
  <c r="B32" i="19"/>
  <c r="B42" i="20"/>
  <c r="E46" i="18"/>
  <c r="D46" i="10"/>
  <c r="J35" i="26"/>
  <c r="G39" i="26"/>
  <c r="B22" i="41"/>
  <c r="B51" i="19"/>
  <c r="B35" i="19"/>
  <c r="B32" i="20"/>
  <c r="D30" i="38655"/>
  <c r="G30" i="19"/>
  <c r="F30" i="19"/>
  <c r="D30" i="20"/>
  <c r="H54" i="23"/>
  <c r="H48" i="7"/>
  <c r="G48" i="7"/>
  <c r="I48" i="7"/>
  <c r="F48" i="7"/>
  <c r="D22" i="7"/>
  <c r="D50" i="11"/>
  <c r="D21" i="7"/>
  <c r="D45" i="7"/>
  <c r="D37" i="7"/>
  <c r="D27" i="7"/>
  <c r="D44" i="11"/>
  <c r="F45" i="45"/>
  <c r="F36" i="45"/>
  <c r="B16" i="19"/>
  <c r="J48" i="20" l="1"/>
  <c r="I32" i="38658"/>
  <c r="I37" i="45"/>
  <c r="G37" i="44" s="1"/>
  <c r="E37" i="42" s="1"/>
  <c r="I35" i="45"/>
  <c r="G35" i="45" s="1"/>
  <c r="I40" i="45"/>
  <c r="G40" i="45" s="1"/>
  <c r="I23" i="45"/>
  <c r="I23" i="44" s="1"/>
  <c r="F23" i="42" s="1"/>
  <c r="I19" i="45"/>
  <c r="E19" i="45" s="1"/>
  <c r="H19" i="42" s="1"/>
  <c r="G18" i="44"/>
  <c r="E18" i="42" s="1"/>
  <c r="G18" i="45"/>
  <c r="E38" i="45"/>
  <c r="H38" i="42" s="1"/>
  <c r="G38" i="44"/>
  <c r="E38" i="42" s="1"/>
  <c r="I18" i="43"/>
  <c r="B18" i="42" s="1"/>
  <c r="E18" i="45"/>
  <c r="H18" i="42" s="1"/>
  <c r="E18" i="44"/>
  <c r="D18" i="42" s="1"/>
  <c r="C18" i="44"/>
  <c r="C18" i="42" s="1"/>
  <c r="C18" i="45"/>
  <c r="G18" i="42" s="1"/>
  <c r="I32" i="45"/>
  <c r="C32" i="44" s="1"/>
  <c r="C32" i="42" s="1"/>
  <c r="E50" i="45"/>
  <c r="H50" i="42" s="1"/>
  <c r="I45" i="45"/>
  <c r="G45" i="44" s="1"/>
  <c r="E45" i="42" s="1"/>
  <c r="I17" i="45"/>
  <c r="I43" i="45"/>
  <c r="I27" i="45"/>
  <c r="I27" i="43" s="1"/>
  <c r="B27" i="42" s="1"/>
  <c r="I14" i="45"/>
  <c r="G14" i="45" s="1"/>
  <c r="G42" i="44"/>
  <c r="E42" i="42" s="1"/>
  <c r="C44" i="45"/>
  <c r="G44" i="42" s="1"/>
  <c r="E41" i="44"/>
  <c r="D41" i="42" s="1"/>
  <c r="E41" i="45"/>
  <c r="H41" i="42" s="1"/>
  <c r="G24" i="44"/>
  <c r="E24" i="42" s="1"/>
  <c r="C16" i="44"/>
  <c r="C16" i="42" s="1"/>
  <c r="E24" i="45"/>
  <c r="H24" i="42" s="1"/>
  <c r="E25" i="45"/>
  <c r="H25" i="42" s="1"/>
  <c r="I25" i="44"/>
  <c r="F25" i="42" s="1"/>
  <c r="I16" i="43"/>
  <c r="B16" i="42" s="1"/>
  <c r="E25" i="44"/>
  <c r="D25" i="42" s="1"/>
  <c r="G50" i="44"/>
  <c r="E50" i="42" s="1"/>
  <c r="G44" i="44"/>
  <c r="E44" i="42" s="1"/>
  <c r="I50" i="44"/>
  <c r="F50" i="42" s="1"/>
  <c r="C42" i="44"/>
  <c r="C42" i="42" s="1"/>
  <c r="C41" i="44"/>
  <c r="C41" i="42" s="1"/>
  <c r="G41" i="45"/>
  <c r="G50" i="45"/>
  <c r="G41" i="44"/>
  <c r="E41" i="42" s="1"/>
  <c r="C50" i="44"/>
  <c r="C50" i="42" s="1"/>
  <c r="I41" i="44"/>
  <c r="F41" i="42" s="1"/>
  <c r="C41" i="45"/>
  <c r="G41" i="42" s="1"/>
  <c r="E42" i="45"/>
  <c r="H42" i="42" s="1"/>
  <c r="E44" i="45"/>
  <c r="H44" i="42" s="1"/>
  <c r="I50" i="43"/>
  <c r="B50" i="42" s="1"/>
  <c r="G25" i="44"/>
  <c r="E25" i="42" s="1"/>
  <c r="E16" i="44"/>
  <c r="D16" i="42" s="1"/>
  <c r="I25" i="43"/>
  <c r="B25" i="42" s="1"/>
  <c r="E16" i="45"/>
  <c r="H16" i="42" s="1"/>
  <c r="G16" i="44"/>
  <c r="E16" i="42" s="1"/>
  <c r="I16" i="44"/>
  <c r="F16" i="42" s="1"/>
  <c r="C25" i="45"/>
  <c r="G25" i="42" s="1"/>
  <c r="C16" i="45"/>
  <c r="G16" i="42" s="1"/>
  <c r="C25" i="44"/>
  <c r="C25" i="42" s="1"/>
  <c r="C50" i="45"/>
  <c r="G50" i="42" s="1"/>
  <c r="E42" i="44"/>
  <c r="D42" i="42" s="1"/>
  <c r="G42" i="45"/>
  <c r="I42" i="44"/>
  <c r="F42" i="42" s="1"/>
  <c r="I42" i="43"/>
  <c r="B42" i="42" s="1"/>
  <c r="D42" i="38658"/>
  <c r="I42" i="38658" s="1"/>
  <c r="F48" i="45"/>
  <c r="I46" i="45"/>
  <c r="J48" i="11"/>
  <c r="D48" i="38656"/>
  <c r="D29" i="38658"/>
  <c r="I29" i="38658" s="1"/>
  <c r="F32" i="19"/>
  <c r="G43" i="18"/>
  <c r="K43" i="38667"/>
  <c r="F33" i="19"/>
  <c r="G27" i="18"/>
  <c r="K27" i="38667"/>
  <c r="J48" i="9"/>
  <c r="C39" i="44"/>
  <c r="C39" i="42" s="1"/>
  <c r="E39" i="44"/>
  <c r="D39" i="42" s="1"/>
  <c r="I39" i="43"/>
  <c r="B39" i="42" s="1"/>
  <c r="C39" i="45"/>
  <c r="G39" i="42" s="1"/>
  <c r="I39" i="44"/>
  <c r="F39" i="42" s="1"/>
  <c r="I36" i="45"/>
  <c r="G36" i="45" s="1"/>
  <c r="D32" i="20"/>
  <c r="D50" i="38656"/>
  <c r="D39" i="20"/>
  <c r="C24" i="41"/>
  <c r="D24" i="41"/>
  <c r="C39" i="41"/>
  <c r="D39" i="41"/>
  <c r="D14" i="20"/>
  <c r="D16" i="39"/>
  <c r="F16" i="39"/>
  <c r="H16" i="39"/>
  <c r="K40" i="38667"/>
  <c r="G40" i="18"/>
  <c r="C38" i="41"/>
  <c r="D38" i="41"/>
  <c r="D24" i="20"/>
  <c r="F44" i="38659"/>
  <c r="I44" i="38658"/>
  <c r="B48" i="39"/>
  <c r="F11" i="39"/>
  <c r="H11" i="39"/>
  <c r="D11" i="39"/>
  <c r="E16" i="5"/>
  <c r="H26" i="39"/>
  <c r="D26" i="39"/>
  <c r="F26" i="39"/>
  <c r="D45" i="38655"/>
  <c r="G45" i="19"/>
  <c r="F25" i="19"/>
  <c r="E14" i="5"/>
  <c r="D32" i="18"/>
  <c r="J32" i="38667"/>
  <c r="K23" i="38667"/>
  <c r="G23" i="18"/>
  <c r="I33" i="45"/>
  <c r="G33" i="45" s="1"/>
  <c r="D31" i="41"/>
  <c r="C31" i="41"/>
  <c r="D19" i="18"/>
  <c r="J19" i="38667"/>
  <c r="D16" i="27"/>
  <c r="D16" i="76" s="1"/>
  <c r="B16" i="76"/>
  <c r="D23" i="41"/>
  <c r="C23" i="41"/>
  <c r="D25" i="38655"/>
  <c r="G25" i="19"/>
  <c r="B48" i="19"/>
  <c r="F12" i="19"/>
  <c r="H41" i="39"/>
  <c r="D41" i="39"/>
  <c r="F41" i="39"/>
  <c r="F31" i="19"/>
  <c r="G41" i="18"/>
  <c r="K41" i="38667"/>
  <c r="G19" i="20"/>
  <c r="D16" i="20"/>
  <c r="D40" i="41"/>
  <c r="C40" i="41"/>
  <c r="J26" i="38667"/>
  <c r="D26" i="18"/>
  <c r="G37" i="18"/>
  <c r="K37" i="38667"/>
  <c r="D22" i="20"/>
  <c r="D23" i="39"/>
  <c r="F23" i="39"/>
  <c r="H23" i="39"/>
  <c r="E34" i="5"/>
  <c r="F35" i="19"/>
  <c r="D34" i="38655"/>
  <c r="G34" i="19"/>
  <c r="D48" i="9"/>
  <c r="I38" i="38658"/>
  <c r="F38" i="38659"/>
  <c r="H45" i="39"/>
  <c r="D45" i="39"/>
  <c r="F45" i="39"/>
  <c r="F13" i="39"/>
  <c r="H13" i="39"/>
  <c r="D13" i="39"/>
  <c r="E17" i="5"/>
  <c r="D14" i="41"/>
  <c r="C14" i="41"/>
  <c r="E42" i="5"/>
  <c r="E31" i="5"/>
  <c r="E18" i="5"/>
  <c r="D39" i="38655"/>
  <c r="G39" i="19"/>
  <c r="D28" i="38655"/>
  <c r="G28" i="19"/>
  <c r="D20" i="38655"/>
  <c r="G20" i="19"/>
  <c r="G25" i="20"/>
  <c r="E38" i="5"/>
  <c r="D35" i="41"/>
  <c r="C35" i="41"/>
  <c r="G22" i="20"/>
  <c r="D15" i="18"/>
  <c r="J15" i="38667"/>
  <c r="J23" i="38655"/>
  <c r="J34" i="11"/>
  <c r="D17" i="41"/>
  <c r="C17" i="41"/>
  <c r="G17" i="20"/>
  <c r="D50" i="20"/>
  <c r="D17" i="20"/>
  <c r="D26" i="41"/>
  <c r="C26" i="41"/>
  <c r="F51" i="19"/>
  <c r="G24" i="20"/>
  <c r="E51" i="5"/>
  <c r="D28" i="20"/>
  <c r="D17" i="38655"/>
  <c r="G17" i="19"/>
  <c r="G28" i="20"/>
  <c r="D27" i="18"/>
  <c r="J27" i="38667"/>
  <c r="I51" i="19"/>
  <c r="D12" i="39"/>
  <c r="F12" i="39"/>
  <c r="H12" i="39"/>
  <c r="D12" i="38655"/>
  <c r="G12" i="19"/>
  <c r="G45" i="18"/>
  <c r="K45" i="38667"/>
  <c r="D24" i="39"/>
  <c r="F24" i="39"/>
  <c r="H24" i="39"/>
  <c r="D37" i="38655"/>
  <c r="G37" i="19"/>
  <c r="F38" i="19"/>
  <c r="D48" i="26"/>
  <c r="E45" i="5"/>
  <c r="D25" i="18"/>
  <c r="J25" i="38667"/>
  <c r="F24" i="19"/>
  <c r="D38" i="20"/>
  <c r="J38" i="11"/>
  <c r="D46" i="39"/>
  <c r="F46" i="39"/>
  <c r="H46" i="39"/>
  <c r="G15" i="19"/>
  <c r="D15" i="38655"/>
  <c r="D15" i="20"/>
  <c r="C50" i="41"/>
  <c r="D50" i="41"/>
  <c r="G23" i="20"/>
  <c r="G44" i="18"/>
  <c r="K44" i="38667"/>
  <c r="K20" i="38667"/>
  <c r="G20" i="18"/>
  <c r="E24" i="5"/>
  <c r="D26" i="38655"/>
  <c r="G26" i="19"/>
  <c r="D18" i="38655"/>
  <c r="G18" i="19"/>
  <c r="F34" i="19"/>
  <c r="G42" i="18"/>
  <c r="K42" i="38667"/>
  <c r="G17" i="18"/>
  <c r="K17" i="38667"/>
  <c r="K13" i="38667"/>
  <c r="G13" i="18"/>
  <c r="D51" i="18"/>
  <c r="I38" i="43"/>
  <c r="B38" i="42" s="1"/>
  <c r="I38" i="44"/>
  <c r="F38" i="42" s="1"/>
  <c r="E38" i="44"/>
  <c r="D38" i="42" s="1"/>
  <c r="C38" i="44"/>
  <c r="C38" i="42" s="1"/>
  <c r="C38" i="45"/>
  <c r="G38" i="42" s="1"/>
  <c r="D48" i="10"/>
  <c r="C43" i="41"/>
  <c r="D43" i="41"/>
  <c r="I44" i="43"/>
  <c r="B44" i="42" s="1"/>
  <c r="E44" i="44"/>
  <c r="D44" i="42" s="1"/>
  <c r="I44" i="44"/>
  <c r="F44" i="42" s="1"/>
  <c r="C44" i="44"/>
  <c r="C44" i="42" s="1"/>
  <c r="F32" i="39"/>
  <c r="H32" i="39"/>
  <c r="D32" i="39"/>
  <c r="D37" i="38658"/>
  <c r="D21" i="38658"/>
  <c r="E26" i="18"/>
  <c r="D46" i="38658"/>
  <c r="D35" i="38658"/>
  <c r="D16" i="7"/>
  <c r="G16" i="8"/>
  <c r="I40" i="43"/>
  <c r="B40" i="42" s="1"/>
  <c r="D19" i="38656"/>
  <c r="D27" i="38656"/>
  <c r="D42" i="20"/>
  <c r="D32" i="41"/>
  <c r="C32" i="41"/>
  <c r="D37" i="18"/>
  <c r="J37" i="38667"/>
  <c r="D38" i="38656"/>
  <c r="D40" i="27"/>
  <c r="D40" i="76" s="1"/>
  <c r="B40" i="76"/>
  <c r="J26" i="11"/>
  <c r="D18" i="20"/>
  <c r="G41" i="20"/>
  <c r="C42" i="41"/>
  <c r="D42" i="41"/>
  <c r="F37" i="19"/>
  <c r="E21" i="5"/>
  <c r="G13" i="19"/>
  <c r="D13" i="38655"/>
  <c r="D38" i="38655"/>
  <c r="G38" i="19"/>
  <c r="I47" i="38658"/>
  <c r="F47" i="38659"/>
  <c r="F17" i="19"/>
  <c r="G31" i="18"/>
  <c r="K31" i="38667"/>
  <c r="I51" i="45"/>
  <c r="G51" i="45" s="1"/>
  <c r="I13" i="45"/>
  <c r="G13" i="45" s="1"/>
  <c r="C11" i="5"/>
  <c r="C48" i="5" s="1"/>
  <c r="K48" i="3188"/>
  <c r="F48" i="78"/>
  <c r="B11" i="43"/>
  <c r="E48" i="20"/>
  <c r="G11" i="20"/>
  <c r="F45" i="19"/>
  <c r="G33" i="20"/>
  <c r="D37" i="20"/>
  <c r="D35" i="38655"/>
  <c r="G35" i="19"/>
  <c r="G35" i="18"/>
  <c r="K35" i="38667"/>
  <c r="J42" i="38667"/>
  <c r="D42" i="18"/>
  <c r="G19" i="19"/>
  <c r="D19" i="38655"/>
  <c r="D19" i="20"/>
  <c r="D40" i="20"/>
  <c r="G40" i="20"/>
  <c r="D50" i="18"/>
  <c r="F44" i="19"/>
  <c r="D22" i="18"/>
  <c r="J22" i="38667"/>
  <c r="J11" i="38667"/>
  <c r="D11" i="18"/>
  <c r="G36" i="19"/>
  <c r="D36" i="38655"/>
  <c r="D19" i="39"/>
  <c r="F19" i="39"/>
  <c r="H19" i="39"/>
  <c r="F26" i="38659"/>
  <c r="I26" i="38658"/>
  <c r="I18" i="38658"/>
  <c r="F18" i="38659"/>
  <c r="F27" i="19"/>
  <c r="E27" i="5"/>
  <c r="D40" i="18"/>
  <c r="J40" i="38667"/>
  <c r="D31" i="38656"/>
  <c r="D23" i="27"/>
  <c r="D23" i="76" s="1"/>
  <c r="B23" i="76"/>
  <c r="D18" i="38656"/>
  <c r="F17" i="39"/>
  <c r="H17" i="39"/>
  <c r="D17" i="39"/>
  <c r="G46" i="20"/>
  <c r="G32" i="20"/>
  <c r="G16" i="20"/>
  <c r="C45" i="41"/>
  <c r="D45" i="41"/>
  <c r="E44" i="5"/>
  <c r="F18" i="19"/>
  <c r="D13" i="38658"/>
  <c r="E32" i="5"/>
  <c r="K28" i="38667"/>
  <c r="G28" i="18"/>
  <c r="G44" i="19"/>
  <c r="D44" i="38655"/>
  <c r="I39" i="38658"/>
  <c r="F39" i="38659"/>
  <c r="F45" i="38659"/>
  <c r="I45" i="38658"/>
  <c r="G12" i="18"/>
  <c r="K12" i="38667"/>
  <c r="G34" i="20"/>
  <c r="D45" i="20"/>
  <c r="D34" i="18"/>
  <c r="J34" i="38667"/>
  <c r="J27" i="11"/>
  <c r="J16" i="38655"/>
  <c r="D27" i="27"/>
  <c r="D27" i="76" s="1"/>
  <c r="B27" i="76"/>
  <c r="D19" i="41"/>
  <c r="C19" i="41"/>
  <c r="J43" i="38667"/>
  <c r="D43" i="18"/>
  <c r="G36" i="20"/>
  <c r="G44" i="20"/>
  <c r="D26" i="20"/>
  <c r="F28" i="19"/>
  <c r="D33" i="18"/>
  <c r="J33" i="38667"/>
  <c r="F41" i="19"/>
  <c r="D31" i="39"/>
  <c r="F31" i="39"/>
  <c r="H31" i="39"/>
  <c r="E46" i="5"/>
  <c r="E15" i="5"/>
  <c r="E35" i="5"/>
  <c r="E12" i="5"/>
  <c r="J25" i="11"/>
  <c r="D43" i="20"/>
  <c r="G19" i="18"/>
  <c r="K19" i="38667"/>
  <c r="J13" i="38667"/>
  <c r="D13" i="18"/>
  <c r="K14" i="38667"/>
  <c r="G14" i="18"/>
  <c r="D44" i="18"/>
  <c r="J44" i="38667"/>
  <c r="F43" i="19"/>
  <c r="K15" i="38667"/>
  <c r="G15" i="18"/>
  <c r="D27" i="38658"/>
  <c r="D36" i="38658"/>
  <c r="D19" i="38658"/>
  <c r="D16" i="19"/>
  <c r="D28" i="38658"/>
  <c r="D23" i="19"/>
  <c r="B18" i="18"/>
  <c r="B45" i="18"/>
  <c r="D45" i="8"/>
  <c r="C22" i="41"/>
  <c r="D22" i="41"/>
  <c r="D32" i="27"/>
  <c r="D32" i="76" s="1"/>
  <c r="B32" i="76"/>
  <c r="D38" i="39"/>
  <c r="F38" i="39"/>
  <c r="H38" i="39"/>
  <c r="C27" i="41"/>
  <c r="D27" i="41"/>
  <c r="D21" i="38655"/>
  <c r="G21" i="19"/>
  <c r="G34" i="18"/>
  <c r="K34" i="38667"/>
  <c r="F42" i="19"/>
  <c r="D44" i="20"/>
  <c r="D46" i="18"/>
  <c r="J46" i="38667"/>
  <c r="D44" i="38656"/>
  <c r="J18" i="38655"/>
  <c r="C46" i="41"/>
  <c r="D46" i="41"/>
  <c r="H18" i="39"/>
  <c r="D18" i="39"/>
  <c r="F18" i="39"/>
  <c r="E19" i="5"/>
  <c r="D24" i="18"/>
  <c r="J24" i="38667"/>
  <c r="D12" i="18"/>
  <c r="J12" i="38667"/>
  <c r="G24" i="18"/>
  <c r="K24" i="38667"/>
  <c r="D40" i="38655"/>
  <c r="G40" i="19"/>
  <c r="F15" i="38659"/>
  <c r="I15" i="38658"/>
  <c r="I40" i="38658"/>
  <c r="F40" i="38659"/>
  <c r="E33" i="5"/>
  <c r="D28" i="39"/>
  <c r="F28" i="39"/>
  <c r="H28" i="39"/>
  <c r="F25" i="39"/>
  <c r="H25" i="39"/>
  <c r="D25" i="39"/>
  <c r="G48" i="38655"/>
  <c r="F36" i="19"/>
  <c r="E37" i="5"/>
  <c r="E43" i="5"/>
  <c r="I26" i="45"/>
  <c r="G26" i="45" s="1"/>
  <c r="I20" i="45"/>
  <c r="D42" i="38656"/>
  <c r="D45" i="27"/>
  <c r="D45" i="76" s="1"/>
  <c r="B45" i="76"/>
  <c r="G42" i="20"/>
  <c r="G15" i="20"/>
  <c r="D14" i="18"/>
  <c r="J14" i="38667"/>
  <c r="D20" i="20"/>
  <c r="D35" i="18"/>
  <c r="J35" i="38667"/>
  <c r="J48" i="26"/>
  <c r="I34" i="38658"/>
  <c r="F34" i="38659"/>
  <c r="D39" i="39"/>
  <c r="F39" i="39"/>
  <c r="H39" i="39"/>
  <c r="I25" i="38658"/>
  <c r="F25" i="38659"/>
  <c r="D41" i="38655"/>
  <c r="G41" i="19"/>
  <c r="E36" i="5"/>
  <c r="E26" i="5"/>
  <c r="D24" i="38655"/>
  <c r="G24" i="19"/>
  <c r="D16" i="38655"/>
  <c r="G16" i="19"/>
  <c r="F21" i="19"/>
  <c r="G50" i="20"/>
  <c r="D17" i="38656"/>
  <c r="G31" i="20"/>
  <c r="D31" i="20"/>
  <c r="G18" i="20"/>
  <c r="E13" i="5"/>
  <c r="D15" i="39"/>
  <c r="F15" i="39"/>
  <c r="H15" i="39"/>
  <c r="J11" i="38655"/>
  <c r="G48" i="38656"/>
  <c r="G48" i="11"/>
  <c r="D12" i="20"/>
  <c r="G11" i="19"/>
  <c r="D11" i="38655"/>
  <c r="D27" i="38655"/>
  <c r="G27" i="19"/>
  <c r="F48" i="41"/>
  <c r="G48" i="41" s="1"/>
  <c r="G11" i="41"/>
  <c r="F40" i="39"/>
  <c r="H40" i="39"/>
  <c r="D40" i="39"/>
  <c r="C11" i="41"/>
  <c r="D11" i="41"/>
  <c r="B48" i="41"/>
  <c r="H22" i="39"/>
  <c r="D22" i="39"/>
  <c r="F22" i="39"/>
  <c r="H14" i="39"/>
  <c r="D14" i="39"/>
  <c r="F14" i="39"/>
  <c r="D46" i="38655"/>
  <c r="G46" i="19"/>
  <c r="F11" i="19"/>
  <c r="E40" i="5"/>
  <c r="D43" i="38655"/>
  <c r="G43" i="19"/>
  <c r="G43" i="20"/>
  <c r="I34" i="45"/>
  <c r="G34" i="45" s="1"/>
  <c r="J30" i="38667"/>
  <c r="D30" i="18"/>
  <c r="I21" i="45"/>
  <c r="G21" i="45" s="1"/>
  <c r="E25" i="5"/>
  <c r="C18" i="41"/>
  <c r="D18" i="41"/>
  <c r="G21" i="20"/>
  <c r="D25" i="20"/>
  <c r="G36" i="18"/>
  <c r="K36" i="38667"/>
  <c r="D23" i="20"/>
  <c r="D27" i="20"/>
  <c r="D13" i="41"/>
  <c r="C13" i="41"/>
  <c r="C41" i="41"/>
  <c r="D41" i="41"/>
  <c r="F39" i="19"/>
  <c r="E23" i="5"/>
  <c r="D42" i="39"/>
  <c r="F42" i="39"/>
  <c r="H42" i="39"/>
  <c r="E28" i="5"/>
  <c r="H37" i="39"/>
  <c r="D37" i="39"/>
  <c r="F37" i="39"/>
  <c r="G22" i="19"/>
  <c r="D22" i="38655"/>
  <c r="D14" i="38655"/>
  <c r="G14" i="19"/>
  <c r="F15" i="19"/>
  <c r="K18" i="38667"/>
  <c r="G18" i="18"/>
  <c r="D41" i="18"/>
  <c r="J41" i="38667"/>
  <c r="D20" i="18"/>
  <c r="J20" i="38667"/>
  <c r="D52" i="38658"/>
  <c r="G39" i="45"/>
  <c r="B16" i="18"/>
  <c r="B17" i="18"/>
  <c r="D40" i="19"/>
  <c r="E38" i="18"/>
  <c r="D33" i="38658"/>
  <c r="L30" i="38667"/>
  <c r="I30" i="19"/>
  <c r="J34" i="38655"/>
  <c r="G46" i="18"/>
  <c r="K46" i="38667"/>
  <c r="D22" i="38656"/>
  <c r="J15" i="38655"/>
  <c r="D33" i="27"/>
  <c r="D33" i="76" s="1"/>
  <c r="B33" i="76"/>
  <c r="D46" i="27"/>
  <c r="D46" i="76" s="1"/>
  <c r="B46" i="76"/>
  <c r="F23" i="38659"/>
  <c r="I23" i="38658"/>
  <c r="K25" i="38667"/>
  <c r="G25" i="18"/>
  <c r="G37" i="20"/>
  <c r="D36" i="20"/>
  <c r="G26" i="20"/>
  <c r="G20" i="20"/>
  <c r="F14" i="19"/>
  <c r="F22" i="19"/>
  <c r="G33" i="18"/>
  <c r="K33" i="38667"/>
  <c r="H48" i="18"/>
  <c r="E11" i="5"/>
  <c r="F50" i="19"/>
  <c r="G42" i="19"/>
  <c r="D42" i="38655"/>
  <c r="D34" i="39"/>
  <c r="F34" i="39"/>
  <c r="H34" i="39"/>
  <c r="D50" i="38655"/>
  <c r="G50" i="19"/>
  <c r="D36" i="18"/>
  <c r="J36" i="38667"/>
  <c r="I15" i="45"/>
  <c r="G15" i="45" s="1"/>
  <c r="I31" i="45"/>
  <c r="G31" i="45" s="1"/>
  <c r="I12" i="45"/>
  <c r="G12" i="45" s="1"/>
  <c r="J21" i="38655"/>
  <c r="D51" i="20"/>
  <c r="G14" i="20"/>
  <c r="D28" i="18"/>
  <c r="J28" i="38667"/>
  <c r="D36" i="27"/>
  <c r="D36" i="76" s="1"/>
  <c r="B36" i="76"/>
  <c r="K22" i="38667"/>
  <c r="G22" i="18"/>
  <c r="D37" i="27"/>
  <c r="D37" i="76" s="1"/>
  <c r="B37" i="76"/>
  <c r="D20" i="41"/>
  <c r="C20" i="41"/>
  <c r="D35" i="20"/>
  <c r="F26" i="19"/>
  <c r="G51" i="18"/>
  <c r="G39" i="20"/>
  <c r="F21" i="39"/>
  <c r="H21" i="39"/>
  <c r="D21" i="39"/>
  <c r="F44" i="39"/>
  <c r="H44" i="39"/>
  <c r="D44" i="39"/>
  <c r="F20" i="19"/>
  <c r="G32" i="18"/>
  <c r="K32" i="38667"/>
  <c r="B48" i="40"/>
  <c r="D48" i="40" s="1"/>
  <c r="D11" i="40"/>
  <c r="D32" i="38655"/>
  <c r="G32" i="19"/>
  <c r="G23" i="19"/>
  <c r="D23" i="38655"/>
  <c r="D20" i="39"/>
  <c r="F20" i="39"/>
  <c r="H20" i="39"/>
  <c r="I41" i="38658"/>
  <c r="F41" i="38659"/>
  <c r="I30" i="38658"/>
  <c r="F30" i="38659"/>
  <c r="I22" i="38658"/>
  <c r="F22" i="38659"/>
  <c r="E39" i="5"/>
  <c r="D38" i="18"/>
  <c r="J38" i="38667"/>
  <c r="K21" i="38667"/>
  <c r="G21" i="18"/>
  <c r="J32" i="38655"/>
  <c r="J36" i="38655"/>
  <c r="D13" i="38656"/>
  <c r="B20" i="76"/>
  <c r="D20" i="27"/>
  <c r="D20" i="76" s="1"/>
  <c r="D37" i="38656"/>
  <c r="J43" i="11"/>
  <c r="G50" i="18"/>
  <c r="J21" i="38667"/>
  <c r="D21" i="18"/>
  <c r="G51" i="20"/>
  <c r="C12" i="41"/>
  <c r="D12" i="41"/>
  <c r="D21" i="20"/>
  <c r="F36" i="39"/>
  <c r="H36" i="39"/>
  <c r="D36" i="39"/>
  <c r="G48" i="26"/>
  <c r="H33" i="39"/>
  <c r="D33" i="39"/>
  <c r="F33" i="39"/>
  <c r="D11" i="20"/>
  <c r="B48" i="20"/>
  <c r="E22" i="5"/>
  <c r="F13" i="19"/>
  <c r="G39" i="18"/>
  <c r="K39" i="38667"/>
  <c r="D23" i="18"/>
  <c r="J23" i="38667"/>
  <c r="I28" i="45"/>
  <c r="C36" i="41"/>
  <c r="D36" i="41"/>
  <c r="D35" i="38656"/>
  <c r="D46" i="38656"/>
  <c r="F19" i="19"/>
  <c r="D33" i="20"/>
  <c r="D34" i="20"/>
  <c r="D13" i="20"/>
  <c r="D31" i="18"/>
  <c r="J31" i="38667"/>
  <c r="D39" i="18"/>
  <c r="J39" i="38667"/>
  <c r="D41" i="20"/>
  <c r="G12" i="20"/>
  <c r="G45" i="20"/>
  <c r="G38" i="20"/>
  <c r="E50" i="5"/>
  <c r="D35" i="39"/>
  <c r="F35" i="39"/>
  <c r="H35" i="39"/>
  <c r="D33" i="38655"/>
  <c r="G33" i="19"/>
  <c r="G13" i="20"/>
  <c r="D31" i="38655"/>
  <c r="G31" i="19"/>
  <c r="E41" i="5"/>
  <c r="E20" i="5"/>
  <c r="G16" i="18"/>
  <c r="K16" i="38667"/>
  <c r="D43" i="39"/>
  <c r="F43" i="39"/>
  <c r="H43" i="39"/>
  <c r="E24" i="44"/>
  <c r="D24" i="42" s="1"/>
  <c r="C24" i="44"/>
  <c r="C24" i="42" s="1"/>
  <c r="I24" i="43"/>
  <c r="B24" i="42" s="1"/>
  <c r="I24" i="44"/>
  <c r="F24" i="42" s="1"/>
  <c r="C24" i="45"/>
  <c r="G24" i="42" s="1"/>
  <c r="G11" i="18"/>
  <c r="K11" i="38667"/>
  <c r="C35" i="44"/>
  <c r="C35" i="42" s="1"/>
  <c r="G48" i="10"/>
  <c r="D48" i="11"/>
  <c r="E39" i="45"/>
  <c r="H39" i="42" s="1"/>
  <c r="D43" i="38658"/>
  <c r="G39" i="44"/>
  <c r="E39" i="42" s="1"/>
  <c r="E40" i="45"/>
  <c r="H40" i="42" s="1"/>
  <c r="D46" i="19"/>
  <c r="D14" i="38658"/>
  <c r="D48" i="38658"/>
  <c r="I22" i="45"/>
  <c r="D17" i="38658"/>
  <c r="D24" i="38658"/>
  <c r="C35" i="45" l="1"/>
  <c r="G35" i="42" s="1"/>
  <c r="C14" i="44"/>
  <c r="C14" i="42" s="1"/>
  <c r="M30" i="38667"/>
  <c r="G23" i="44"/>
  <c r="E23" i="42" s="1"/>
  <c r="C14" i="45"/>
  <c r="G14" i="42" s="1"/>
  <c r="I19" i="44"/>
  <c r="F19" i="42" s="1"/>
  <c r="E40" i="44"/>
  <c r="D40" i="42" s="1"/>
  <c r="C40" i="44"/>
  <c r="C40" i="42" s="1"/>
  <c r="E35" i="44"/>
  <c r="D35" i="42" s="1"/>
  <c r="I14" i="44"/>
  <c r="F14" i="42" s="1"/>
  <c r="I35" i="44"/>
  <c r="F35" i="42" s="1"/>
  <c r="I35" i="43"/>
  <c r="B35" i="42" s="1"/>
  <c r="I14" i="43"/>
  <c r="B14" i="42" s="1"/>
  <c r="E14" i="44"/>
  <c r="D14" i="42" s="1"/>
  <c r="G40" i="44"/>
  <c r="E40" i="42" s="1"/>
  <c r="C40" i="45"/>
  <c r="G40" i="42" s="1"/>
  <c r="G23" i="45"/>
  <c r="E45" i="44"/>
  <c r="D45" i="42" s="1"/>
  <c r="I40" i="44"/>
  <c r="F40" i="42" s="1"/>
  <c r="I37" i="43"/>
  <c r="B37" i="42" s="1"/>
  <c r="C45" i="44"/>
  <c r="C45" i="42" s="1"/>
  <c r="G45" i="45"/>
  <c r="I45" i="44"/>
  <c r="F45" i="42" s="1"/>
  <c r="C19" i="45"/>
  <c r="G19" i="42" s="1"/>
  <c r="E45" i="45"/>
  <c r="H45" i="42" s="1"/>
  <c r="C45" i="45"/>
  <c r="G45" i="42" s="1"/>
  <c r="I45" i="43"/>
  <c r="B45" i="42" s="1"/>
  <c r="E23" i="44"/>
  <c r="D23" i="42" s="1"/>
  <c r="C23" i="44"/>
  <c r="C23" i="42" s="1"/>
  <c r="I23" i="43"/>
  <c r="B23" i="42" s="1"/>
  <c r="E23" i="45"/>
  <c r="H23" i="42" s="1"/>
  <c r="C23" i="45"/>
  <c r="G23" i="42" s="1"/>
  <c r="E35" i="45"/>
  <c r="H35" i="42" s="1"/>
  <c r="G35" i="44"/>
  <c r="E35" i="42" s="1"/>
  <c r="I37" i="44"/>
  <c r="F37" i="42" s="1"/>
  <c r="E19" i="44"/>
  <c r="D19" i="42" s="1"/>
  <c r="G37" i="45"/>
  <c r="E37" i="45"/>
  <c r="H37" i="42" s="1"/>
  <c r="G19" i="44"/>
  <c r="E19" i="42" s="1"/>
  <c r="E48" i="18"/>
  <c r="G48" i="18" s="1"/>
  <c r="E37" i="44"/>
  <c r="D37" i="42" s="1"/>
  <c r="F29" i="38659"/>
  <c r="C19" i="44"/>
  <c r="C19" i="42" s="1"/>
  <c r="G19" i="45"/>
  <c r="C37" i="44"/>
  <c r="C37" i="42" s="1"/>
  <c r="C37" i="45"/>
  <c r="G37" i="42" s="1"/>
  <c r="I19" i="43"/>
  <c r="B19" i="42" s="1"/>
  <c r="J18" i="42"/>
  <c r="E32" i="44"/>
  <c r="D32" i="42" s="1"/>
  <c r="E32" i="45"/>
  <c r="H32" i="42" s="1"/>
  <c r="C32" i="45"/>
  <c r="G32" i="42" s="1"/>
  <c r="I32" i="43"/>
  <c r="B32" i="42" s="1"/>
  <c r="G32" i="45"/>
  <c r="G32" i="44"/>
  <c r="E32" i="42" s="1"/>
  <c r="I32" i="44"/>
  <c r="F32" i="42" s="1"/>
  <c r="C43" i="44"/>
  <c r="C43" i="42" s="1"/>
  <c r="G43" i="45"/>
  <c r="E43" i="44"/>
  <c r="D43" i="42" s="1"/>
  <c r="E43" i="45"/>
  <c r="H43" i="42" s="1"/>
  <c r="G43" i="44"/>
  <c r="E43" i="42" s="1"/>
  <c r="I43" i="44"/>
  <c r="F43" i="42" s="1"/>
  <c r="C43" i="45"/>
  <c r="G43" i="42" s="1"/>
  <c r="I43" i="43"/>
  <c r="B43" i="42" s="1"/>
  <c r="E17" i="44"/>
  <c r="D17" i="42" s="1"/>
  <c r="E17" i="45"/>
  <c r="H17" i="42" s="1"/>
  <c r="G17" i="44"/>
  <c r="E17" i="42" s="1"/>
  <c r="I17" i="44"/>
  <c r="F17" i="42" s="1"/>
  <c r="G17" i="45"/>
  <c r="C17" i="44"/>
  <c r="C17" i="42" s="1"/>
  <c r="C17" i="45"/>
  <c r="G17" i="42" s="1"/>
  <c r="I17" i="43"/>
  <c r="B17" i="42" s="1"/>
  <c r="G14" i="44"/>
  <c r="E14" i="42" s="1"/>
  <c r="I27" i="44"/>
  <c r="F27" i="42" s="1"/>
  <c r="G27" i="44"/>
  <c r="E27" i="42" s="1"/>
  <c r="G27" i="45"/>
  <c r="E27" i="44"/>
  <c r="D27" i="42" s="1"/>
  <c r="E27" i="45"/>
  <c r="H27" i="42" s="1"/>
  <c r="C27" i="44"/>
  <c r="C27" i="42" s="1"/>
  <c r="C27" i="45"/>
  <c r="G27" i="42" s="1"/>
  <c r="E14" i="45"/>
  <c r="H14" i="42" s="1"/>
  <c r="J42" i="42"/>
  <c r="J25" i="42"/>
  <c r="J50" i="42"/>
  <c r="J41" i="42"/>
  <c r="J16" i="42"/>
  <c r="G46" i="44"/>
  <c r="E46" i="42" s="1"/>
  <c r="C46" i="44"/>
  <c r="C46" i="42" s="1"/>
  <c r="E46" i="45"/>
  <c r="H46" i="42" s="1"/>
  <c r="I46" i="44"/>
  <c r="F46" i="42" s="1"/>
  <c r="G46" i="45"/>
  <c r="E46" i="44"/>
  <c r="D46" i="42" s="1"/>
  <c r="C46" i="45"/>
  <c r="G46" i="42" s="1"/>
  <c r="F42" i="38659"/>
  <c r="I46" i="43"/>
  <c r="B46" i="42" s="1"/>
  <c r="I22" i="43"/>
  <c r="B22" i="42" s="1"/>
  <c r="I22" i="44"/>
  <c r="F22" i="42" s="1"/>
  <c r="C22" i="44"/>
  <c r="C22" i="42" s="1"/>
  <c r="C22" i="45"/>
  <c r="G22" i="42" s="1"/>
  <c r="E22" i="44"/>
  <c r="D22" i="42" s="1"/>
  <c r="E22" i="45"/>
  <c r="H22" i="42" s="1"/>
  <c r="G22" i="44"/>
  <c r="E22" i="42" s="1"/>
  <c r="I28" i="44"/>
  <c r="F28" i="42" s="1"/>
  <c r="C28" i="44"/>
  <c r="C28" i="42" s="1"/>
  <c r="E28" i="44"/>
  <c r="D28" i="42" s="1"/>
  <c r="I28" i="43"/>
  <c r="B28" i="42" s="1"/>
  <c r="C28" i="45"/>
  <c r="G28" i="42" s="1"/>
  <c r="E28" i="45"/>
  <c r="H28" i="42" s="1"/>
  <c r="G28" i="44"/>
  <c r="E28" i="42" s="1"/>
  <c r="I32" i="19"/>
  <c r="L32" i="38667"/>
  <c r="M32" i="38667" s="1"/>
  <c r="I42" i="19"/>
  <c r="L42" i="38667"/>
  <c r="M42" i="38667" s="1"/>
  <c r="G38" i="18"/>
  <c r="K38" i="38667"/>
  <c r="D48" i="8"/>
  <c r="L43" i="38667"/>
  <c r="M43" i="38667" s="1"/>
  <c r="I43" i="19"/>
  <c r="I46" i="19"/>
  <c r="L46" i="38667"/>
  <c r="M46" i="38667" s="1"/>
  <c r="C48" i="41"/>
  <c r="D48" i="41"/>
  <c r="L41" i="38667"/>
  <c r="M41" i="38667" s="1"/>
  <c r="I41" i="19"/>
  <c r="I20" i="43"/>
  <c r="B20" i="42" s="1"/>
  <c r="C20" i="44"/>
  <c r="C20" i="42" s="1"/>
  <c r="E20" i="44"/>
  <c r="D20" i="42" s="1"/>
  <c r="I20" i="44"/>
  <c r="F20" i="42" s="1"/>
  <c r="C20" i="45"/>
  <c r="G20" i="42" s="1"/>
  <c r="G20" i="44"/>
  <c r="E20" i="42" s="1"/>
  <c r="E20" i="45"/>
  <c r="H20" i="42" s="1"/>
  <c r="F16" i="19"/>
  <c r="F27" i="38659"/>
  <c r="I27" i="38658"/>
  <c r="G48" i="9"/>
  <c r="I13" i="38658"/>
  <c r="D50" i="38658"/>
  <c r="I50" i="38658" s="1"/>
  <c r="F13" i="38659"/>
  <c r="F11" i="43"/>
  <c r="B48" i="43"/>
  <c r="I38" i="19"/>
  <c r="L38" i="38667"/>
  <c r="I13" i="19"/>
  <c r="L13" i="38667"/>
  <c r="M13" i="38667" s="1"/>
  <c r="F46" i="38659"/>
  <c r="I46" i="38658"/>
  <c r="L12" i="38667"/>
  <c r="M12" i="38667" s="1"/>
  <c r="I12" i="19"/>
  <c r="I28" i="19"/>
  <c r="L28" i="38667"/>
  <c r="M28" i="38667" s="1"/>
  <c r="H52" i="22"/>
  <c r="J24" i="42"/>
  <c r="E48" i="5"/>
  <c r="G22" i="45"/>
  <c r="I14" i="38658"/>
  <c r="F14" i="38659"/>
  <c r="G48" i="8"/>
  <c r="I33" i="19"/>
  <c r="L33" i="38667"/>
  <c r="M33" i="38667" s="1"/>
  <c r="C12" i="44"/>
  <c r="C12" i="42" s="1"/>
  <c r="I12" i="43"/>
  <c r="B12" i="42" s="1"/>
  <c r="I12" i="44"/>
  <c r="F12" i="42" s="1"/>
  <c r="C12" i="45"/>
  <c r="G12" i="42" s="1"/>
  <c r="E12" i="44"/>
  <c r="D12" i="42" s="1"/>
  <c r="G12" i="44"/>
  <c r="E12" i="42" s="1"/>
  <c r="E12" i="45"/>
  <c r="H12" i="42" s="1"/>
  <c r="E15" i="44"/>
  <c r="D15" i="42" s="1"/>
  <c r="I15" i="44"/>
  <c r="F15" i="42" s="1"/>
  <c r="C15" i="44"/>
  <c r="C15" i="42" s="1"/>
  <c r="C15" i="45"/>
  <c r="G15" i="42" s="1"/>
  <c r="I15" i="43"/>
  <c r="B15" i="42" s="1"/>
  <c r="G15" i="44"/>
  <c r="E15" i="42" s="1"/>
  <c r="E15" i="45"/>
  <c r="H15" i="42" s="1"/>
  <c r="F33" i="38659"/>
  <c r="I33" i="38658"/>
  <c r="I14" i="19"/>
  <c r="L14" i="38667"/>
  <c r="M14" i="38667" s="1"/>
  <c r="L22" i="38667"/>
  <c r="M22" i="38667" s="1"/>
  <c r="I22" i="19"/>
  <c r="J45" i="38667"/>
  <c r="D45" i="18"/>
  <c r="D18" i="18"/>
  <c r="J18" i="38667"/>
  <c r="I28" i="38658"/>
  <c r="F28" i="38659"/>
  <c r="F19" i="38659"/>
  <c r="I19" i="38658"/>
  <c r="L44" i="38667"/>
  <c r="M44" i="38667" s="1"/>
  <c r="I44" i="19"/>
  <c r="L36" i="38667"/>
  <c r="M36" i="38667" s="1"/>
  <c r="I36" i="19"/>
  <c r="F54" i="23"/>
  <c r="G48" i="20"/>
  <c r="G26" i="18"/>
  <c r="K26" i="38667"/>
  <c r="L15" i="38667"/>
  <c r="M15" i="38667" s="1"/>
  <c r="I15" i="19"/>
  <c r="I37" i="19"/>
  <c r="L37" i="38667"/>
  <c r="M37" i="38667" s="1"/>
  <c r="L39" i="38667"/>
  <c r="M39" i="38667" s="1"/>
  <c r="I39" i="19"/>
  <c r="I45" i="19"/>
  <c r="L45" i="38667"/>
  <c r="J38" i="42"/>
  <c r="F24" i="38659"/>
  <c r="I24" i="38658"/>
  <c r="I17" i="38658"/>
  <c r="F17" i="38659"/>
  <c r="F46" i="19"/>
  <c r="I43" i="38658"/>
  <c r="F43" i="38659"/>
  <c r="I31" i="19"/>
  <c r="L31" i="38667"/>
  <c r="M31" i="38667" s="1"/>
  <c r="L23" i="38667"/>
  <c r="M23" i="38667" s="1"/>
  <c r="I23" i="19"/>
  <c r="I52" i="38658"/>
  <c r="I34" i="44"/>
  <c r="F34" i="42" s="1"/>
  <c r="C34" i="44"/>
  <c r="C34" i="42" s="1"/>
  <c r="E34" i="44"/>
  <c r="D34" i="42" s="1"/>
  <c r="I34" i="43"/>
  <c r="B34" i="42" s="1"/>
  <c r="C34" i="45"/>
  <c r="G34" i="42" s="1"/>
  <c r="G34" i="44"/>
  <c r="E34" i="42" s="1"/>
  <c r="E34" i="45"/>
  <c r="H34" i="42" s="1"/>
  <c r="D48" i="38655"/>
  <c r="J48" i="38655"/>
  <c r="L16" i="38667"/>
  <c r="I16" i="19"/>
  <c r="C26" i="44"/>
  <c r="C26" i="42" s="1"/>
  <c r="E26" i="44"/>
  <c r="D26" i="42" s="1"/>
  <c r="I26" i="44"/>
  <c r="F26" i="42" s="1"/>
  <c r="I26" i="43"/>
  <c r="B26" i="42" s="1"/>
  <c r="C26" i="45"/>
  <c r="G26" i="42" s="1"/>
  <c r="E26" i="45"/>
  <c r="H26" i="42" s="1"/>
  <c r="G26" i="44"/>
  <c r="E26" i="42" s="1"/>
  <c r="L21" i="38667"/>
  <c r="M21" i="38667" s="1"/>
  <c r="I21" i="19"/>
  <c r="F23" i="19"/>
  <c r="E51" i="45"/>
  <c r="H51" i="42" s="1"/>
  <c r="C51" i="44"/>
  <c r="C51" i="42" s="1"/>
  <c r="C51" i="45"/>
  <c r="G51" i="42" s="1"/>
  <c r="I51" i="44"/>
  <c r="F51" i="42" s="1"/>
  <c r="I51" i="43"/>
  <c r="B51" i="42" s="1"/>
  <c r="E51" i="44"/>
  <c r="D51" i="42" s="1"/>
  <c r="G51" i="44"/>
  <c r="E51" i="42" s="1"/>
  <c r="D48" i="27"/>
  <c r="D48" i="76" s="1"/>
  <c r="F37" i="38659"/>
  <c r="I37" i="38658"/>
  <c r="L18" i="38667"/>
  <c r="I18" i="19"/>
  <c r="I34" i="19"/>
  <c r="L34" i="38667"/>
  <c r="M34" i="38667" s="1"/>
  <c r="I25" i="19"/>
  <c r="L25" i="38667"/>
  <c r="M25" i="38667" s="1"/>
  <c r="C33" i="44"/>
  <c r="C33" i="42" s="1"/>
  <c r="I33" i="44"/>
  <c r="F33" i="42" s="1"/>
  <c r="C33" i="45"/>
  <c r="G33" i="42" s="1"/>
  <c r="E33" i="44"/>
  <c r="D33" i="42" s="1"/>
  <c r="I33" i="43"/>
  <c r="B33" i="42" s="1"/>
  <c r="G33" i="44"/>
  <c r="E33" i="42" s="1"/>
  <c r="E33" i="45"/>
  <c r="H33" i="42" s="1"/>
  <c r="E36" i="45"/>
  <c r="H36" i="42" s="1"/>
  <c r="I36" i="43"/>
  <c r="B36" i="42" s="1"/>
  <c r="I36" i="44"/>
  <c r="F36" i="42" s="1"/>
  <c r="C36" i="45"/>
  <c r="G36" i="42" s="1"/>
  <c r="C36" i="44"/>
  <c r="C36" i="42" s="1"/>
  <c r="E36" i="44"/>
  <c r="D36" i="42" s="1"/>
  <c r="G36" i="44"/>
  <c r="E36" i="42" s="1"/>
  <c r="J44" i="42"/>
  <c r="J39" i="42"/>
  <c r="I48" i="38658"/>
  <c r="F48" i="38659"/>
  <c r="D48" i="7"/>
  <c r="D48" i="20"/>
  <c r="D54" i="23"/>
  <c r="G31" i="44"/>
  <c r="E31" i="42" s="1"/>
  <c r="C31" i="44"/>
  <c r="C31" i="42" s="1"/>
  <c r="E31" i="44"/>
  <c r="D31" i="42" s="1"/>
  <c r="I31" i="43"/>
  <c r="B31" i="42" s="1"/>
  <c r="I31" i="44"/>
  <c r="F31" i="42" s="1"/>
  <c r="C31" i="45"/>
  <c r="G31" i="42" s="1"/>
  <c r="E31" i="45"/>
  <c r="H31" i="42" s="1"/>
  <c r="I50" i="19"/>
  <c r="F54" i="22"/>
  <c r="F52" i="22"/>
  <c r="F40" i="19"/>
  <c r="J17" i="38667"/>
  <c r="D17" i="18"/>
  <c r="J16" i="38667"/>
  <c r="D16" i="18"/>
  <c r="I21" i="44"/>
  <c r="F21" i="42" s="1"/>
  <c r="C21" i="45"/>
  <c r="G21" i="42" s="1"/>
  <c r="C21" i="44"/>
  <c r="C21" i="42" s="1"/>
  <c r="E21" i="44"/>
  <c r="D21" i="42" s="1"/>
  <c r="I21" i="43"/>
  <c r="B21" i="42" s="1"/>
  <c r="G21" i="44"/>
  <c r="E21" i="42" s="1"/>
  <c r="E21" i="45"/>
  <c r="H21" i="42" s="1"/>
  <c r="L27" i="38667"/>
  <c r="M27" i="38667" s="1"/>
  <c r="I27" i="19"/>
  <c r="I11" i="19"/>
  <c r="L11" i="38667"/>
  <c r="M11" i="38667" s="1"/>
  <c r="G48" i="19"/>
  <c r="I24" i="19"/>
  <c r="L24" i="38667"/>
  <c r="M24" i="38667" s="1"/>
  <c r="L40" i="38667"/>
  <c r="M40" i="38667" s="1"/>
  <c r="I40" i="19"/>
  <c r="F36" i="38659"/>
  <c r="I36" i="38658"/>
  <c r="L19" i="38667"/>
  <c r="M19" i="38667" s="1"/>
  <c r="I19" i="19"/>
  <c r="L35" i="38667"/>
  <c r="M35" i="38667" s="1"/>
  <c r="I35" i="19"/>
  <c r="C13" i="44"/>
  <c r="C13" i="42" s="1"/>
  <c r="E13" i="44"/>
  <c r="D13" i="42" s="1"/>
  <c r="C13" i="45"/>
  <c r="G13" i="42" s="1"/>
  <c r="I13" i="44"/>
  <c r="F13" i="42" s="1"/>
  <c r="G13" i="44"/>
  <c r="E13" i="42" s="1"/>
  <c r="I13" i="43"/>
  <c r="B13" i="42" s="1"/>
  <c r="E13" i="45"/>
  <c r="H13" i="42" s="1"/>
  <c r="I35" i="38658"/>
  <c r="F35" i="38659"/>
  <c r="F21" i="38659"/>
  <c r="I21" i="38658"/>
  <c r="I26" i="19"/>
  <c r="L26" i="38667"/>
  <c r="I17" i="19"/>
  <c r="L17" i="38667"/>
  <c r="I20" i="19"/>
  <c r="L20" i="38667"/>
  <c r="M20" i="38667" s="1"/>
  <c r="B48" i="76"/>
  <c r="G28" i="45"/>
  <c r="D48" i="19"/>
  <c r="G20" i="45"/>
  <c r="B48" i="18"/>
  <c r="M38" i="38667" l="1"/>
  <c r="I11" i="38658"/>
  <c r="J40" i="42"/>
  <c r="K48" i="38667"/>
  <c r="D52" i="22"/>
  <c r="J45" i="42"/>
  <c r="J35" i="42"/>
  <c r="J23" i="42"/>
  <c r="J37" i="42"/>
  <c r="J19" i="42"/>
  <c r="J32" i="42"/>
  <c r="J27" i="42"/>
  <c r="J14" i="42"/>
  <c r="J17" i="42"/>
  <c r="J43" i="42"/>
  <c r="M26" i="38667"/>
  <c r="J46" i="42"/>
  <c r="M17" i="38667"/>
  <c r="J31" i="42"/>
  <c r="B37" i="38659"/>
  <c r="E37" i="38659" s="1"/>
  <c r="K37" i="38659" s="1"/>
  <c r="D35" i="5"/>
  <c r="E35" i="70"/>
  <c r="D34" i="5"/>
  <c r="B36" i="38659"/>
  <c r="E36" i="38659" s="1"/>
  <c r="K36" i="38659" s="1"/>
  <c r="E34" i="70"/>
  <c r="J52" i="22"/>
  <c r="J54" i="22"/>
  <c r="F48" i="19"/>
  <c r="I48" i="19"/>
  <c r="B54" i="23"/>
  <c r="L48" i="38667"/>
  <c r="H11" i="43"/>
  <c r="F48" i="43"/>
  <c r="J21" i="42"/>
  <c r="M16" i="38667"/>
  <c r="J34" i="42"/>
  <c r="J15" i="42"/>
  <c r="J20" i="42"/>
  <c r="J22" i="42"/>
  <c r="D27" i="5"/>
  <c r="B29" i="38659"/>
  <c r="E29" i="38659" s="1"/>
  <c r="G29" i="38659" s="1"/>
  <c r="E27" i="70"/>
  <c r="D30" i="5"/>
  <c r="B32" i="38659"/>
  <c r="E32" i="38659" s="1"/>
  <c r="G32" i="38659" s="1"/>
  <c r="E30" i="70"/>
  <c r="J48" i="38667"/>
  <c r="B52" i="22"/>
  <c r="D48" i="18"/>
  <c r="B34" i="38659"/>
  <c r="E34" i="38659" s="1"/>
  <c r="G34" i="38659" s="1"/>
  <c r="D32" i="5"/>
  <c r="E32" i="70"/>
  <c r="J36" i="42"/>
  <c r="J26" i="42"/>
  <c r="J12" i="42"/>
  <c r="J28" i="42"/>
  <c r="D29" i="5"/>
  <c r="B31" i="38659"/>
  <c r="E31" i="38659" s="1"/>
  <c r="G31" i="38659" s="1"/>
  <c r="E29" i="70"/>
  <c r="D26" i="5"/>
  <c r="B28" i="38659"/>
  <c r="E28" i="38659" s="1"/>
  <c r="K28" i="38659" s="1"/>
  <c r="E26" i="70"/>
  <c r="F50" i="38659"/>
  <c r="J13" i="42"/>
  <c r="J33" i="42"/>
  <c r="M18" i="38667"/>
  <c r="M45" i="38667"/>
  <c r="G28" i="38659" l="1"/>
  <c r="G36" i="38659"/>
  <c r="G37" i="38659"/>
  <c r="D50" i="5"/>
  <c r="E50" i="70"/>
  <c r="F26" i="5"/>
  <c r="C26" i="38"/>
  <c r="E26" i="38"/>
  <c r="G26" i="38"/>
  <c r="F26" i="11"/>
  <c r="C26" i="38656"/>
  <c r="I26" i="20"/>
  <c r="C26" i="35"/>
  <c r="C26" i="34"/>
  <c r="G26" i="34"/>
  <c r="C26" i="37"/>
  <c r="E26" i="82"/>
  <c r="C26" i="27"/>
  <c r="C26" i="76" s="1"/>
  <c r="E26" i="25"/>
  <c r="E26" i="35"/>
  <c r="I26" i="25"/>
  <c r="C26" i="11"/>
  <c r="C26" i="36"/>
  <c r="C26" i="10"/>
  <c r="G26" i="25"/>
  <c r="I26" i="9"/>
  <c r="F26" i="9"/>
  <c r="C26" i="9"/>
  <c r="F26" i="10"/>
  <c r="E26" i="36"/>
  <c r="C26" i="82"/>
  <c r="C26" i="8"/>
  <c r="C26" i="26"/>
  <c r="F26" i="38655"/>
  <c r="E26" i="34"/>
  <c r="G26" i="36"/>
  <c r="F26" i="38656"/>
  <c r="F26" i="8"/>
  <c r="C26" i="25"/>
  <c r="F26" i="26"/>
  <c r="I26" i="10"/>
  <c r="I26" i="38655"/>
  <c r="I26" i="26"/>
  <c r="E26" i="37"/>
  <c r="C26" i="7"/>
  <c r="I26" i="11"/>
  <c r="C26" i="19"/>
  <c r="E26" i="19"/>
  <c r="C26" i="20"/>
  <c r="I26" i="18"/>
  <c r="F26" i="20"/>
  <c r="C26" i="18"/>
  <c r="C26" i="38655"/>
  <c r="H26" i="19"/>
  <c r="F26" i="18"/>
  <c r="K31" i="38659"/>
  <c r="L31" i="38659"/>
  <c r="D25" i="5"/>
  <c r="B27" i="38659"/>
  <c r="E27" i="38659" s="1"/>
  <c r="G27" i="38659" s="1"/>
  <c r="E25" i="70"/>
  <c r="K34" i="38659"/>
  <c r="L34" i="38659"/>
  <c r="F30" i="5"/>
  <c r="E30" i="38"/>
  <c r="C30" i="38"/>
  <c r="G30" i="38"/>
  <c r="I30" i="20"/>
  <c r="I30" i="11"/>
  <c r="I30" i="26"/>
  <c r="F30" i="38655"/>
  <c r="G30" i="36"/>
  <c r="C30" i="9"/>
  <c r="C30" i="27"/>
  <c r="C30" i="76" s="1"/>
  <c r="C30" i="7"/>
  <c r="E30" i="36"/>
  <c r="C30" i="82"/>
  <c r="I30" i="38655"/>
  <c r="C30" i="25"/>
  <c r="F30" i="26"/>
  <c r="C30" i="10"/>
  <c r="E30" i="82"/>
  <c r="C30" i="35"/>
  <c r="G30" i="25"/>
  <c r="E30" i="25"/>
  <c r="C30" i="11"/>
  <c r="E30" i="37"/>
  <c r="E30" i="34"/>
  <c r="C30" i="8"/>
  <c r="I30" i="10"/>
  <c r="I30" i="25"/>
  <c r="F30" i="10"/>
  <c r="C30" i="37"/>
  <c r="F30" i="11"/>
  <c r="C30" i="38656"/>
  <c r="C30" i="36"/>
  <c r="E30" i="35"/>
  <c r="C30" i="26"/>
  <c r="C30" i="34"/>
  <c r="F30" i="38656"/>
  <c r="G30" i="34"/>
  <c r="F30" i="20"/>
  <c r="I30" i="18"/>
  <c r="F30" i="9"/>
  <c r="F30" i="18"/>
  <c r="C30" i="19"/>
  <c r="I30" i="9"/>
  <c r="E30" i="19"/>
  <c r="F30" i="8"/>
  <c r="C30" i="38655"/>
  <c r="C30" i="20"/>
  <c r="H30" i="19"/>
  <c r="C30" i="18"/>
  <c r="K29" i="38659"/>
  <c r="L29" i="38659"/>
  <c r="L28" i="38659"/>
  <c r="M48" i="38667"/>
  <c r="L37" i="38659"/>
  <c r="B43" i="38659"/>
  <c r="E43" i="38659" s="1"/>
  <c r="G43" i="38659" s="1"/>
  <c r="D41" i="5"/>
  <c r="E41" i="70"/>
  <c r="D22" i="5"/>
  <c r="B24" i="38659"/>
  <c r="E24" i="38659" s="1"/>
  <c r="G24" i="38659" s="1"/>
  <c r="E22" i="70"/>
  <c r="B22" i="38659"/>
  <c r="E22" i="38659" s="1"/>
  <c r="G22" i="38659" s="1"/>
  <c r="D20" i="5"/>
  <c r="E20" i="70"/>
  <c r="D23" i="5"/>
  <c r="B25" i="38659"/>
  <c r="E25" i="38659" s="1"/>
  <c r="G25" i="38659" s="1"/>
  <c r="E23" i="70"/>
  <c r="D36" i="5"/>
  <c r="B38" i="38659"/>
  <c r="E38" i="38659" s="1"/>
  <c r="G38" i="38659" s="1"/>
  <c r="E36" i="70"/>
  <c r="D17" i="5"/>
  <c r="B19" i="38659"/>
  <c r="E19" i="38659" s="1"/>
  <c r="G19" i="38659" s="1"/>
  <c r="E17" i="70"/>
  <c r="F32" i="5"/>
  <c r="C32" i="38"/>
  <c r="E32" i="38"/>
  <c r="G32" i="38"/>
  <c r="C32" i="38656"/>
  <c r="F32" i="26"/>
  <c r="C32" i="37"/>
  <c r="I32" i="20"/>
  <c r="F32" i="10"/>
  <c r="I32" i="26"/>
  <c r="F32" i="38656"/>
  <c r="G32" i="34"/>
  <c r="F32" i="8"/>
  <c r="F32" i="9"/>
  <c r="C32" i="9"/>
  <c r="E32" i="82"/>
  <c r="E32" i="37"/>
  <c r="C32" i="82"/>
  <c r="F32" i="38655"/>
  <c r="E32" i="36"/>
  <c r="E32" i="34"/>
  <c r="C32" i="26"/>
  <c r="G32" i="36"/>
  <c r="C32" i="7"/>
  <c r="I32" i="10"/>
  <c r="C32" i="11"/>
  <c r="C32" i="25"/>
  <c r="I32" i="9"/>
  <c r="C32" i="36"/>
  <c r="C32" i="10"/>
  <c r="C32" i="8"/>
  <c r="C32" i="34"/>
  <c r="F32" i="11"/>
  <c r="E32" i="35"/>
  <c r="E32" i="25"/>
  <c r="C32" i="35"/>
  <c r="I32" i="11"/>
  <c r="G32" i="25"/>
  <c r="I32" i="25"/>
  <c r="E32" i="19"/>
  <c r="F32" i="20"/>
  <c r="C32" i="27"/>
  <c r="C32" i="76" s="1"/>
  <c r="I32" i="38655"/>
  <c r="C32" i="18"/>
  <c r="I32" i="18"/>
  <c r="C32" i="38655"/>
  <c r="C32" i="19"/>
  <c r="C32" i="20"/>
  <c r="F32" i="18"/>
  <c r="H32" i="19"/>
  <c r="B46" i="38659"/>
  <c r="E46" i="38659" s="1"/>
  <c r="G46" i="38659" s="1"/>
  <c r="D44" i="5"/>
  <c r="E44" i="70"/>
  <c r="D43" i="5"/>
  <c r="B45" i="38659"/>
  <c r="E45" i="38659" s="1"/>
  <c r="G45" i="38659" s="1"/>
  <c r="E43" i="70"/>
  <c r="D40" i="5"/>
  <c r="B42" i="38659"/>
  <c r="E42" i="38659" s="1"/>
  <c r="G42" i="38659" s="1"/>
  <c r="E40" i="70"/>
  <c r="K32" i="38659"/>
  <c r="L32" i="38659"/>
  <c r="F34" i="5"/>
  <c r="G34" i="38"/>
  <c r="C34" i="38"/>
  <c r="E34" i="38"/>
  <c r="E34" i="36"/>
  <c r="C34" i="35"/>
  <c r="E34" i="37"/>
  <c r="I34" i="20"/>
  <c r="C34" i="27"/>
  <c r="C34" i="76" s="1"/>
  <c r="G34" i="36"/>
  <c r="C34" i="37"/>
  <c r="I34" i="25"/>
  <c r="C34" i="7"/>
  <c r="F34" i="11"/>
  <c r="F34" i="38656"/>
  <c r="C34" i="36"/>
  <c r="I34" i="26"/>
  <c r="C34" i="38656"/>
  <c r="C34" i="8"/>
  <c r="C34" i="25"/>
  <c r="F34" i="9"/>
  <c r="C34" i="26"/>
  <c r="C34" i="34"/>
  <c r="E34" i="25"/>
  <c r="F34" i="38655"/>
  <c r="F34" i="26"/>
  <c r="G34" i="34"/>
  <c r="E34" i="82"/>
  <c r="F34" i="8"/>
  <c r="C34" i="11"/>
  <c r="I34" i="9"/>
  <c r="C34" i="9"/>
  <c r="E34" i="35"/>
  <c r="I34" i="10"/>
  <c r="G34" i="25"/>
  <c r="F34" i="10"/>
  <c r="E34" i="34"/>
  <c r="C34" i="10"/>
  <c r="C34" i="82"/>
  <c r="C34" i="38655"/>
  <c r="C34" i="18"/>
  <c r="I34" i="18"/>
  <c r="F34" i="18"/>
  <c r="C34" i="19"/>
  <c r="I34" i="11"/>
  <c r="E34" i="19"/>
  <c r="I34" i="38655"/>
  <c r="F34" i="20"/>
  <c r="C34" i="20"/>
  <c r="H34" i="19"/>
  <c r="D51" i="5"/>
  <c r="E51" i="70"/>
  <c r="D37" i="5"/>
  <c r="B39" i="38659"/>
  <c r="E39" i="38659" s="1"/>
  <c r="G39" i="38659" s="1"/>
  <c r="E37" i="70"/>
  <c r="B26" i="38659"/>
  <c r="E26" i="38659" s="1"/>
  <c r="G26" i="38659" s="1"/>
  <c r="D24" i="5"/>
  <c r="E24" i="70"/>
  <c r="L36" i="38659"/>
  <c r="B41" i="38659"/>
  <c r="E41" i="38659" s="1"/>
  <c r="G41" i="38659" s="1"/>
  <c r="D39" i="5"/>
  <c r="E39" i="70"/>
  <c r="H48" i="43"/>
  <c r="I11" i="45"/>
  <c r="I11" i="43" s="1"/>
  <c r="B11" i="42" s="1"/>
  <c r="B13" i="38659"/>
  <c r="D11" i="5"/>
  <c r="E11" i="70"/>
  <c r="D42" i="5"/>
  <c r="B44" i="38659"/>
  <c r="E44" i="38659" s="1"/>
  <c r="G44" i="38659" s="1"/>
  <c r="E42" i="70"/>
  <c r="B21" i="38659"/>
  <c r="E21" i="38659" s="1"/>
  <c r="G21" i="38659" s="1"/>
  <c r="D19" i="5"/>
  <c r="E19" i="70"/>
  <c r="D18" i="5"/>
  <c r="E18" i="70"/>
  <c r="B23" i="38659"/>
  <c r="E23" i="38659" s="1"/>
  <c r="G23" i="38659" s="1"/>
  <c r="D21" i="5"/>
  <c r="E21" i="70"/>
  <c r="B14" i="38659"/>
  <c r="E14" i="38659" s="1"/>
  <c r="G14" i="38659" s="1"/>
  <c r="D12" i="5"/>
  <c r="E12" i="70"/>
  <c r="B47" i="38659"/>
  <c r="E47" i="38659" s="1"/>
  <c r="G47" i="38659" s="1"/>
  <c r="D45" i="5"/>
  <c r="E45" i="70"/>
  <c r="D33" i="5"/>
  <c r="B35" i="38659"/>
  <c r="E35" i="38659" s="1"/>
  <c r="G35" i="38659" s="1"/>
  <c r="E33" i="70"/>
  <c r="B48" i="38659"/>
  <c r="E48" i="38659" s="1"/>
  <c r="G48" i="38659" s="1"/>
  <c r="D46" i="5"/>
  <c r="E46" i="70"/>
  <c r="F29" i="5"/>
  <c r="C29" i="38"/>
  <c r="G29" i="38"/>
  <c r="E29" i="38"/>
  <c r="G29" i="25"/>
  <c r="E29" i="35"/>
  <c r="I29" i="20"/>
  <c r="E29" i="37"/>
  <c r="I29" i="11"/>
  <c r="I29" i="26"/>
  <c r="C29" i="35"/>
  <c r="C29" i="8"/>
  <c r="I29" i="38655"/>
  <c r="C29" i="36"/>
  <c r="C29" i="37"/>
  <c r="C29" i="34"/>
  <c r="F29" i="11"/>
  <c r="C29" i="25"/>
  <c r="C29" i="9"/>
  <c r="F29" i="38656"/>
  <c r="I29" i="10"/>
  <c r="C29" i="10"/>
  <c r="F29" i="38655"/>
  <c r="E29" i="82"/>
  <c r="F29" i="8"/>
  <c r="E29" i="36"/>
  <c r="F29" i="26"/>
  <c r="C29" i="38656"/>
  <c r="G29" i="36"/>
  <c r="F29" i="10"/>
  <c r="I29" i="25"/>
  <c r="F29" i="9"/>
  <c r="E29" i="34"/>
  <c r="C29" i="27"/>
  <c r="C29" i="76" s="1"/>
  <c r="C29" i="26"/>
  <c r="C29" i="11"/>
  <c r="E29" i="25"/>
  <c r="C29" i="82"/>
  <c r="G29" i="34"/>
  <c r="I29" i="9"/>
  <c r="C29" i="7"/>
  <c r="C29" i="20"/>
  <c r="C29" i="19"/>
  <c r="E29" i="19"/>
  <c r="C29" i="38655"/>
  <c r="I29" i="18"/>
  <c r="F29" i="18"/>
  <c r="F29" i="20"/>
  <c r="C29" i="18"/>
  <c r="H29" i="19"/>
  <c r="D15" i="5"/>
  <c r="B17" i="38659"/>
  <c r="E17" i="38659" s="1"/>
  <c r="G17" i="38659" s="1"/>
  <c r="E15" i="70"/>
  <c r="D31" i="5"/>
  <c r="B33" i="38659"/>
  <c r="E33" i="38659" s="1"/>
  <c r="G33" i="38659" s="1"/>
  <c r="E31" i="70"/>
  <c r="B18" i="38659"/>
  <c r="E18" i="38659" s="1"/>
  <c r="G18" i="38659" s="1"/>
  <c r="D16" i="5"/>
  <c r="E16" i="70"/>
  <c r="D13" i="5"/>
  <c r="B15" i="38659"/>
  <c r="E15" i="38659" s="1"/>
  <c r="G15" i="38659" s="1"/>
  <c r="E13" i="70"/>
  <c r="D38" i="5"/>
  <c r="B40" i="38659"/>
  <c r="E40" i="38659" s="1"/>
  <c r="G40" i="38659" s="1"/>
  <c r="E38" i="70"/>
  <c r="F27" i="5"/>
  <c r="C27" i="38"/>
  <c r="G27" i="38"/>
  <c r="E27" i="38"/>
  <c r="I27" i="20"/>
  <c r="E27" i="37"/>
  <c r="F27" i="38656"/>
  <c r="F27" i="20"/>
  <c r="E27" i="35"/>
  <c r="C27" i="36"/>
  <c r="E27" i="25"/>
  <c r="G27" i="34"/>
  <c r="F27" i="11"/>
  <c r="F27" i="10"/>
  <c r="E27" i="34"/>
  <c r="F27" i="8"/>
  <c r="I27" i="25"/>
  <c r="E27" i="36"/>
  <c r="I27" i="10"/>
  <c r="C27" i="10"/>
  <c r="C27" i="9"/>
  <c r="E27" i="82"/>
  <c r="C27" i="26"/>
  <c r="C27" i="34"/>
  <c r="G27" i="25"/>
  <c r="F27" i="9"/>
  <c r="C27" i="8"/>
  <c r="C27" i="11"/>
  <c r="F27" i="26"/>
  <c r="C27" i="35"/>
  <c r="I27" i="26"/>
  <c r="I27" i="38655"/>
  <c r="I27" i="9"/>
  <c r="C27" i="25"/>
  <c r="F27" i="38655"/>
  <c r="G27" i="36"/>
  <c r="C27" i="7"/>
  <c r="C27" i="82"/>
  <c r="C27" i="37"/>
  <c r="I27" i="18"/>
  <c r="C27" i="27"/>
  <c r="C27" i="76" s="1"/>
  <c r="C27" i="20"/>
  <c r="F27" i="18"/>
  <c r="C27" i="18"/>
  <c r="C27" i="38656"/>
  <c r="I27" i="11"/>
  <c r="E27" i="19"/>
  <c r="C27" i="38655"/>
  <c r="C27" i="19"/>
  <c r="H27" i="19"/>
  <c r="F35" i="5"/>
  <c r="C35" i="38"/>
  <c r="E35" i="38"/>
  <c r="G35" i="38"/>
  <c r="I35" i="20"/>
  <c r="G35" i="34"/>
  <c r="E35" i="37"/>
  <c r="F35" i="11"/>
  <c r="E35" i="25"/>
  <c r="C35" i="35"/>
  <c r="G35" i="36"/>
  <c r="G35" i="25"/>
  <c r="C35" i="10"/>
  <c r="C35" i="36"/>
  <c r="I35" i="26"/>
  <c r="I35" i="25"/>
  <c r="C35" i="25"/>
  <c r="F35" i="9"/>
  <c r="E35" i="82"/>
  <c r="C35" i="27"/>
  <c r="C35" i="76" s="1"/>
  <c r="C35" i="7"/>
  <c r="I35" i="11"/>
  <c r="C35" i="82"/>
  <c r="I35" i="38655"/>
  <c r="C35" i="9"/>
  <c r="F35" i="20"/>
  <c r="I35" i="9"/>
  <c r="I35" i="10"/>
  <c r="F35" i="38656"/>
  <c r="E35" i="36"/>
  <c r="C35" i="26"/>
  <c r="F35" i="26"/>
  <c r="F35" i="38655"/>
  <c r="C35" i="34"/>
  <c r="C35" i="11"/>
  <c r="E35" i="34"/>
  <c r="F35" i="8"/>
  <c r="C35" i="8"/>
  <c r="F35" i="10"/>
  <c r="E35" i="35"/>
  <c r="C35" i="37"/>
  <c r="F35" i="18"/>
  <c r="C35" i="19"/>
  <c r="I35" i="18"/>
  <c r="C35" i="18"/>
  <c r="C35" i="20"/>
  <c r="E35" i="19"/>
  <c r="C35" i="38655"/>
  <c r="C35" i="38656"/>
  <c r="H35" i="19"/>
  <c r="B30" i="38659"/>
  <c r="E30" i="38659" s="1"/>
  <c r="G30" i="38659" s="1"/>
  <c r="D28" i="5"/>
  <c r="E28" i="70"/>
  <c r="D14" i="5"/>
  <c r="E14" i="70"/>
  <c r="F14" i="5" l="1"/>
  <c r="C14" i="38"/>
  <c r="E14" i="38"/>
  <c r="G14" i="38"/>
  <c r="I14" i="20"/>
  <c r="C14" i="11"/>
  <c r="C14" i="10"/>
  <c r="E14" i="34"/>
  <c r="C14" i="38656"/>
  <c r="I14" i="25"/>
  <c r="C14" i="8"/>
  <c r="I14" i="38655"/>
  <c r="F14" i="11"/>
  <c r="F14" i="38655"/>
  <c r="C14" i="82"/>
  <c r="G14" i="34"/>
  <c r="C14" i="35"/>
  <c r="C14" i="36"/>
  <c r="C14" i="37"/>
  <c r="G14" i="25"/>
  <c r="F14" i="10"/>
  <c r="I14" i="11"/>
  <c r="G14" i="36"/>
  <c r="C14" i="7"/>
  <c r="C14" i="25"/>
  <c r="E14" i="36"/>
  <c r="E14" i="25"/>
  <c r="C14" i="9"/>
  <c r="E14" i="82"/>
  <c r="C14" i="34"/>
  <c r="E14" i="35"/>
  <c r="F14" i="38656"/>
  <c r="I14" i="9"/>
  <c r="F14" i="9"/>
  <c r="I14" i="10"/>
  <c r="I14" i="26"/>
  <c r="C14" i="27"/>
  <c r="C14" i="76" s="1"/>
  <c r="E14" i="37"/>
  <c r="C14" i="26"/>
  <c r="F14" i="26"/>
  <c r="F14" i="8"/>
  <c r="F14" i="20"/>
  <c r="C14" i="20"/>
  <c r="I14" i="18"/>
  <c r="C14" i="38655"/>
  <c r="C14" i="19"/>
  <c r="E14" i="19"/>
  <c r="F14" i="18"/>
  <c r="C14" i="18"/>
  <c r="H14" i="19"/>
  <c r="D35" i="6"/>
  <c r="E35" i="6" s="1"/>
  <c r="C35" i="38648" s="1"/>
  <c r="K40" i="38659"/>
  <c r="L40" i="38659"/>
  <c r="F13" i="5"/>
  <c r="G13" i="38"/>
  <c r="C13" i="38"/>
  <c r="E13" i="38"/>
  <c r="I13" i="20"/>
  <c r="C13" i="8"/>
  <c r="C13" i="9"/>
  <c r="I13" i="11"/>
  <c r="E13" i="36"/>
  <c r="E13" i="82"/>
  <c r="I13" i="25"/>
  <c r="I13" i="38655"/>
  <c r="F13" i="38655"/>
  <c r="F13" i="8"/>
  <c r="G13" i="25"/>
  <c r="C13" i="82"/>
  <c r="C13" i="11"/>
  <c r="C13" i="10"/>
  <c r="I13" i="10"/>
  <c r="G13" i="34"/>
  <c r="I13" i="9"/>
  <c r="C13" i="36"/>
  <c r="F13" i="10"/>
  <c r="C13" i="34"/>
  <c r="C13" i="35"/>
  <c r="G13" i="36"/>
  <c r="E13" i="34"/>
  <c r="C13" i="27"/>
  <c r="C13" i="76" s="1"/>
  <c r="F13" i="11"/>
  <c r="C13" i="25"/>
  <c r="C13" i="7"/>
  <c r="E13" i="37"/>
  <c r="I13" i="26"/>
  <c r="F13" i="26"/>
  <c r="E13" i="35"/>
  <c r="F13" i="38656"/>
  <c r="C13" i="26"/>
  <c r="C13" i="37"/>
  <c r="E13" i="25"/>
  <c r="F13" i="9"/>
  <c r="C13" i="38656"/>
  <c r="F13" i="18"/>
  <c r="C13" i="38655"/>
  <c r="C13" i="20"/>
  <c r="C13" i="18"/>
  <c r="I13" i="18"/>
  <c r="C13" i="19"/>
  <c r="E13" i="19"/>
  <c r="F13" i="20"/>
  <c r="H13" i="19"/>
  <c r="K17" i="38659"/>
  <c r="L17" i="38659"/>
  <c r="K35" i="38659"/>
  <c r="L35" i="38659"/>
  <c r="K47" i="38659"/>
  <c r="L47" i="38659"/>
  <c r="F18" i="5"/>
  <c r="E18" i="38"/>
  <c r="G18" i="38"/>
  <c r="C18" i="38"/>
  <c r="I18" i="20"/>
  <c r="C18" i="8"/>
  <c r="C18" i="34"/>
  <c r="G18" i="36"/>
  <c r="E18" i="36"/>
  <c r="C18" i="36"/>
  <c r="E18" i="37"/>
  <c r="I18" i="26"/>
  <c r="C18" i="82"/>
  <c r="E18" i="34"/>
  <c r="F18" i="26"/>
  <c r="G18" i="34"/>
  <c r="C18" i="37"/>
  <c r="C18" i="11"/>
  <c r="C18" i="25"/>
  <c r="C18" i="35"/>
  <c r="C18" i="26"/>
  <c r="C18" i="9"/>
  <c r="I18" i="25"/>
  <c r="F18" i="11"/>
  <c r="F18" i="8"/>
  <c r="C18" i="27"/>
  <c r="C18" i="76" s="1"/>
  <c r="E18" i="35"/>
  <c r="E18" i="25"/>
  <c r="C18" i="7"/>
  <c r="E18" i="82"/>
  <c r="F18" i="38656"/>
  <c r="F18" i="38655"/>
  <c r="I18" i="9"/>
  <c r="C18" i="10"/>
  <c r="F18" i="10"/>
  <c r="G18" i="25"/>
  <c r="I18" i="11"/>
  <c r="I18" i="10"/>
  <c r="I18" i="18"/>
  <c r="C18" i="38655"/>
  <c r="F18" i="9"/>
  <c r="C18" i="20"/>
  <c r="E18" i="19"/>
  <c r="F18" i="20"/>
  <c r="F18" i="18"/>
  <c r="C18" i="19"/>
  <c r="I18" i="38655"/>
  <c r="C18" i="38656"/>
  <c r="C18" i="18"/>
  <c r="H18" i="19"/>
  <c r="E48" i="70"/>
  <c r="I48" i="45"/>
  <c r="C11" i="45"/>
  <c r="G11" i="42" s="1"/>
  <c r="C11" i="44"/>
  <c r="C11" i="42" s="1"/>
  <c r="I11" i="44"/>
  <c r="F11" i="42" s="1"/>
  <c r="E11" i="44"/>
  <c r="D11" i="42" s="1"/>
  <c r="G11" i="45"/>
  <c r="E11" i="45"/>
  <c r="H11" i="42" s="1"/>
  <c r="G11" i="44"/>
  <c r="E11" i="42" s="1"/>
  <c r="K41" i="38659"/>
  <c r="L41" i="38659"/>
  <c r="F24" i="5"/>
  <c r="C24" i="38"/>
  <c r="E24" i="38"/>
  <c r="G24" i="38"/>
  <c r="I24" i="20"/>
  <c r="G24" i="36"/>
  <c r="C24" i="82"/>
  <c r="C24" i="37"/>
  <c r="G24" i="34"/>
  <c r="F24" i="11"/>
  <c r="I24" i="25"/>
  <c r="I24" i="38655"/>
  <c r="C24" i="35"/>
  <c r="C24" i="8"/>
  <c r="C24" i="11"/>
  <c r="C24" i="9"/>
  <c r="C24" i="27"/>
  <c r="C24" i="76" s="1"/>
  <c r="E24" i="25"/>
  <c r="I24" i="11"/>
  <c r="F24" i="8"/>
  <c r="E24" i="82"/>
  <c r="I24" i="26"/>
  <c r="C24" i="36"/>
  <c r="F24" i="26"/>
  <c r="C24" i="26"/>
  <c r="F24" i="38655"/>
  <c r="E24" i="34"/>
  <c r="E24" i="37"/>
  <c r="G24" i="25"/>
  <c r="C24" i="34"/>
  <c r="E24" i="35"/>
  <c r="C24" i="38656"/>
  <c r="E24" i="36"/>
  <c r="I24" i="10"/>
  <c r="C24" i="7"/>
  <c r="F24" i="38656"/>
  <c r="I24" i="9"/>
  <c r="F24" i="9"/>
  <c r="F24" i="10"/>
  <c r="C24" i="10"/>
  <c r="C24" i="25"/>
  <c r="C24" i="18"/>
  <c r="F24" i="20"/>
  <c r="E24" i="19"/>
  <c r="I24" i="18"/>
  <c r="F24" i="18"/>
  <c r="C24" i="19"/>
  <c r="C24" i="20"/>
  <c r="C24" i="38655"/>
  <c r="H24" i="19"/>
  <c r="F37" i="5"/>
  <c r="C37" i="38"/>
  <c r="G37" i="38"/>
  <c r="E37" i="38"/>
  <c r="I37" i="38655"/>
  <c r="G37" i="34"/>
  <c r="E37" i="36"/>
  <c r="E37" i="25"/>
  <c r="I37" i="20"/>
  <c r="F37" i="9"/>
  <c r="F37" i="38655"/>
  <c r="E37" i="34"/>
  <c r="C37" i="36"/>
  <c r="C37" i="9"/>
  <c r="F37" i="10"/>
  <c r="I37" i="25"/>
  <c r="G37" i="36"/>
  <c r="C37" i="82"/>
  <c r="E37" i="82"/>
  <c r="C37" i="25"/>
  <c r="C37" i="10"/>
  <c r="E37" i="35"/>
  <c r="G37" i="25"/>
  <c r="C37" i="26"/>
  <c r="C37" i="8"/>
  <c r="C37" i="37"/>
  <c r="C37" i="35"/>
  <c r="F37" i="26"/>
  <c r="C37" i="7"/>
  <c r="I37" i="11"/>
  <c r="C37" i="34"/>
  <c r="C37" i="11"/>
  <c r="I37" i="9"/>
  <c r="F37" i="11"/>
  <c r="F37" i="8"/>
  <c r="I37" i="26"/>
  <c r="I37" i="10"/>
  <c r="F37" i="38656"/>
  <c r="E37" i="37"/>
  <c r="F37" i="18"/>
  <c r="E37" i="19"/>
  <c r="C37" i="27"/>
  <c r="C37" i="76" s="1"/>
  <c r="C37" i="38655"/>
  <c r="I37" i="18"/>
  <c r="C37" i="19"/>
  <c r="C37" i="20"/>
  <c r="F37" i="20"/>
  <c r="C37" i="18"/>
  <c r="C37" i="38656"/>
  <c r="H37" i="19"/>
  <c r="D34" i="6"/>
  <c r="E34" i="6" s="1"/>
  <c r="C34" i="38648" s="1"/>
  <c r="K42" i="38659"/>
  <c r="L42" i="38659"/>
  <c r="F43" i="5"/>
  <c r="C43" i="38"/>
  <c r="E43" i="38"/>
  <c r="G43" i="38"/>
  <c r="I43" i="20"/>
  <c r="I43" i="25"/>
  <c r="C43" i="37"/>
  <c r="C43" i="27"/>
  <c r="C43" i="76" s="1"/>
  <c r="C43" i="8"/>
  <c r="E43" i="37"/>
  <c r="I43" i="38655"/>
  <c r="F43" i="9"/>
  <c r="C43" i="9"/>
  <c r="F43" i="11"/>
  <c r="E43" i="82"/>
  <c r="C43" i="26"/>
  <c r="C43" i="25"/>
  <c r="E43" i="35"/>
  <c r="F43" i="10"/>
  <c r="C43" i="7"/>
  <c r="C43" i="38656"/>
  <c r="C43" i="11"/>
  <c r="E43" i="36"/>
  <c r="C43" i="34"/>
  <c r="C43" i="35"/>
  <c r="G43" i="36"/>
  <c r="I43" i="10"/>
  <c r="F43" i="8"/>
  <c r="I43" i="9"/>
  <c r="F43" i="26"/>
  <c r="E43" i="25"/>
  <c r="I43" i="26"/>
  <c r="E43" i="34"/>
  <c r="C43" i="36"/>
  <c r="F43" i="38656"/>
  <c r="C43" i="10"/>
  <c r="G43" i="25"/>
  <c r="C43" i="82"/>
  <c r="G43" i="34"/>
  <c r="F43" i="38655"/>
  <c r="C43" i="20"/>
  <c r="F43" i="20"/>
  <c r="E43" i="19"/>
  <c r="C43" i="19"/>
  <c r="I43" i="11"/>
  <c r="C43" i="18"/>
  <c r="C43" i="38655"/>
  <c r="F43" i="18"/>
  <c r="I43" i="18"/>
  <c r="H43" i="19"/>
  <c r="F17" i="5"/>
  <c r="C17" i="38"/>
  <c r="E17" i="38"/>
  <c r="G17" i="38"/>
  <c r="I17" i="20"/>
  <c r="G17" i="36"/>
  <c r="C17" i="27"/>
  <c r="C17" i="76" s="1"/>
  <c r="C17" i="37"/>
  <c r="C17" i="9"/>
  <c r="I17" i="10"/>
  <c r="C17" i="34"/>
  <c r="E17" i="25"/>
  <c r="G17" i="34"/>
  <c r="I17" i="26"/>
  <c r="F17" i="38656"/>
  <c r="C17" i="10"/>
  <c r="F17" i="26"/>
  <c r="I17" i="11"/>
  <c r="E17" i="34"/>
  <c r="C17" i="35"/>
  <c r="C17" i="25"/>
  <c r="C17" i="26"/>
  <c r="F17" i="10"/>
  <c r="F17" i="38655"/>
  <c r="G17" i="25"/>
  <c r="E17" i="35"/>
  <c r="E17" i="37"/>
  <c r="E17" i="36"/>
  <c r="E17" i="82"/>
  <c r="F17" i="8"/>
  <c r="C17" i="11"/>
  <c r="I17" i="25"/>
  <c r="I17" i="38655"/>
  <c r="C17" i="82"/>
  <c r="F17" i="11"/>
  <c r="C17" i="8"/>
  <c r="C17" i="36"/>
  <c r="F17" i="9"/>
  <c r="C17" i="7"/>
  <c r="I17" i="18"/>
  <c r="F17" i="18"/>
  <c r="C17" i="19"/>
  <c r="I17" i="9"/>
  <c r="F17" i="20"/>
  <c r="C17" i="20"/>
  <c r="E17" i="19"/>
  <c r="C17" i="38656"/>
  <c r="C17" i="38655"/>
  <c r="H17" i="19"/>
  <c r="C17" i="18"/>
  <c r="F20" i="5"/>
  <c r="E20" i="38"/>
  <c r="C20" i="38"/>
  <c r="G20" i="38"/>
  <c r="C20" i="37"/>
  <c r="I20" i="20"/>
  <c r="C20" i="8"/>
  <c r="C20" i="25"/>
  <c r="F20" i="10"/>
  <c r="F20" i="38655"/>
  <c r="G20" i="36"/>
  <c r="F20" i="38656"/>
  <c r="I20" i="11"/>
  <c r="E20" i="35"/>
  <c r="C20" i="35"/>
  <c r="F20" i="8"/>
  <c r="C20" i="82"/>
  <c r="C20" i="9"/>
  <c r="C20" i="11"/>
  <c r="C20" i="10"/>
  <c r="G20" i="25"/>
  <c r="C20" i="38656"/>
  <c r="I20" i="25"/>
  <c r="I20" i="9"/>
  <c r="C20" i="34"/>
  <c r="F20" i="9"/>
  <c r="I20" i="26"/>
  <c r="I20" i="38655"/>
  <c r="F20" i="26"/>
  <c r="F20" i="11"/>
  <c r="E20" i="82"/>
  <c r="I20" i="10"/>
  <c r="G20" i="34"/>
  <c r="C20" i="36"/>
  <c r="C20" i="7"/>
  <c r="E20" i="34"/>
  <c r="C20" i="26"/>
  <c r="E20" i="36"/>
  <c r="E20" i="25"/>
  <c r="E20" i="37"/>
  <c r="F20" i="18"/>
  <c r="F20" i="20"/>
  <c r="I20" i="18"/>
  <c r="C20" i="20"/>
  <c r="C20" i="27"/>
  <c r="C20" i="76" s="1"/>
  <c r="C20" i="19"/>
  <c r="C20" i="18"/>
  <c r="E20" i="19"/>
  <c r="C20" i="38655"/>
  <c r="H20" i="19"/>
  <c r="F22" i="5"/>
  <c r="C22" i="38"/>
  <c r="G22" i="38"/>
  <c r="E22" i="38"/>
  <c r="I22" i="20"/>
  <c r="I22" i="11"/>
  <c r="E22" i="34"/>
  <c r="F22" i="38656"/>
  <c r="F22" i="8"/>
  <c r="C22" i="37"/>
  <c r="C22" i="8"/>
  <c r="F22" i="11"/>
  <c r="G22" i="25"/>
  <c r="F22" i="38655"/>
  <c r="C22" i="34"/>
  <c r="F22" i="26"/>
  <c r="E22" i="36"/>
  <c r="I22" i="10"/>
  <c r="C22" i="25"/>
  <c r="F22" i="10"/>
  <c r="I22" i="9"/>
  <c r="C22" i="35"/>
  <c r="I22" i="26"/>
  <c r="I22" i="25"/>
  <c r="C22" i="11"/>
  <c r="I22" i="38655"/>
  <c r="C22" i="27"/>
  <c r="C22" i="76" s="1"/>
  <c r="E22" i="37"/>
  <c r="E22" i="35"/>
  <c r="C22" i="10"/>
  <c r="E22" i="25"/>
  <c r="C22" i="7"/>
  <c r="C22" i="36"/>
  <c r="C22" i="26"/>
  <c r="C22" i="9"/>
  <c r="E22" i="82"/>
  <c r="G22" i="36"/>
  <c r="F22" i="9"/>
  <c r="G22" i="34"/>
  <c r="C22" i="82"/>
  <c r="C22" i="19"/>
  <c r="C22" i="38655"/>
  <c r="E22" i="19"/>
  <c r="C22" i="38656"/>
  <c r="I22" i="18"/>
  <c r="C22" i="20"/>
  <c r="F22" i="20"/>
  <c r="C22" i="18"/>
  <c r="F22" i="18"/>
  <c r="H22" i="19"/>
  <c r="K27" i="38659"/>
  <c r="L27" i="38659"/>
  <c r="F50" i="5"/>
  <c r="D50" i="6" s="1"/>
  <c r="E50" i="6" s="1"/>
  <c r="C50" i="38648" s="1"/>
  <c r="G50" i="38"/>
  <c r="C50" i="38"/>
  <c r="E50" i="38"/>
  <c r="F50" i="26"/>
  <c r="I50" i="20"/>
  <c r="I50" i="11"/>
  <c r="F50" i="8"/>
  <c r="C50" i="34"/>
  <c r="E50" i="25"/>
  <c r="C50" i="11"/>
  <c r="C50" i="9"/>
  <c r="E50" i="37"/>
  <c r="G50" i="25"/>
  <c r="C50" i="8"/>
  <c r="F50" i="11"/>
  <c r="E50" i="34"/>
  <c r="C50" i="37"/>
  <c r="C50" i="35"/>
  <c r="I50" i="9"/>
  <c r="G50" i="36"/>
  <c r="F50" i="9"/>
  <c r="F50" i="38655"/>
  <c r="F50" i="38656"/>
  <c r="I50" i="38655"/>
  <c r="I50" i="25"/>
  <c r="E50" i="36"/>
  <c r="C50" i="10"/>
  <c r="E50" i="35"/>
  <c r="C50" i="27"/>
  <c r="C50" i="76" s="1"/>
  <c r="C50" i="25"/>
  <c r="C50" i="7"/>
  <c r="G50" i="34"/>
  <c r="C50" i="26"/>
  <c r="C50" i="36"/>
  <c r="F50" i="10"/>
  <c r="E50" i="82"/>
  <c r="I50" i="26"/>
  <c r="C50" i="82"/>
  <c r="I50" i="10"/>
  <c r="C50" i="20"/>
  <c r="C50" i="18"/>
  <c r="F50" i="20"/>
  <c r="E50" i="19"/>
  <c r="C50" i="38656"/>
  <c r="C50" i="19"/>
  <c r="C50" i="38655"/>
  <c r="F50" i="18"/>
  <c r="I50" i="18"/>
  <c r="H50" i="19"/>
  <c r="K15" i="38659"/>
  <c r="L15" i="38659"/>
  <c r="K18" i="38659"/>
  <c r="L18" i="38659"/>
  <c r="D29" i="6"/>
  <c r="E29" i="6" s="1"/>
  <c r="C29" i="38648" s="1"/>
  <c r="F45" i="5"/>
  <c r="C45" i="38"/>
  <c r="G45" i="38"/>
  <c r="E45" i="38"/>
  <c r="G45" i="36"/>
  <c r="I45" i="20"/>
  <c r="G45" i="34"/>
  <c r="C45" i="36"/>
  <c r="I45" i="25"/>
  <c r="I45" i="10"/>
  <c r="F45" i="38656"/>
  <c r="C45" i="25"/>
  <c r="C45" i="34"/>
  <c r="I45" i="26"/>
  <c r="C45" i="37"/>
  <c r="F45" i="8"/>
  <c r="I45" i="11"/>
  <c r="F45" i="10"/>
  <c r="F45" i="11"/>
  <c r="G45" i="25"/>
  <c r="E45" i="35"/>
  <c r="C45" i="10"/>
  <c r="F45" i="38655"/>
  <c r="E45" i="36"/>
  <c r="C45" i="26"/>
  <c r="F45" i="26"/>
  <c r="F45" i="9"/>
  <c r="C45" i="9"/>
  <c r="I45" i="38655"/>
  <c r="E45" i="25"/>
  <c r="C45" i="11"/>
  <c r="E45" i="82"/>
  <c r="C45" i="7"/>
  <c r="E45" i="34"/>
  <c r="C45" i="35"/>
  <c r="E45" i="37"/>
  <c r="C45" i="38656"/>
  <c r="I45" i="9"/>
  <c r="C45" i="82"/>
  <c r="C45" i="8"/>
  <c r="C45" i="38655"/>
  <c r="E45" i="19"/>
  <c r="C45" i="27"/>
  <c r="C45" i="76" s="1"/>
  <c r="C45" i="19"/>
  <c r="F45" i="18"/>
  <c r="I45" i="18"/>
  <c r="C45" i="20"/>
  <c r="F45" i="20"/>
  <c r="H45" i="19"/>
  <c r="C45" i="18"/>
  <c r="K14" i="38659"/>
  <c r="L14" i="38659"/>
  <c r="K21" i="38659"/>
  <c r="L21" i="38659"/>
  <c r="F39" i="5"/>
  <c r="E39" i="38"/>
  <c r="C39" i="38"/>
  <c r="G39" i="38"/>
  <c r="C39" i="38656"/>
  <c r="I39" i="20"/>
  <c r="F39" i="9"/>
  <c r="G39" i="34"/>
  <c r="C39" i="9"/>
  <c r="E39" i="25"/>
  <c r="C39" i="82"/>
  <c r="I39" i="9"/>
  <c r="C39" i="35"/>
  <c r="E39" i="34"/>
  <c r="F39" i="38656"/>
  <c r="F39" i="38655"/>
  <c r="G39" i="25"/>
  <c r="C39" i="37"/>
  <c r="F39" i="8"/>
  <c r="C39" i="8"/>
  <c r="I39" i="26"/>
  <c r="C39" i="10"/>
  <c r="C39" i="27"/>
  <c r="C39" i="76" s="1"/>
  <c r="G39" i="36"/>
  <c r="F39" i="11"/>
  <c r="E39" i="36"/>
  <c r="E39" i="35"/>
  <c r="F39" i="26"/>
  <c r="I39" i="10"/>
  <c r="C39" i="26"/>
  <c r="C39" i="7"/>
  <c r="C39" i="11"/>
  <c r="C39" i="36"/>
  <c r="C39" i="34"/>
  <c r="I39" i="38655"/>
  <c r="F39" i="10"/>
  <c r="C39" i="25"/>
  <c r="E39" i="82"/>
  <c r="E39" i="37"/>
  <c r="I39" i="11"/>
  <c r="I39" i="25"/>
  <c r="F39" i="20"/>
  <c r="I39" i="18"/>
  <c r="F39" i="18"/>
  <c r="C39" i="38655"/>
  <c r="E39" i="19"/>
  <c r="C39" i="18"/>
  <c r="C39" i="19"/>
  <c r="C39" i="20"/>
  <c r="H39" i="19"/>
  <c r="K39" i="38659"/>
  <c r="L39" i="38659"/>
  <c r="K45" i="38659"/>
  <c r="L45" i="38659"/>
  <c r="K46" i="38659"/>
  <c r="L46" i="38659"/>
  <c r="K19" i="38659"/>
  <c r="L19" i="38659"/>
  <c r="F36" i="5"/>
  <c r="E36" i="38"/>
  <c r="G36" i="38"/>
  <c r="C36" i="38"/>
  <c r="F36" i="26"/>
  <c r="I36" i="20"/>
  <c r="G36" i="34"/>
  <c r="I36" i="11"/>
  <c r="F36" i="38655"/>
  <c r="C36" i="11"/>
  <c r="E36" i="25"/>
  <c r="I36" i="9"/>
  <c r="E36" i="82"/>
  <c r="F36" i="11"/>
  <c r="I36" i="25"/>
  <c r="F36" i="10"/>
  <c r="I36" i="26"/>
  <c r="E36" i="37"/>
  <c r="C36" i="35"/>
  <c r="C36" i="37"/>
  <c r="C36" i="9"/>
  <c r="C36" i="25"/>
  <c r="F36" i="8"/>
  <c r="C36" i="36"/>
  <c r="G36" i="36"/>
  <c r="F36" i="38656"/>
  <c r="C36" i="7"/>
  <c r="C36" i="38656"/>
  <c r="F36" i="9"/>
  <c r="I36" i="10"/>
  <c r="C36" i="10"/>
  <c r="E36" i="36"/>
  <c r="C36" i="82"/>
  <c r="E36" i="34"/>
  <c r="C36" i="34"/>
  <c r="C36" i="8"/>
  <c r="C36" i="26"/>
  <c r="E36" i="35"/>
  <c r="G36" i="25"/>
  <c r="C36" i="38655"/>
  <c r="F36" i="20"/>
  <c r="I36" i="18"/>
  <c r="C36" i="20"/>
  <c r="C36" i="18"/>
  <c r="F36" i="18"/>
  <c r="C36" i="27"/>
  <c r="C36" i="76" s="1"/>
  <c r="I36" i="38655"/>
  <c r="E36" i="19"/>
  <c r="C36" i="19"/>
  <c r="H36" i="19"/>
  <c r="K24" i="38659"/>
  <c r="L24" i="38659"/>
  <c r="K43" i="38659"/>
  <c r="L43" i="38659"/>
  <c r="K30" i="38659"/>
  <c r="L30" i="38659"/>
  <c r="D27" i="6"/>
  <c r="E27" i="6" s="1"/>
  <c r="C27" i="38648" s="1"/>
  <c r="F31" i="5"/>
  <c r="G31" i="38"/>
  <c r="C31" i="38"/>
  <c r="E31" i="38"/>
  <c r="I31" i="20"/>
  <c r="G31" i="34"/>
  <c r="C31" i="37"/>
  <c r="E31" i="25"/>
  <c r="C31" i="11"/>
  <c r="I31" i="26"/>
  <c r="I31" i="38655"/>
  <c r="E31" i="35"/>
  <c r="E31" i="37"/>
  <c r="G31" i="36"/>
  <c r="C31" i="27"/>
  <c r="C31" i="76" s="1"/>
  <c r="F31" i="10"/>
  <c r="F31" i="9"/>
  <c r="C31" i="10"/>
  <c r="F31" i="38655"/>
  <c r="I31" i="11"/>
  <c r="F31" i="26"/>
  <c r="I31" i="25"/>
  <c r="C31" i="34"/>
  <c r="E31" i="34"/>
  <c r="F31" i="8"/>
  <c r="I31" i="9"/>
  <c r="I31" i="10"/>
  <c r="C31" i="35"/>
  <c r="C31" i="9"/>
  <c r="C31" i="82"/>
  <c r="C31" i="25"/>
  <c r="C31" i="8"/>
  <c r="F31" i="11"/>
  <c r="C31" i="7"/>
  <c r="E31" i="82"/>
  <c r="C31" i="26"/>
  <c r="E31" i="36"/>
  <c r="G31" i="25"/>
  <c r="C31" i="36"/>
  <c r="F31" i="38656"/>
  <c r="C31" i="38656"/>
  <c r="F31" i="20"/>
  <c r="C31" i="38655"/>
  <c r="C31" i="19"/>
  <c r="I31" i="18"/>
  <c r="C31" i="20"/>
  <c r="C31" i="18"/>
  <c r="E31" i="19"/>
  <c r="F31" i="18"/>
  <c r="H31" i="19"/>
  <c r="K23" i="38659"/>
  <c r="L23" i="38659"/>
  <c r="F44" i="5"/>
  <c r="C44" i="38"/>
  <c r="E44" i="38"/>
  <c r="G44" i="38"/>
  <c r="E44" i="36"/>
  <c r="I44" i="20"/>
  <c r="C44" i="7"/>
  <c r="C44" i="27"/>
  <c r="C44" i="76" s="1"/>
  <c r="F44" i="8"/>
  <c r="C44" i="25"/>
  <c r="C44" i="9"/>
  <c r="E44" i="35"/>
  <c r="C44" i="8"/>
  <c r="F44" i="9"/>
  <c r="I44" i="26"/>
  <c r="E44" i="37"/>
  <c r="C44" i="10"/>
  <c r="I44" i="38655"/>
  <c r="C44" i="37"/>
  <c r="F44" i="38655"/>
  <c r="C44" i="36"/>
  <c r="E44" i="82"/>
  <c r="F44" i="10"/>
  <c r="I44" i="9"/>
  <c r="C44" i="11"/>
  <c r="G44" i="25"/>
  <c r="C44" i="26"/>
  <c r="F44" i="26"/>
  <c r="E44" i="25"/>
  <c r="C44" i="82"/>
  <c r="I44" i="10"/>
  <c r="G44" i="34"/>
  <c r="C44" i="34"/>
  <c r="I44" i="25"/>
  <c r="C44" i="35"/>
  <c r="F44" i="38656"/>
  <c r="G44" i="36"/>
  <c r="I44" i="11"/>
  <c r="E44" i="34"/>
  <c r="F44" i="11"/>
  <c r="C44" i="19"/>
  <c r="C44" i="38655"/>
  <c r="F44" i="20"/>
  <c r="C44" i="38656"/>
  <c r="C44" i="20"/>
  <c r="E44" i="19"/>
  <c r="I44" i="18"/>
  <c r="F44" i="18"/>
  <c r="C44" i="18"/>
  <c r="H44" i="19"/>
  <c r="K38" i="38659"/>
  <c r="L38" i="38659"/>
  <c r="F23" i="5"/>
  <c r="C23" i="38"/>
  <c r="G23" i="38"/>
  <c r="E23" i="38"/>
  <c r="I23" i="20"/>
  <c r="F23" i="8"/>
  <c r="C23" i="34"/>
  <c r="E23" i="82"/>
  <c r="E23" i="35"/>
  <c r="I23" i="10"/>
  <c r="G23" i="25"/>
  <c r="F23" i="26"/>
  <c r="C23" i="82"/>
  <c r="C23" i="36"/>
  <c r="I23" i="26"/>
  <c r="C23" i="26"/>
  <c r="C23" i="9"/>
  <c r="C23" i="25"/>
  <c r="F23" i="9"/>
  <c r="F23" i="10"/>
  <c r="G23" i="34"/>
  <c r="C23" i="10"/>
  <c r="I23" i="25"/>
  <c r="E23" i="37"/>
  <c r="F23" i="11"/>
  <c r="F23" i="38656"/>
  <c r="E23" i="25"/>
  <c r="E23" i="34"/>
  <c r="E23" i="36"/>
  <c r="I23" i="9"/>
  <c r="F23" i="38655"/>
  <c r="I23" i="11"/>
  <c r="G23" i="36"/>
  <c r="C23" i="8"/>
  <c r="C23" i="38656"/>
  <c r="C23" i="7"/>
  <c r="C23" i="37"/>
  <c r="C23" i="11"/>
  <c r="C23" i="35"/>
  <c r="I23" i="38655"/>
  <c r="C23" i="27"/>
  <c r="C23" i="76" s="1"/>
  <c r="C23" i="19"/>
  <c r="C23" i="18"/>
  <c r="F23" i="20"/>
  <c r="F23" i="18"/>
  <c r="C23" i="20"/>
  <c r="I23" i="18"/>
  <c r="C23" i="38655"/>
  <c r="H23" i="19"/>
  <c r="E23" i="19"/>
  <c r="F41" i="5"/>
  <c r="C41" i="38"/>
  <c r="G41" i="38"/>
  <c r="E41" i="38"/>
  <c r="I41" i="10"/>
  <c r="I41" i="20"/>
  <c r="C41" i="26"/>
  <c r="E41" i="36"/>
  <c r="I41" i="38655"/>
  <c r="I41" i="9"/>
  <c r="C41" i="34"/>
  <c r="F41" i="26"/>
  <c r="F41" i="38655"/>
  <c r="C41" i="82"/>
  <c r="C41" i="7"/>
  <c r="I41" i="11"/>
  <c r="C41" i="35"/>
  <c r="C41" i="10"/>
  <c r="G41" i="36"/>
  <c r="F41" i="10"/>
  <c r="C41" i="36"/>
  <c r="E41" i="37"/>
  <c r="C41" i="9"/>
  <c r="C41" i="11"/>
  <c r="F41" i="11"/>
  <c r="C41" i="27"/>
  <c r="C41" i="76" s="1"/>
  <c r="F41" i="38656"/>
  <c r="E41" i="34"/>
  <c r="G41" i="34"/>
  <c r="I41" i="26"/>
  <c r="I41" i="25"/>
  <c r="C41" i="8"/>
  <c r="E41" i="82"/>
  <c r="E41" i="35"/>
  <c r="C41" i="38656"/>
  <c r="F41" i="9"/>
  <c r="G41" i="25"/>
  <c r="C41" i="25"/>
  <c r="F41" i="8"/>
  <c r="C41" i="37"/>
  <c r="E41" i="25"/>
  <c r="F41" i="18"/>
  <c r="C41" i="18"/>
  <c r="F41" i="20"/>
  <c r="C41" i="38655"/>
  <c r="I41" i="18"/>
  <c r="C41" i="19"/>
  <c r="E41" i="19"/>
  <c r="C41" i="20"/>
  <c r="H41" i="19"/>
  <c r="D30" i="6"/>
  <c r="E30" i="6" s="1"/>
  <c r="C30" i="38648" s="1"/>
  <c r="F16" i="5"/>
  <c r="G16" i="38"/>
  <c r="C16" i="38"/>
  <c r="E16" i="38"/>
  <c r="G16" i="34"/>
  <c r="E16" i="36"/>
  <c r="I16" i="20"/>
  <c r="I16" i="25"/>
  <c r="E16" i="25"/>
  <c r="I16" i="11"/>
  <c r="C16" i="38656"/>
  <c r="C16" i="8"/>
  <c r="F16" i="11"/>
  <c r="C16" i="11"/>
  <c r="I16" i="26"/>
  <c r="C16" i="26"/>
  <c r="C16" i="36"/>
  <c r="E16" i="37"/>
  <c r="I16" i="9"/>
  <c r="F16" i="10"/>
  <c r="F16" i="26"/>
  <c r="G16" i="25"/>
  <c r="C16" i="10"/>
  <c r="C16" i="34"/>
  <c r="G16" i="36"/>
  <c r="F16" i="9"/>
  <c r="F16" i="38655"/>
  <c r="E16" i="35"/>
  <c r="C16" i="9"/>
  <c r="E16" i="82"/>
  <c r="E16" i="34"/>
  <c r="C16" i="25"/>
  <c r="C16" i="82"/>
  <c r="F16" i="38656"/>
  <c r="I16" i="10"/>
  <c r="C16" i="37"/>
  <c r="C16" i="35"/>
  <c r="C16" i="20"/>
  <c r="C16" i="7"/>
  <c r="F16" i="8"/>
  <c r="I16" i="38655"/>
  <c r="C16" i="38655"/>
  <c r="C16" i="27"/>
  <c r="C16" i="76" s="1"/>
  <c r="F16" i="18"/>
  <c r="F16" i="20"/>
  <c r="I16" i="18"/>
  <c r="C16" i="19"/>
  <c r="C16" i="18"/>
  <c r="H16" i="19"/>
  <c r="E16" i="19"/>
  <c r="K48" i="38659"/>
  <c r="L48" i="38659"/>
  <c r="F12" i="5"/>
  <c r="E12" i="38"/>
  <c r="G12" i="38"/>
  <c r="C12" i="38"/>
  <c r="C12" i="37"/>
  <c r="I12" i="20"/>
  <c r="I12" i="10"/>
  <c r="C12" i="11"/>
  <c r="F12" i="26"/>
  <c r="F12" i="8"/>
  <c r="C12" i="10"/>
  <c r="I12" i="38655"/>
  <c r="E12" i="35"/>
  <c r="C12" i="36"/>
  <c r="C12" i="25"/>
  <c r="I12" i="9"/>
  <c r="C12" i="8"/>
  <c r="F12" i="9"/>
  <c r="G12" i="34"/>
  <c r="I12" i="11"/>
  <c r="E12" i="82"/>
  <c r="C12" i="38656"/>
  <c r="F12" i="38656"/>
  <c r="C12" i="26"/>
  <c r="C12" i="35"/>
  <c r="G12" i="25"/>
  <c r="F12" i="10"/>
  <c r="F12" i="11"/>
  <c r="C12" i="34"/>
  <c r="E12" i="34"/>
  <c r="C12" i="7"/>
  <c r="F12" i="38655"/>
  <c r="C12" i="82"/>
  <c r="I12" i="25"/>
  <c r="E12" i="37"/>
  <c r="C12" i="27"/>
  <c r="C12" i="76" s="1"/>
  <c r="G12" i="36"/>
  <c r="I12" i="26"/>
  <c r="C12" i="9"/>
  <c r="E12" i="36"/>
  <c r="E12" i="25"/>
  <c r="E12" i="19"/>
  <c r="I12" i="18"/>
  <c r="C12" i="19"/>
  <c r="F12" i="18"/>
  <c r="C12" i="18"/>
  <c r="F12" i="20"/>
  <c r="C12" i="38655"/>
  <c r="C12" i="20"/>
  <c r="H12" i="19"/>
  <c r="F19" i="5"/>
  <c r="C19" i="38"/>
  <c r="G19" i="38"/>
  <c r="E19" i="38"/>
  <c r="F19" i="11"/>
  <c r="G19" i="34"/>
  <c r="I19" i="20"/>
  <c r="C19" i="37"/>
  <c r="C19" i="10"/>
  <c r="I19" i="11"/>
  <c r="F19" i="26"/>
  <c r="C19" i="82"/>
  <c r="C19" i="25"/>
  <c r="C19" i="36"/>
  <c r="E19" i="82"/>
  <c r="C19" i="9"/>
  <c r="I19" i="26"/>
  <c r="E19" i="36"/>
  <c r="C19" i="27"/>
  <c r="C19" i="76" s="1"/>
  <c r="E19" i="34"/>
  <c r="E19" i="35"/>
  <c r="F19" i="38656"/>
  <c r="I19" i="25"/>
  <c r="G19" i="25"/>
  <c r="C19" i="26"/>
  <c r="C19" i="35"/>
  <c r="E19" i="37"/>
  <c r="C19" i="8"/>
  <c r="F19" i="9"/>
  <c r="C19" i="34"/>
  <c r="F19" i="10"/>
  <c r="I19" i="10"/>
  <c r="F19" i="38655"/>
  <c r="I19" i="9"/>
  <c r="C19" i="7"/>
  <c r="C19" i="11"/>
  <c r="E19" i="25"/>
  <c r="G19" i="36"/>
  <c r="I19" i="38655"/>
  <c r="F19" i="8"/>
  <c r="C19" i="18"/>
  <c r="C19" i="38656"/>
  <c r="C19" i="20"/>
  <c r="C19" i="19"/>
  <c r="F19" i="18"/>
  <c r="F19" i="20"/>
  <c r="C19" i="38655"/>
  <c r="I19" i="18"/>
  <c r="E19" i="19"/>
  <c r="H19" i="19"/>
  <c r="F42" i="5"/>
  <c r="C42" i="38"/>
  <c r="E42" i="38"/>
  <c r="G42" i="38"/>
  <c r="I42" i="20"/>
  <c r="G42" i="34"/>
  <c r="C42" i="35"/>
  <c r="C42" i="7"/>
  <c r="E42" i="34"/>
  <c r="F42" i="8"/>
  <c r="C42" i="11"/>
  <c r="C42" i="37"/>
  <c r="C42" i="36"/>
  <c r="E42" i="37"/>
  <c r="E42" i="25"/>
  <c r="C42" i="26"/>
  <c r="F42" i="9"/>
  <c r="I42" i="10"/>
  <c r="C42" i="10"/>
  <c r="F42" i="10"/>
  <c r="I42" i="26"/>
  <c r="F42" i="38655"/>
  <c r="C42" i="8"/>
  <c r="F42" i="26"/>
  <c r="E42" i="36"/>
  <c r="E42" i="35"/>
  <c r="C42" i="34"/>
  <c r="G42" i="25"/>
  <c r="I42" i="11"/>
  <c r="F42" i="38656"/>
  <c r="C42" i="9"/>
  <c r="C42" i="25"/>
  <c r="E42" i="82"/>
  <c r="I42" i="25"/>
  <c r="I42" i="38655"/>
  <c r="C42" i="82"/>
  <c r="I42" i="9"/>
  <c r="G42" i="36"/>
  <c r="C42" i="27"/>
  <c r="C42" i="76" s="1"/>
  <c r="F42" i="11"/>
  <c r="I42" i="18"/>
  <c r="C42" i="20"/>
  <c r="F42" i="20"/>
  <c r="C42" i="18"/>
  <c r="C42" i="38656"/>
  <c r="C42" i="38655"/>
  <c r="F42" i="18"/>
  <c r="C42" i="19"/>
  <c r="E42" i="19"/>
  <c r="H42" i="19"/>
  <c r="E13" i="38659"/>
  <c r="G13" i="38659" s="1"/>
  <c r="B50" i="38659"/>
  <c r="F51" i="5"/>
  <c r="D51" i="6" s="1"/>
  <c r="E51" i="6" s="1"/>
  <c r="C51" i="38648" s="1"/>
  <c r="C51" i="38"/>
  <c r="E51" i="38"/>
  <c r="G51" i="38"/>
  <c r="F51" i="26"/>
  <c r="I51" i="20"/>
  <c r="G51" i="34"/>
  <c r="C51" i="9"/>
  <c r="C51" i="7"/>
  <c r="I51" i="38655"/>
  <c r="C51" i="38656"/>
  <c r="C51" i="11"/>
  <c r="I51" i="26"/>
  <c r="G51" i="36"/>
  <c r="E51" i="36"/>
  <c r="F51" i="9"/>
  <c r="F51" i="38656"/>
  <c r="F51" i="38655"/>
  <c r="C51" i="26"/>
  <c r="C51" i="27"/>
  <c r="C51" i="76" s="1"/>
  <c r="C51" i="37"/>
  <c r="E51" i="34"/>
  <c r="C51" i="8"/>
  <c r="C51" i="25"/>
  <c r="C51" i="38655"/>
  <c r="F51" i="10"/>
  <c r="E51" i="82"/>
  <c r="F51" i="11"/>
  <c r="C51" i="36"/>
  <c r="F51" i="8"/>
  <c r="C51" i="10"/>
  <c r="I51" i="10"/>
  <c r="I51" i="25"/>
  <c r="C51" i="35"/>
  <c r="E51" i="25"/>
  <c r="I51" i="9"/>
  <c r="C51" i="34"/>
  <c r="E51" i="37"/>
  <c r="C51" i="82"/>
  <c r="E51" i="35"/>
  <c r="I51" i="11"/>
  <c r="G51" i="25"/>
  <c r="E51" i="19"/>
  <c r="I51" i="18"/>
  <c r="H51" i="19"/>
  <c r="C51" i="19"/>
  <c r="C51" i="20"/>
  <c r="F51" i="18"/>
  <c r="F51" i="20"/>
  <c r="C51" i="18"/>
  <c r="F28" i="5"/>
  <c r="E28" i="38"/>
  <c r="G28" i="38"/>
  <c r="C28" i="38"/>
  <c r="E28" i="36"/>
  <c r="I28" i="20"/>
  <c r="F28" i="9"/>
  <c r="C28" i="34"/>
  <c r="C28" i="36"/>
  <c r="E28" i="82"/>
  <c r="C28" i="26"/>
  <c r="F28" i="11"/>
  <c r="F28" i="38655"/>
  <c r="C28" i="10"/>
  <c r="I28" i="25"/>
  <c r="I28" i="10"/>
  <c r="G28" i="36"/>
  <c r="E28" i="34"/>
  <c r="I28" i="38655"/>
  <c r="F28" i="38656"/>
  <c r="C28" i="38656"/>
  <c r="C28" i="82"/>
  <c r="I28" i="9"/>
  <c r="F28" i="10"/>
  <c r="C28" i="25"/>
  <c r="C28" i="11"/>
  <c r="C28" i="27"/>
  <c r="C28" i="76" s="1"/>
  <c r="F28" i="26"/>
  <c r="G28" i="25"/>
  <c r="E28" i="37"/>
  <c r="E28" i="35"/>
  <c r="G28" i="34"/>
  <c r="C28" i="35"/>
  <c r="I28" i="26"/>
  <c r="F28" i="8"/>
  <c r="C28" i="37"/>
  <c r="I28" i="11"/>
  <c r="C28" i="8"/>
  <c r="E28" i="25"/>
  <c r="C28" i="9"/>
  <c r="C28" i="7"/>
  <c r="E28" i="19"/>
  <c r="F28" i="20"/>
  <c r="C28" i="19"/>
  <c r="C28" i="18"/>
  <c r="C28" i="38655"/>
  <c r="C28" i="20"/>
  <c r="I28" i="18"/>
  <c r="F28" i="18"/>
  <c r="H28" i="19"/>
  <c r="F38" i="5"/>
  <c r="E38" i="38"/>
  <c r="C38" i="38"/>
  <c r="G38" i="38"/>
  <c r="I38" i="20"/>
  <c r="C38" i="35"/>
  <c r="F38" i="38656"/>
  <c r="I38" i="38655"/>
  <c r="C38" i="9"/>
  <c r="E38" i="25"/>
  <c r="C38" i="25"/>
  <c r="C38" i="82"/>
  <c r="G38" i="34"/>
  <c r="C38" i="34"/>
  <c r="I38" i="26"/>
  <c r="C38" i="27"/>
  <c r="C38" i="76" s="1"/>
  <c r="E38" i="34"/>
  <c r="I38" i="25"/>
  <c r="F38" i="9"/>
  <c r="F38" i="11"/>
  <c r="G38" i="36"/>
  <c r="F38" i="10"/>
  <c r="C38" i="11"/>
  <c r="F38" i="38655"/>
  <c r="I38" i="9"/>
  <c r="F38" i="8"/>
  <c r="E38" i="35"/>
  <c r="C38" i="26"/>
  <c r="E38" i="82"/>
  <c r="C38" i="7"/>
  <c r="C38" i="36"/>
  <c r="E38" i="36"/>
  <c r="C38" i="10"/>
  <c r="E38" i="37"/>
  <c r="G38" i="25"/>
  <c r="C38" i="8"/>
  <c r="I38" i="10"/>
  <c r="F38" i="26"/>
  <c r="C38" i="37"/>
  <c r="C38" i="20"/>
  <c r="C38" i="38656"/>
  <c r="C38" i="18"/>
  <c r="F38" i="20"/>
  <c r="I38" i="11"/>
  <c r="C38" i="38655"/>
  <c r="C38" i="19"/>
  <c r="I38" i="18"/>
  <c r="E38" i="19"/>
  <c r="F38" i="18"/>
  <c r="H38" i="19"/>
  <c r="K33" i="38659"/>
  <c r="L33" i="38659"/>
  <c r="F15" i="5"/>
  <c r="G15" i="38"/>
  <c r="E15" i="38"/>
  <c r="C15" i="38"/>
  <c r="E15" i="36"/>
  <c r="I15" i="20"/>
  <c r="C15" i="10"/>
  <c r="F15" i="10"/>
  <c r="F15" i="11"/>
  <c r="C15" i="9"/>
  <c r="I15" i="11"/>
  <c r="C15" i="26"/>
  <c r="E15" i="34"/>
  <c r="F15" i="8"/>
  <c r="E15" i="37"/>
  <c r="C15" i="37"/>
  <c r="C15" i="34"/>
  <c r="C15" i="7"/>
  <c r="I15" i="9"/>
  <c r="E15" i="82"/>
  <c r="I15" i="26"/>
  <c r="C15" i="35"/>
  <c r="C15" i="25"/>
  <c r="G15" i="34"/>
  <c r="F15" i="38656"/>
  <c r="C15" i="82"/>
  <c r="C15" i="11"/>
  <c r="E15" i="35"/>
  <c r="E15" i="25"/>
  <c r="C15" i="27"/>
  <c r="C15" i="76" s="1"/>
  <c r="F15" i="26"/>
  <c r="C15" i="8"/>
  <c r="F15" i="9"/>
  <c r="I15" i="25"/>
  <c r="C15" i="36"/>
  <c r="F15" i="38655"/>
  <c r="I15" i="10"/>
  <c r="C15" i="38656"/>
  <c r="G15" i="36"/>
  <c r="G15" i="25"/>
  <c r="C15" i="38655"/>
  <c r="I15" i="18"/>
  <c r="C15" i="18"/>
  <c r="C15" i="20"/>
  <c r="F15" i="18"/>
  <c r="F15" i="20"/>
  <c r="C15" i="19"/>
  <c r="E15" i="19"/>
  <c r="I15" i="38655"/>
  <c r="H15" i="19"/>
  <c r="F46" i="5"/>
  <c r="E46" i="38"/>
  <c r="G46" i="38"/>
  <c r="C46" i="38"/>
  <c r="C46" i="37"/>
  <c r="E46" i="35"/>
  <c r="C46" i="35"/>
  <c r="G46" i="36"/>
  <c r="I46" i="20"/>
  <c r="F46" i="38656"/>
  <c r="F46" i="11"/>
  <c r="C46" i="7"/>
  <c r="E46" i="36"/>
  <c r="C46" i="8"/>
  <c r="I46" i="11"/>
  <c r="E46" i="25"/>
  <c r="E46" i="82"/>
  <c r="E46" i="37"/>
  <c r="F46" i="9"/>
  <c r="G46" i="34"/>
  <c r="G46" i="25"/>
  <c r="F46" i="8"/>
  <c r="F46" i="26"/>
  <c r="C46" i="36"/>
  <c r="C46" i="11"/>
  <c r="E46" i="34"/>
  <c r="F46" i="10"/>
  <c r="C46" i="25"/>
  <c r="C46" i="34"/>
  <c r="I46" i="9"/>
  <c r="I46" i="10"/>
  <c r="C46" i="10"/>
  <c r="C46" i="20"/>
  <c r="I46" i="26"/>
  <c r="F46" i="38655"/>
  <c r="C46" i="82"/>
  <c r="C46" i="26"/>
  <c r="I46" i="38655"/>
  <c r="C46" i="9"/>
  <c r="I46" i="25"/>
  <c r="C46" i="27"/>
  <c r="C46" i="76" s="1"/>
  <c r="C46" i="38656"/>
  <c r="F46" i="20"/>
  <c r="I46" i="18"/>
  <c r="C46" i="18"/>
  <c r="C46" i="38655"/>
  <c r="C46" i="19"/>
  <c r="F46" i="18"/>
  <c r="E46" i="19"/>
  <c r="H46" i="19"/>
  <c r="F33" i="5"/>
  <c r="G33" i="38"/>
  <c r="E33" i="38"/>
  <c r="C33" i="38"/>
  <c r="I33" i="20"/>
  <c r="C33" i="37"/>
  <c r="E33" i="36"/>
  <c r="G33" i="34"/>
  <c r="C33" i="8"/>
  <c r="C33" i="38656"/>
  <c r="F33" i="11"/>
  <c r="C33" i="26"/>
  <c r="F33" i="9"/>
  <c r="E33" i="82"/>
  <c r="I33" i="9"/>
  <c r="I33" i="11"/>
  <c r="C33" i="82"/>
  <c r="F33" i="26"/>
  <c r="F33" i="38656"/>
  <c r="C33" i="11"/>
  <c r="G33" i="25"/>
  <c r="F33" i="10"/>
  <c r="E33" i="37"/>
  <c r="C33" i="25"/>
  <c r="C33" i="9"/>
  <c r="F33" i="38655"/>
  <c r="C33" i="36"/>
  <c r="I33" i="38655"/>
  <c r="C33" i="35"/>
  <c r="C33" i="34"/>
  <c r="F33" i="8"/>
  <c r="I33" i="25"/>
  <c r="G33" i="36"/>
  <c r="E33" i="25"/>
  <c r="C33" i="10"/>
  <c r="I33" i="10"/>
  <c r="C33" i="7"/>
  <c r="I33" i="26"/>
  <c r="E33" i="35"/>
  <c r="E33" i="34"/>
  <c r="F33" i="20"/>
  <c r="C33" i="27"/>
  <c r="C33" i="76" s="1"/>
  <c r="E33" i="19"/>
  <c r="C33" i="19"/>
  <c r="C33" i="18"/>
  <c r="I33" i="18"/>
  <c r="F33" i="18"/>
  <c r="C33" i="20"/>
  <c r="C33" i="38655"/>
  <c r="H33" i="19"/>
  <c r="F21" i="5"/>
  <c r="E21" i="38"/>
  <c r="C21" i="38"/>
  <c r="G21" i="38"/>
  <c r="I21" i="20"/>
  <c r="E21" i="36"/>
  <c r="E21" i="37"/>
  <c r="C21" i="27"/>
  <c r="C21" i="76" s="1"/>
  <c r="I21" i="25"/>
  <c r="C21" i="26"/>
  <c r="G21" i="34"/>
  <c r="C21" i="11"/>
  <c r="F21" i="38655"/>
  <c r="C21" i="38656"/>
  <c r="F21" i="38656"/>
  <c r="C21" i="35"/>
  <c r="C21" i="9"/>
  <c r="F21" i="26"/>
  <c r="E21" i="82"/>
  <c r="F21" i="10"/>
  <c r="I21" i="10"/>
  <c r="F21" i="8"/>
  <c r="I21" i="11"/>
  <c r="C21" i="34"/>
  <c r="C21" i="8"/>
  <c r="F21" i="11"/>
  <c r="C21" i="25"/>
  <c r="F21" i="9"/>
  <c r="C21" i="10"/>
  <c r="G21" i="36"/>
  <c r="I21" i="26"/>
  <c r="C21" i="36"/>
  <c r="E21" i="25"/>
  <c r="C21" i="37"/>
  <c r="E21" i="35"/>
  <c r="C21" i="7"/>
  <c r="G21" i="25"/>
  <c r="E21" i="34"/>
  <c r="C21" i="82"/>
  <c r="I21" i="9"/>
  <c r="C21" i="38655"/>
  <c r="C21" i="19"/>
  <c r="I21" i="38655"/>
  <c r="C21" i="18"/>
  <c r="I21" i="18"/>
  <c r="E21" i="19"/>
  <c r="F21" i="20"/>
  <c r="F21" i="18"/>
  <c r="C21" i="20"/>
  <c r="H21" i="19"/>
  <c r="K44" i="38659"/>
  <c r="L44" i="38659"/>
  <c r="F11" i="5"/>
  <c r="D48" i="5"/>
  <c r="C11" i="38"/>
  <c r="E11" i="38"/>
  <c r="G11" i="38"/>
  <c r="I11" i="20"/>
  <c r="I11" i="26"/>
  <c r="C11" i="8"/>
  <c r="F11" i="38655"/>
  <c r="C11" i="37"/>
  <c r="G11" i="34"/>
  <c r="C11" i="10"/>
  <c r="G11" i="25"/>
  <c r="C11" i="38656"/>
  <c r="C11" i="9"/>
  <c r="I11" i="25"/>
  <c r="E11" i="37"/>
  <c r="E11" i="34"/>
  <c r="F11" i="9"/>
  <c r="F11" i="10"/>
  <c r="C11" i="25"/>
  <c r="I11" i="11"/>
  <c r="C11" i="26"/>
  <c r="E11" i="35"/>
  <c r="F11" i="26"/>
  <c r="C11" i="36"/>
  <c r="C11" i="27"/>
  <c r="C11" i="76" s="1"/>
  <c r="I11" i="10"/>
  <c r="E11" i="25"/>
  <c r="I11" i="9"/>
  <c r="C11" i="11"/>
  <c r="E11" i="36"/>
  <c r="G11" i="36"/>
  <c r="C11" i="7"/>
  <c r="F11" i="11"/>
  <c r="F11" i="38656"/>
  <c r="F11" i="8"/>
  <c r="C11" i="82"/>
  <c r="C11" i="35"/>
  <c r="C11" i="34"/>
  <c r="E11" i="82"/>
  <c r="F11" i="20"/>
  <c r="I11" i="38655"/>
  <c r="F11" i="18"/>
  <c r="C11" i="19"/>
  <c r="C11" i="38655"/>
  <c r="I11" i="18"/>
  <c r="C11" i="18"/>
  <c r="E11" i="19"/>
  <c r="C11" i="20"/>
  <c r="H11" i="19"/>
  <c r="K26" i="38659"/>
  <c r="L26" i="38659"/>
  <c r="F40" i="5"/>
  <c r="C40" i="38"/>
  <c r="G40" i="38"/>
  <c r="E40" i="38"/>
  <c r="C40" i="7"/>
  <c r="I40" i="20"/>
  <c r="C40" i="26"/>
  <c r="F40" i="8"/>
  <c r="G40" i="25"/>
  <c r="E40" i="82"/>
  <c r="F40" i="38655"/>
  <c r="E40" i="34"/>
  <c r="G40" i="36"/>
  <c r="C40" i="11"/>
  <c r="C40" i="35"/>
  <c r="C40" i="9"/>
  <c r="C40" i="8"/>
  <c r="C40" i="82"/>
  <c r="C40" i="34"/>
  <c r="E40" i="37"/>
  <c r="E40" i="35"/>
  <c r="C40" i="37"/>
  <c r="C40" i="10"/>
  <c r="E40" i="25"/>
  <c r="I40" i="9"/>
  <c r="C40" i="36"/>
  <c r="F40" i="10"/>
  <c r="I40" i="25"/>
  <c r="F40" i="11"/>
  <c r="I40" i="11"/>
  <c r="I40" i="26"/>
  <c r="E40" i="36"/>
  <c r="I40" i="10"/>
  <c r="F40" i="26"/>
  <c r="I40" i="38655"/>
  <c r="F40" i="9"/>
  <c r="F40" i="38656"/>
  <c r="G40" i="34"/>
  <c r="C40" i="38656"/>
  <c r="C40" i="25"/>
  <c r="I40" i="18"/>
  <c r="C40" i="19"/>
  <c r="C40" i="27"/>
  <c r="C40" i="76" s="1"/>
  <c r="C40" i="20"/>
  <c r="F40" i="20"/>
  <c r="C40" i="18"/>
  <c r="F40" i="18"/>
  <c r="C40" i="38655"/>
  <c r="H40" i="19"/>
  <c r="E40" i="19"/>
  <c r="D32" i="6"/>
  <c r="E32" i="6" s="1"/>
  <c r="C32" i="38648" s="1"/>
  <c r="K25" i="38659"/>
  <c r="L25" i="38659"/>
  <c r="K22" i="38659"/>
  <c r="L22" i="38659"/>
  <c r="F25" i="5"/>
  <c r="C25" i="38"/>
  <c r="E25" i="38"/>
  <c r="G25" i="38"/>
  <c r="E25" i="36"/>
  <c r="E25" i="37"/>
  <c r="C25" i="8"/>
  <c r="I25" i="20"/>
  <c r="E25" i="35"/>
  <c r="E25" i="82"/>
  <c r="C25" i="25"/>
  <c r="F25" i="38655"/>
  <c r="I25" i="9"/>
  <c r="E25" i="34"/>
  <c r="C25" i="36"/>
  <c r="C25" i="7"/>
  <c r="F25" i="10"/>
  <c r="I25" i="25"/>
  <c r="F25" i="26"/>
  <c r="E25" i="25"/>
  <c r="C25" i="37"/>
  <c r="C25" i="27"/>
  <c r="C25" i="76" s="1"/>
  <c r="I25" i="38655"/>
  <c r="F25" i="11"/>
  <c r="G25" i="25"/>
  <c r="F25" i="8"/>
  <c r="C25" i="34"/>
  <c r="I25" i="10"/>
  <c r="C25" i="9"/>
  <c r="I25" i="26"/>
  <c r="C25" i="26"/>
  <c r="C25" i="10"/>
  <c r="C25" i="82"/>
  <c r="G25" i="34"/>
  <c r="C25" i="35"/>
  <c r="F25" i="9"/>
  <c r="C25" i="11"/>
  <c r="G25" i="36"/>
  <c r="F25" i="38656"/>
  <c r="C25" i="38656"/>
  <c r="C25" i="38655"/>
  <c r="C25" i="18"/>
  <c r="C25" i="20"/>
  <c r="F25" i="18"/>
  <c r="F25" i="20"/>
  <c r="C25" i="19"/>
  <c r="I25" i="11"/>
  <c r="I25" i="18"/>
  <c r="E25" i="19"/>
  <c r="H25" i="19"/>
  <c r="D26" i="6"/>
  <c r="E26" i="6" s="1"/>
  <c r="C26" i="38648" s="1"/>
  <c r="J11" i="42" l="1"/>
  <c r="D11" i="6"/>
  <c r="F48" i="5"/>
  <c r="D21" i="6"/>
  <c r="E21" i="6" s="1"/>
  <c r="C21" i="38648" s="1"/>
  <c r="D46" i="6"/>
  <c r="E46" i="6" s="1"/>
  <c r="C46" i="38648" s="1"/>
  <c r="D28" i="6"/>
  <c r="E28" i="6" s="1"/>
  <c r="C28" i="38648" s="1"/>
  <c r="E50" i="38659"/>
  <c r="G50" i="38659" s="1"/>
  <c r="K13" i="38659"/>
  <c r="L13" i="38659"/>
  <c r="D19" i="6"/>
  <c r="E19" i="6" s="1"/>
  <c r="C19" i="38648" s="1"/>
  <c r="D23" i="6"/>
  <c r="E23" i="6" s="1"/>
  <c r="C23" i="38648" s="1"/>
  <c r="D44" i="6"/>
  <c r="E44" i="6" s="1"/>
  <c r="C44" i="38648" s="1"/>
  <c r="D31" i="6"/>
  <c r="E31" i="6" s="1"/>
  <c r="C31" i="38648" s="1"/>
  <c r="D14" i="6"/>
  <c r="E14" i="6" s="1"/>
  <c r="C14" i="38648" s="1"/>
  <c r="J54" i="23"/>
  <c r="M25" i="21"/>
  <c r="G48" i="38"/>
  <c r="C48" i="38"/>
  <c r="I48" i="20"/>
  <c r="C48" i="10"/>
  <c r="E48" i="35"/>
  <c r="I48" i="26"/>
  <c r="F48" i="11"/>
  <c r="C48" i="37"/>
  <c r="C48" i="11"/>
  <c r="C48" i="26"/>
  <c r="I48" i="10"/>
  <c r="C48" i="25"/>
  <c r="I48" i="25"/>
  <c r="F48" i="38655"/>
  <c r="F48" i="26"/>
  <c r="C48" i="82"/>
  <c r="E48" i="36"/>
  <c r="I48" i="11"/>
  <c r="C48" i="38656"/>
  <c r="C48" i="9"/>
  <c r="E48" i="25"/>
  <c r="E48" i="37"/>
  <c r="E48" i="34"/>
  <c r="G48" i="25"/>
  <c r="F48" i="38656"/>
  <c r="E48" i="82"/>
  <c r="C48" i="34"/>
  <c r="F48" i="10"/>
  <c r="C48" i="35"/>
  <c r="I48" i="9"/>
  <c r="G48" i="34"/>
  <c r="C48" i="36"/>
  <c r="G48" i="36"/>
  <c r="C48" i="19"/>
  <c r="I48" i="38655"/>
  <c r="C48" i="27"/>
  <c r="C48" i="76" s="1"/>
  <c r="C48" i="8"/>
  <c r="C48" i="7"/>
  <c r="F48" i="8"/>
  <c r="F48" i="18"/>
  <c r="F48" i="20"/>
  <c r="C48" i="38655"/>
  <c r="C48" i="20"/>
  <c r="I48" i="18"/>
  <c r="F48" i="9"/>
  <c r="E48" i="19"/>
  <c r="C48" i="18"/>
  <c r="H48" i="19"/>
  <c r="D39" i="6"/>
  <c r="E39" i="6" s="1"/>
  <c r="C39" i="38648" s="1"/>
  <c r="D20" i="6"/>
  <c r="E20" i="6" s="1"/>
  <c r="C20" i="38648" s="1"/>
  <c r="D43" i="6"/>
  <c r="E43" i="6" s="1"/>
  <c r="C43" i="38648" s="1"/>
  <c r="D24" i="6"/>
  <c r="E24" i="6" s="1"/>
  <c r="C24" i="38648" s="1"/>
  <c r="D15" i="6"/>
  <c r="E15" i="6" s="1"/>
  <c r="C15" i="38648" s="1"/>
  <c r="D38" i="6"/>
  <c r="E38" i="6" s="1"/>
  <c r="C38" i="38648" s="1"/>
  <c r="D42" i="6"/>
  <c r="E42" i="6" s="1"/>
  <c r="C42" i="38648" s="1"/>
  <c r="D12" i="6"/>
  <c r="E12" i="6" s="1"/>
  <c r="C12" i="38648" s="1"/>
  <c r="D16" i="6"/>
  <c r="E16" i="6" s="1"/>
  <c r="C16" i="38648" s="1"/>
  <c r="D41" i="6"/>
  <c r="E41" i="6" s="1"/>
  <c r="C41" i="38648" s="1"/>
  <c r="D18" i="6"/>
  <c r="E18" i="6" s="1"/>
  <c r="C18" i="38648" s="1"/>
  <c r="D13" i="6"/>
  <c r="E13" i="6" s="1"/>
  <c r="C13" i="38648" s="1"/>
  <c r="D33" i="6"/>
  <c r="E33" i="6" s="1"/>
  <c r="C33" i="38648" s="1"/>
  <c r="D25" i="6"/>
  <c r="E25" i="6" s="1"/>
  <c r="C25" i="38648" s="1"/>
  <c r="D40" i="6"/>
  <c r="E40" i="6" s="1"/>
  <c r="C40" i="38648" s="1"/>
  <c r="D36" i="6"/>
  <c r="E36" i="6" s="1"/>
  <c r="C36" i="38648" s="1"/>
  <c r="D45" i="6"/>
  <c r="E45" i="6" s="1"/>
  <c r="C45" i="38648" s="1"/>
  <c r="D22" i="6"/>
  <c r="E22" i="6" s="1"/>
  <c r="C22" i="38648" s="1"/>
  <c r="D17" i="6"/>
  <c r="E17" i="6" s="1"/>
  <c r="C17" i="38648" s="1"/>
  <c r="D37" i="6"/>
  <c r="E37" i="6" s="1"/>
  <c r="C37" i="38648" s="1"/>
  <c r="I48" i="43"/>
  <c r="B48" i="42" s="1"/>
  <c r="C48" i="45"/>
  <c r="G48" i="42" s="1"/>
  <c r="L16" i="42" s="1"/>
  <c r="I48" i="44"/>
  <c r="F48" i="42" s="1"/>
  <c r="L15" i="42" s="1"/>
  <c r="E48" i="44"/>
  <c r="D48" i="42" s="1"/>
  <c r="L13" i="42" s="1"/>
  <c r="C48" i="44"/>
  <c r="C48" i="42" s="1"/>
  <c r="L12" i="42" s="1"/>
  <c r="G48" i="45"/>
  <c r="G48" i="44"/>
  <c r="E48" i="42" s="1"/>
  <c r="L14" i="42" s="1"/>
  <c r="E48" i="45"/>
  <c r="H48" i="42" s="1"/>
  <c r="L17" i="42" s="1"/>
  <c r="A62" i="43" l="1"/>
  <c r="A53" i="42"/>
  <c r="L11" i="42"/>
  <c r="L19" i="42" s="1"/>
  <c r="J48" i="42"/>
  <c r="E11" i="6"/>
  <c r="C11" i="38648" s="1"/>
  <c r="D48" i="6"/>
  <c r="E48" i="6" s="1"/>
  <c r="C48" i="38648" s="1"/>
  <c r="K50" i="38659"/>
  <c r="E48" i="38"/>
  <c r="G29" i="38663" l="1"/>
  <c r="D29" i="32" l="1"/>
  <c r="E29" i="38648" l="1"/>
  <c r="G29" i="38667" l="1"/>
  <c r="I29" i="38667"/>
  <c r="E29" i="38667"/>
  <c r="G30" i="38663" l="1"/>
  <c r="D48" i="38663" l="1"/>
  <c r="E48" i="38663"/>
  <c r="D30" i="32"/>
  <c r="F27" i="39"/>
  <c r="E48" i="39"/>
  <c r="F48" i="39" s="1"/>
  <c r="G13" i="38663"/>
  <c r="F48" i="38663"/>
  <c r="G17" i="38663"/>
  <c r="G21" i="38663"/>
  <c r="G25" i="38663"/>
  <c r="G31" i="38663"/>
  <c r="G35" i="38663"/>
  <c r="G50" i="38663"/>
  <c r="G12" i="38663"/>
  <c r="G16" i="38663"/>
  <c r="G24" i="38663"/>
  <c r="G42" i="38663"/>
  <c r="G46" i="38663"/>
  <c r="C48" i="39"/>
  <c r="D48" i="39" s="1"/>
  <c r="D27" i="39"/>
  <c r="G19" i="38663"/>
  <c r="G23" i="38663"/>
  <c r="G27" i="38663"/>
  <c r="G33" i="38663"/>
  <c r="G41" i="38663"/>
  <c r="G45" i="38663"/>
  <c r="H27" i="39"/>
  <c r="G48" i="39"/>
  <c r="H48" i="39" s="1"/>
  <c r="G14" i="38663"/>
  <c r="G18" i="38663"/>
  <c r="G20" i="38663"/>
  <c r="G22" i="38663"/>
  <c r="G26" i="38663"/>
  <c r="G28" i="38663"/>
  <c r="G32" i="38663"/>
  <c r="G36" i="38663"/>
  <c r="G38" i="38663"/>
  <c r="G40" i="38663"/>
  <c r="G44" i="38663"/>
  <c r="G51" i="38663"/>
  <c r="D42" i="32"/>
  <c r="D51" i="32" l="1"/>
  <c r="G37" i="38663"/>
  <c r="G39" i="38663"/>
  <c r="G29" i="54"/>
  <c r="F29" i="54"/>
  <c r="D22" i="32"/>
  <c r="D43" i="32"/>
  <c r="D41" i="32"/>
  <c r="D21" i="32"/>
  <c r="D26" i="32"/>
  <c r="G34" i="38663"/>
  <c r="G15" i="38663"/>
  <c r="B48" i="38663"/>
  <c r="D45" i="32"/>
  <c r="D34" i="32"/>
  <c r="D25" i="32"/>
  <c r="D16" i="32"/>
  <c r="D13" i="32"/>
  <c r="D35" i="32"/>
  <c r="D32" i="32"/>
  <c r="D15" i="32"/>
  <c r="D14" i="32"/>
  <c r="D24" i="32"/>
  <c r="J29" i="54"/>
  <c r="I29" i="54"/>
  <c r="G30" i="54"/>
  <c r="F30" i="54"/>
  <c r="B48" i="32"/>
  <c r="D46" i="32"/>
  <c r="D37" i="32"/>
  <c r="D28" i="32"/>
  <c r="D17" i="32"/>
  <c r="D39" i="32"/>
  <c r="D36" i="32"/>
  <c r="D33" i="32"/>
  <c r="J30" i="54"/>
  <c r="I30" i="54"/>
  <c r="E29" i="76"/>
  <c r="D29" i="54"/>
  <c r="C29" i="54"/>
  <c r="D30" i="54"/>
  <c r="E30" i="76"/>
  <c r="C30" i="54"/>
  <c r="G11" i="38663"/>
  <c r="C48" i="38663"/>
  <c r="D12" i="32"/>
  <c r="D31" i="32"/>
  <c r="D38" i="32"/>
  <c r="D20" i="32"/>
  <c r="D27" i="32"/>
  <c r="D50" i="32"/>
  <c r="D44" i="32"/>
  <c r="D40" i="32"/>
  <c r="D23" i="32"/>
  <c r="D19" i="32"/>
  <c r="G43" i="38663"/>
  <c r="D18" i="32"/>
  <c r="E16" i="38648"/>
  <c r="E35" i="38648"/>
  <c r="E28" i="38648"/>
  <c r="E23" i="38648"/>
  <c r="E12" i="38648"/>
  <c r="E41" i="38648"/>
  <c r="E32" i="38648"/>
  <c r="E13" i="38648"/>
  <c r="E19" i="38648"/>
  <c r="E31" i="38648"/>
  <c r="E36" i="38648"/>
  <c r="E14" i="38648"/>
  <c r="E44" i="38648"/>
  <c r="E34" i="38648"/>
  <c r="E17" i="38648"/>
  <c r="E46" i="38648"/>
  <c r="E42" i="38648"/>
  <c r="E38" i="38648"/>
  <c r="E20" i="38648"/>
  <c r="E26" i="38648"/>
  <c r="E15" i="38648"/>
  <c r="E45" i="38648"/>
  <c r="E21" i="38648"/>
  <c r="E50" i="38648"/>
  <c r="E43" i="38648"/>
  <c r="E22" i="38648"/>
  <c r="E33" i="38648"/>
  <c r="E27" i="38648"/>
  <c r="E18" i="38648"/>
  <c r="E51" i="38648"/>
  <c r="E40" i="38648"/>
  <c r="E25" i="38648"/>
  <c r="C48" i="32"/>
  <c r="E11" i="38648"/>
  <c r="E39" i="38648"/>
  <c r="E30" i="38648"/>
  <c r="E24" i="38648"/>
  <c r="E37" i="38648"/>
  <c r="G13" i="54" l="1"/>
  <c r="F13" i="54"/>
  <c r="J27" i="54"/>
  <c r="I27" i="54"/>
  <c r="D20" i="54"/>
  <c r="E20" i="76"/>
  <c r="C20" i="54"/>
  <c r="J35" i="54"/>
  <c r="I35" i="54"/>
  <c r="J18" i="54"/>
  <c r="I18" i="54"/>
  <c r="D38" i="54"/>
  <c r="E38" i="76"/>
  <c r="C38" i="54"/>
  <c r="D25" i="54"/>
  <c r="E25" i="76"/>
  <c r="C25" i="54"/>
  <c r="G17" i="54"/>
  <c r="F17" i="54"/>
  <c r="D21" i="54"/>
  <c r="C21" i="54"/>
  <c r="G14" i="54"/>
  <c r="F14" i="54"/>
  <c r="J14" i="54"/>
  <c r="I14" i="54"/>
  <c r="J32" i="54"/>
  <c r="I32" i="54"/>
  <c r="D23" i="54"/>
  <c r="E23" i="76"/>
  <c r="C23" i="54"/>
  <c r="J23" i="54"/>
  <c r="I23" i="54"/>
  <c r="G44" i="54"/>
  <c r="F44" i="54"/>
  <c r="G22" i="54"/>
  <c r="F22" i="54"/>
  <c r="G33" i="54"/>
  <c r="F33" i="54"/>
  <c r="G50" i="54"/>
  <c r="F50" i="54"/>
  <c r="J41" i="54"/>
  <c r="I41" i="54"/>
  <c r="G37" i="54"/>
  <c r="F37" i="54"/>
  <c r="D40" i="54"/>
  <c r="E40" i="76"/>
  <c r="C40" i="54"/>
  <c r="G40" i="54"/>
  <c r="F40" i="54"/>
  <c r="G24" i="54"/>
  <c r="F24" i="54"/>
  <c r="G42" i="54"/>
  <c r="F42" i="54"/>
  <c r="D22" i="54"/>
  <c r="E22" i="76"/>
  <c r="C22" i="54"/>
  <c r="J51" i="54"/>
  <c r="I51" i="54"/>
  <c r="D24" i="54"/>
  <c r="E24" i="76"/>
  <c r="C24" i="54"/>
  <c r="G21" i="54"/>
  <c r="F21" i="54"/>
  <c r="D11" i="54"/>
  <c r="C11" i="54"/>
  <c r="G19" i="54"/>
  <c r="F19" i="54"/>
  <c r="G51" i="54"/>
  <c r="F51" i="54"/>
  <c r="G36" i="54"/>
  <c r="F36" i="54"/>
  <c r="D50" i="54"/>
  <c r="E50" i="76"/>
  <c r="C50" i="54"/>
  <c r="G16" i="54"/>
  <c r="F16" i="54"/>
  <c r="D44" i="54"/>
  <c r="E44" i="76"/>
  <c r="C44" i="54"/>
  <c r="J40" i="54"/>
  <c r="I40" i="54"/>
  <c r="J34" i="54"/>
  <c r="I34" i="54"/>
  <c r="G39" i="54"/>
  <c r="F39" i="54"/>
  <c r="D51" i="54"/>
  <c r="E51" i="76"/>
  <c r="C51" i="54"/>
  <c r="D13" i="54"/>
  <c r="E13" i="76"/>
  <c r="C13" i="54"/>
  <c r="G25" i="54"/>
  <c r="F25" i="54"/>
  <c r="J13" i="54"/>
  <c r="I13" i="54"/>
  <c r="G15" i="54"/>
  <c r="F15" i="54"/>
  <c r="G35" i="54"/>
  <c r="F35" i="54"/>
  <c r="G45" i="54"/>
  <c r="F45" i="54"/>
  <c r="D31" i="54"/>
  <c r="E31" i="76"/>
  <c r="C31" i="54"/>
  <c r="D41" i="54"/>
  <c r="E41" i="76"/>
  <c r="C41" i="54"/>
  <c r="J39" i="54"/>
  <c r="I39" i="54"/>
  <c r="D14" i="54"/>
  <c r="E14" i="76"/>
  <c r="C14" i="54"/>
  <c r="G30" i="76"/>
  <c r="F30" i="76"/>
  <c r="G29" i="76"/>
  <c r="F29" i="76"/>
  <c r="D43" i="54"/>
  <c r="C43" i="54"/>
  <c r="J20" i="54"/>
  <c r="I20" i="54"/>
  <c r="J24" i="54"/>
  <c r="I24" i="54"/>
  <c r="G41" i="54"/>
  <c r="F41" i="54"/>
  <c r="J15" i="54"/>
  <c r="I15" i="54"/>
  <c r="G32" i="54"/>
  <c r="F32" i="54"/>
  <c r="J22" i="54"/>
  <c r="I22" i="54"/>
  <c r="D28" i="54"/>
  <c r="E28" i="76"/>
  <c r="C28" i="54"/>
  <c r="D46" i="54"/>
  <c r="E46" i="76"/>
  <c r="C46" i="54"/>
  <c r="G28" i="54"/>
  <c r="F28" i="54"/>
  <c r="J31" i="54"/>
  <c r="I31" i="54"/>
  <c r="D35" i="54"/>
  <c r="E35" i="76"/>
  <c r="C35" i="54"/>
  <c r="J50" i="54"/>
  <c r="I50" i="54"/>
  <c r="J45" i="54"/>
  <c r="I45" i="54"/>
  <c r="D33" i="54"/>
  <c r="E33" i="76"/>
  <c r="C33" i="54"/>
  <c r="J42" i="54"/>
  <c r="I42" i="54"/>
  <c r="G23" i="54"/>
  <c r="F23" i="54"/>
  <c r="G34" i="54"/>
  <c r="F34" i="54"/>
  <c r="G46" i="54"/>
  <c r="F46" i="54"/>
  <c r="D42" i="54"/>
  <c r="E42" i="76"/>
  <c r="C42" i="54"/>
  <c r="G38" i="54"/>
  <c r="F38" i="54"/>
  <c r="D45" i="54"/>
  <c r="E45" i="76"/>
  <c r="C45" i="54"/>
  <c r="J46" i="54"/>
  <c r="I46" i="54"/>
  <c r="D15" i="54"/>
  <c r="E15" i="76"/>
  <c r="C15" i="54"/>
  <c r="G31" i="54"/>
  <c r="F31" i="54"/>
  <c r="J44" i="54"/>
  <c r="I44" i="54"/>
  <c r="J17" i="54"/>
  <c r="I17" i="54"/>
  <c r="G11" i="54"/>
  <c r="F11" i="54"/>
  <c r="J25" i="54"/>
  <c r="I25" i="54"/>
  <c r="J16" i="54"/>
  <c r="I16" i="54"/>
  <c r="J37" i="54"/>
  <c r="I37" i="54"/>
  <c r="D39" i="54"/>
  <c r="E39" i="76"/>
  <c r="C39" i="54"/>
  <c r="D34" i="54"/>
  <c r="E34" i="76"/>
  <c r="C34" i="54"/>
  <c r="G12" i="54"/>
  <c r="F12" i="54"/>
  <c r="J26" i="54"/>
  <c r="I26" i="54"/>
  <c r="D26" i="54"/>
  <c r="C26" i="54"/>
  <c r="D12" i="54"/>
  <c r="C12" i="54"/>
  <c r="G27" i="54"/>
  <c r="F27" i="54"/>
  <c r="E17" i="76"/>
  <c r="D17" i="54"/>
  <c r="C17" i="54"/>
  <c r="J36" i="54"/>
  <c r="I36" i="54"/>
  <c r="J38" i="54"/>
  <c r="I38" i="54"/>
  <c r="D18" i="54"/>
  <c r="C18" i="54"/>
  <c r="D37" i="54"/>
  <c r="E37" i="76"/>
  <c r="C37" i="54"/>
  <c r="J28" i="54"/>
  <c r="I28" i="54"/>
  <c r="G20" i="54"/>
  <c r="F20" i="54"/>
  <c r="J33" i="54"/>
  <c r="I33" i="54"/>
  <c r="D19" i="54"/>
  <c r="E19" i="76"/>
  <c r="C19" i="54"/>
  <c r="D32" i="54"/>
  <c r="E32" i="76"/>
  <c r="C32" i="54"/>
  <c r="D16" i="54"/>
  <c r="E16" i="76"/>
  <c r="C16" i="54"/>
  <c r="J19" i="54"/>
  <c r="I19" i="54"/>
  <c r="D27" i="54"/>
  <c r="E27" i="76"/>
  <c r="C27" i="54"/>
  <c r="G48" i="38663"/>
  <c r="D11" i="32"/>
  <c r="D48" i="32" s="1"/>
  <c r="E11" i="76"/>
  <c r="E26" i="76"/>
  <c r="E21" i="76"/>
  <c r="G21" i="76" l="1"/>
  <c r="F21" i="76"/>
  <c r="G26" i="76"/>
  <c r="F26" i="76"/>
  <c r="G11" i="76"/>
  <c r="F11" i="76"/>
  <c r="D36" i="54"/>
  <c r="E36" i="76"/>
  <c r="C36" i="54"/>
  <c r="G43" i="54"/>
  <c r="F43" i="54"/>
  <c r="G30" i="38667"/>
  <c r="I30" i="38667"/>
  <c r="E30" i="38667"/>
  <c r="G45" i="76"/>
  <c r="F45" i="76"/>
  <c r="G33" i="76"/>
  <c r="F33" i="76"/>
  <c r="G41" i="76"/>
  <c r="F41" i="76"/>
  <c r="G13" i="76"/>
  <c r="F13" i="76"/>
  <c r="G44" i="76"/>
  <c r="F44" i="76"/>
  <c r="G24" i="76"/>
  <c r="F24" i="76"/>
  <c r="G38" i="76"/>
  <c r="F38" i="76"/>
  <c r="E43" i="76"/>
  <c r="G26" i="54"/>
  <c r="F26" i="54"/>
  <c r="J12" i="54"/>
  <c r="I12" i="54"/>
  <c r="G16" i="76"/>
  <c r="F16" i="76"/>
  <c r="G34" i="76"/>
  <c r="F34" i="76"/>
  <c r="G15" i="76"/>
  <c r="F15" i="76"/>
  <c r="G35" i="76"/>
  <c r="F35" i="76"/>
  <c r="G14" i="76"/>
  <c r="F14" i="76"/>
  <c r="G31" i="76"/>
  <c r="F31" i="76"/>
  <c r="G51" i="76"/>
  <c r="F51" i="76"/>
  <c r="G23" i="76"/>
  <c r="F23" i="76"/>
  <c r="G20" i="76"/>
  <c r="F20" i="76"/>
  <c r="J43" i="54"/>
  <c r="I43" i="54"/>
  <c r="J11" i="54"/>
  <c r="I11" i="54"/>
  <c r="G27" i="76"/>
  <c r="F27" i="76"/>
  <c r="G32" i="76"/>
  <c r="F32" i="76"/>
  <c r="G37" i="76"/>
  <c r="F37" i="76"/>
  <c r="G39" i="76"/>
  <c r="F39" i="76"/>
  <c r="G46" i="76"/>
  <c r="F46" i="76"/>
  <c r="G40" i="76"/>
  <c r="F40" i="76"/>
  <c r="B48" i="54"/>
  <c r="J21" i="54"/>
  <c r="I21" i="54"/>
  <c r="G44" i="38667"/>
  <c r="I44" i="38667"/>
  <c r="E44" i="38667"/>
  <c r="G18" i="54"/>
  <c r="F18" i="54"/>
  <c r="G19" i="76"/>
  <c r="F19" i="76"/>
  <c r="G17" i="76"/>
  <c r="F17" i="76"/>
  <c r="G42" i="76"/>
  <c r="F42" i="76"/>
  <c r="G28" i="76"/>
  <c r="F28" i="76"/>
  <c r="G50" i="76"/>
  <c r="F50" i="76"/>
  <c r="G22" i="76"/>
  <c r="F22" i="76"/>
  <c r="G25" i="76"/>
  <c r="F25" i="76"/>
  <c r="E18" i="76"/>
  <c r="E12" i="76"/>
  <c r="E48" i="38648"/>
  <c r="C72" i="3188" l="1"/>
  <c r="G23" i="38667"/>
  <c r="I23" i="38667"/>
  <c r="E23" i="38667"/>
  <c r="G14" i="38667"/>
  <c r="I14" i="38667"/>
  <c r="E14" i="38667"/>
  <c r="G15" i="38667"/>
  <c r="I15" i="38667"/>
  <c r="E15" i="38667"/>
  <c r="G35" i="38667"/>
  <c r="I35" i="38667"/>
  <c r="E35" i="38667"/>
  <c r="G45" i="38667"/>
  <c r="I45" i="38667"/>
  <c r="E45" i="38667"/>
  <c r="G21" i="38667"/>
  <c r="I21" i="38667"/>
  <c r="E21" i="38667"/>
  <c r="G40" i="38667"/>
  <c r="I40" i="38667"/>
  <c r="E40" i="38667"/>
  <c r="G16" i="38667"/>
  <c r="I16" i="38667"/>
  <c r="E16" i="38667"/>
  <c r="G48" i="54"/>
  <c r="F48" i="54"/>
  <c r="G22" i="38667"/>
  <c r="I22" i="38667"/>
  <c r="E22" i="38667"/>
  <c r="D48" i="54"/>
  <c r="E48" i="76"/>
  <c r="C48" i="54"/>
  <c r="G24" i="38667"/>
  <c r="I24" i="38667"/>
  <c r="E24" i="38667"/>
  <c r="G34" i="38667"/>
  <c r="I34" i="38667"/>
  <c r="E34" i="38667"/>
  <c r="G25" i="38667"/>
  <c r="I25" i="38667"/>
  <c r="E25" i="38667"/>
  <c r="I32" i="38667"/>
  <c r="G32" i="38667"/>
  <c r="E32" i="38667"/>
  <c r="I13" i="38667"/>
  <c r="G13" i="38667"/>
  <c r="E13" i="38667"/>
  <c r="G43" i="76"/>
  <c r="F43" i="76"/>
  <c r="G41" i="38667"/>
  <c r="I41" i="38667"/>
  <c r="E41" i="38667"/>
  <c r="G46" i="38667"/>
  <c r="I46" i="38667"/>
  <c r="E46" i="38667"/>
  <c r="G36" i="38667"/>
  <c r="I36" i="38667"/>
  <c r="E36" i="38667"/>
  <c r="G28" i="38667"/>
  <c r="I28" i="38667"/>
  <c r="E28" i="38667"/>
  <c r="G38" i="38667"/>
  <c r="I38" i="38667"/>
  <c r="E38" i="38667"/>
  <c r="G18" i="76"/>
  <c r="F18" i="76"/>
  <c r="J48" i="54"/>
  <c r="I48" i="54"/>
  <c r="G26" i="38667"/>
  <c r="I26" i="38667"/>
  <c r="E26" i="38667"/>
  <c r="G12" i="76"/>
  <c r="F12" i="76"/>
  <c r="G36" i="76"/>
  <c r="F36" i="76"/>
  <c r="G20" i="38667" l="1"/>
  <c r="I20" i="38667"/>
  <c r="E20" i="38667"/>
  <c r="G31" i="38667"/>
  <c r="I31" i="38667"/>
  <c r="E31" i="38667"/>
  <c r="G27" i="38667"/>
  <c r="I27" i="38667"/>
  <c r="E27" i="38667"/>
  <c r="G42" i="38667"/>
  <c r="I42" i="38667"/>
  <c r="E42" i="38667"/>
  <c r="G18" i="38667"/>
  <c r="I18" i="38667"/>
  <c r="E18" i="38667"/>
  <c r="G11" i="38667"/>
  <c r="I11" i="38667"/>
  <c r="D48" i="38667"/>
  <c r="E11" i="38667"/>
  <c r="I17" i="38667"/>
  <c r="G17" i="38667"/>
  <c r="E17" i="38667"/>
  <c r="G37" i="38667"/>
  <c r="I37" i="38667"/>
  <c r="E37" i="38667"/>
  <c r="G19" i="38667"/>
  <c r="I19" i="38667"/>
  <c r="E19" i="38667"/>
  <c r="I43" i="38667"/>
  <c r="G43" i="38667"/>
  <c r="E43" i="38667"/>
  <c r="G48" i="76"/>
  <c r="F48" i="76"/>
  <c r="I12" i="38667"/>
  <c r="G12" i="38667"/>
  <c r="E12" i="38667"/>
  <c r="G39" i="38667"/>
  <c r="I39" i="38667"/>
  <c r="E39" i="38667"/>
  <c r="G33" i="38667"/>
  <c r="I33" i="38667"/>
  <c r="E33" i="38667"/>
  <c r="G48" i="38667" l="1"/>
  <c r="I48" i="38667"/>
  <c r="E48" i="38667"/>
</calcChain>
</file>

<file path=xl/comments1.xml><?xml version="1.0" encoding="utf-8"?>
<comments xmlns="http://schemas.openxmlformats.org/spreadsheetml/2006/main">
  <authors>
    <author>GPizzaro</author>
  </authors>
  <commentList>
    <comment ref="J8" authorId="0" shapeId="0">
      <text>
        <r>
          <rPr>
            <sz val="8"/>
            <color indexed="81"/>
            <rFont val="Tahoma"/>
            <family val="2"/>
          </rPr>
          <t>Portioned assessment come from W:\Edusfb\Total School Assessment\YYYY F assessment.</t>
        </r>
      </text>
    </comment>
    <comment ref="H16" authorId="0" shapeId="0">
      <text>
        <r>
          <rPr>
            <sz val="8"/>
            <color indexed="81"/>
            <rFont val="Tahoma"/>
            <family val="2"/>
          </rPr>
          <t xml:space="preserve">
Take it from the folder</t>
        </r>
      </text>
    </comment>
  </commentList>
</comments>
</file>

<file path=xl/sharedStrings.xml><?xml version="1.0" encoding="utf-8"?>
<sst xmlns="http://schemas.openxmlformats.org/spreadsheetml/2006/main" count="3222" uniqueCount="656">
  <si>
    <t>REVENUE AND TRANSFERS</t>
  </si>
  <si>
    <t xml:space="preserve"> EXPENSE BY CATEGORY</t>
  </si>
  <si>
    <t xml:space="preserve">  REVENUE BY CATEGORY</t>
  </si>
  <si>
    <t>TANGIBLE CAPITAL ASSETS</t>
  </si>
  <si>
    <t>FALLYR</t>
  </si>
  <si>
    <t>SPRINGYR</t>
  </si>
  <si>
    <t>PAGE 1 OF 3</t>
  </si>
  <si>
    <t xml:space="preserve"> </t>
  </si>
  <si>
    <t>PAGE 2 OF 3</t>
  </si>
  <si>
    <t>PAGE 3 OF 3</t>
  </si>
  <si>
    <t xml:space="preserve"> FRAME STUDENT STATISTICS</t>
  </si>
  <si>
    <t>PAGE 1 OF 2</t>
  </si>
  <si>
    <t xml:space="preserve">PAGE 2 OF 2 </t>
  </si>
  <si>
    <t xml:space="preserve"> FUNCTION 100: REGULAR INSTRUCTION</t>
  </si>
  <si>
    <t xml:space="preserve"> FUNCTION 400: COMMUNITY EDUCATION AND SERVICES</t>
  </si>
  <si>
    <t xml:space="preserve"> FUNCTION 700: TRANSPORTATION OF PUPILS</t>
  </si>
  <si>
    <t xml:space="preserve"> FUNCTION 800: OPERATIONS AND MAINTENANCE</t>
  </si>
  <si>
    <t xml:space="preserve"> FUNCTION 900: FISCAL</t>
  </si>
  <si>
    <t>REGULAR TRANSPORTATION</t>
  </si>
  <si>
    <t>ADMINISTRATION</t>
  </si>
  <si>
    <t>ENGLISH LANGUAGE</t>
  </si>
  <si>
    <t>FRANÇAIS</t>
  </si>
  <si>
    <t>FRENCH IMMERSION</t>
  </si>
  <si>
    <t>BOARD OF TRUSTEES</t>
  </si>
  <si>
    <t>OTHER</t>
  </si>
  <si>
    <t>SCHOOL BUILDINGS</t>
  </si>
  <si>
    <t>REGULAR INSTRUCTION</t>
  </si>
  <si>
    <t>EXCEPTIONAL</t>
  </si>
  <si>
    <t>COMMUNITY EDUCATION</t>
  </si>
  <si>
    <t>MAINTENANCE</t>
  </si>
  <si>
    <t>FISCAL</t>
  </si>
  <si>
    <t>TOTAL</t>
  </si>
  <si>
    <t>(PROGRAM 720)</t>
  </si>
  <si>
    <t>EXPENDITURES</t>
  </si>
  <si>
    <t>REGULAR</t>
  </si>
  <si>
    <t>OTHER BUILDINGS</t>
  </si>
  <si>
    <t>GROUNDS</t>
  </si>
  <si>
    <t>DEBT SERVICES</t>
  </si>
  <si>
    <t>ENGLISH</t>
  </si>
  <si>
    <t>EDUCATION</t>
  </si>
  <si>
    <t xml:space="preserve">    TRANSFERS BY FUNCTION</t>
  </si>
  <si>
    <t>AREA</t>
  </si>
  <si>
    <t xml:space="preserve"> DIVISION / DISTRICT</t>
  </si>
  <si>
    <t>AMOUNT</t>
  </si>
  <si>
    <t>%</t>
  </si>
  <si>
    <t xml:space="preserve">PER PUPIL </t>
  </si>
  <si>
    <t>RECHARGE</t>
  </si>
  <si>
    <t>TRANSFERS</t>
  </si>
  <si>
    <t>TOTAL PORTIONED ASSESSMENT, SPECIAL LEVY AND MILL RATES</t>
  </si>
  <si>
    <t>DATE:</t>
  </si>
  <si>
    <t>PROVINCIAL GOVERNMENT</t>
  </si>
  <si>
    <t>BASE SUPPORT</t>
  </si>
  <si>
    <t>CATEGORICAL SUPPORT</t>
  </si>
  <si>
    <t>PRIVATE</t>
  </si>
  <si>
    <t>% OF OPERATING FUND REVENUES</t>
  </si>
  <si>
    <t>PORTIONED ASSESSMENT</t>
  </si>
  <si>
    <t>FEDERAL</t>
  </si>
  <si>
    <t>MUNICIPAL</t>
  </si>
  <si>
    <t>GOVERNMENTS</t>
  </si>
  <si>
    <t>CATEGORICAL</t>
  </si>
  <si>
    <t>PROVINCIAL</t>
  </si>
  <si>
    <t>FIRST NATIONS</t>
  </si>
  <si>
    <t>REVENUE</t>
  </si>
  <si>
    <t>LEVY</t>
  </si>
  <si>
    <t>MINING</t>
  </si>
  <si>
    <t>SUPPORT</t>
  </si>
  <si>
    <t>OCCUPANCY</t>
  </si>
  <si>
    <t>SERVICES</t>
  </si>
  <si>
    <t xml:space="preserve">OTHER  </t>
  </si>
  <si>
    <t>SPECIAL LEVY</t>
  </si>
  <si>
    <t>OTHER DIVISIONS</t>
  </si>
  <si>
    <t>OBJECT</t>
  </si>
  <si>
    <t>SALARIES</t>
  </si>
  <si>
    <t>TOTALS</t>
  </si>
  <si>
    <t>COMMUNITY EDUCATION &amp; SERVICES</t>
  </si>
  <si>
    <t>TRANSPORTATION OF PUPILS</t>
  </si>
  <si>
    <t>OPERATIONS AND MAINTENANCE</t>
  </si>
  <si>
    <t>PAGE 2 OF 2</t>
  </si>
  <si>
    <t>FUNCTION</t>
  </si>
  <si>
    <t>INSTRUCTION</t>
  </si>
  <si>
    <t>EMPLOYEE BENEFITS AND ALLOWANCES</t>
  </si>
  <si>
    <t>FRAME STUDENT STATISTICS</t>
  </si>
  <si>
    <t xml:space="preserve">PAGE 1 OF 2 </t>
  </si>
  <si>
    <t>%  IN DUAL TRACK SCHOOLS</t>
  </si>
  <si>
    <t>SUPPLEMENTARY DATA FOR FRAME REPORT</t>
  </si>
  <si>
    <t>CHECK</t>
  </si>
  <si>
    <t>ENROLMENTS - HEADCOUNT, FRAME AND ELIGIBLE</t>
  </si>
  <si>
    <t>PUPIL / TEACHER RATIOS</t>
  </si>
  <si>
    <t>INSURANCE</t>
  </si>
  <si>
    <t>EMPLOYEE BENEFITS</t>
  </si>
  <si>
    <t>SUPPLIES &amp; MATERIALS</t>
  </si>
  <si>
    <t>OPERATIONS &amp; MAINTENANCE</t>
  </si>
  <si>
    <t>INSTRUCTIONAL &amp; PUPIL SUPPORT SERVICES</t>
  </si>
  <si>
    <t>DIVISIONAL ADMINISTRATION</t>
  </si>
  <si>
    <t xml:space="preserve"> FUNCTION 500: DIVISIONAL ADMINISTRATION</t>
  </si>
  <si>
    <t xml:space="preserve">N/A </t>
  </si>
  <si>
    <t>(1)</t>
  </si>
  <si>
    <t>- 10 -</t>
  </si>
  <si>
    <t>PAGE 1 OF 5</t>
  </si>
  <si>
    <t>PAGE 2 OF 5</t>
  </si>
  <si>
    <t>PAGE 3 OF 5</t>
  </si>
  <si>
    <t>PAGE 4 OF 5</t>
  </si>
  <si>
    <t>PAGE 5 OF 5</t>
  </si>
  <si>
    <t>PROGRAMS</t>
  </si>
  <si>
    <t>(Grants-</t>
  </si>
  <si>
    <t>in-Lieu)</t>
  </si>
  <si>
    <t>ADULT LEARNING CENTRES</t>
  </si>
  <si>
    <t>- 13 -</t>
  </si>
  <si>
    <t>- 12 -</t>
  </si>
  <si>
    <t>REPAIRS</t>
  </si>
  <si>
    <t xml:space="preserve"> BEAUTIFUL PLAINS</t>
  </si>
  <si>
    <t xml:space="preserve"> BORDER LAND</t>
  </si>
  <si>
    <t xml:space="preserve"> BRANDON</t>
  </si>
  <si>
    <t xml:space="preserve"> EVERGREEN</t>
  </si>
  <si>
    <t xml:space="preserve"> FLIN FLON</t>
  </si>
  <si>
    <t xml:space="preserve"> FORT LA BOSSE</t>
  </si>
  <si>
    <t xml:space="preserve"> FRONTIER</t>
  </si>
  <si>
    <t xml:space="preserve"> GARDEN VALLEY</t>
  </si>
  <si>
    <t xml:space="preserve"> HANOVER</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</si>
  <si>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</si>
  <si>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</si>
  <si>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</si>
  <si>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</si>
  <si>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</si>
  <si>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</si>
  <si>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</si>
  <si>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PARK WEST</t>
  </si>
  <si>
    <t xml:space="preserve"> PEMBINA TRAILS</t>
  </si>
  <si>
    <t xml:space="preserve"> PINE CREEK</t>
  </si>
  <si>
    <t xml:space="preserve"> PORTAGE LA PRAIRIE</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</si>
  <si>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</si>
  <si>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</si>
  <si>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</si>
  <si>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</si>
  <si>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</si>
  <si>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</si>
  <si>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</si>
  <si>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</si>
  <si>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</si>
  <si>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</si>
  <si>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</si>
  <si>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</si>
  <si>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t>
  </si>
  <si>
    <t xml:space="preserve"> WESTERN</t>
  </si>
  <si>
    <t xml:space="preserve"> WINNIPEG</t>
  </si>
  <si>
    <t xml:space="preserve"> PROVINCE</t>
  </si>
  <si>
    <t xml:space="preserve"> WHITESHELL</t>
  </si>
  <si>
    <t xml:space="preserve"> D.S.F.M.</t>
  </si>
  <si>
    <t>EXPENSES</t>
  </si>
  <si>
    <t xml:space="preserve">CO. </t>
  </si>
  <si>
    <t>DIVISION/DISTRICT</t>
  </si>
  <si>
    <t>BE</t>
  </si>
  <si>
    <t>BO</t>
  </si>
  <si>
    <t>BR</t>
  </si>
  <si>
    <t>DI</t>
  </si>
  <si>
    <t>EV</t>
  </si>
  <si>
    <t>FL</t>
  </si>
  <si>
    <t>FO</t>
  </si>
  <si>
    <t>FR</t>
  </si>
  <si>
    <t>GA</t>
  </si>
  <si>
    <t>HA</t>
  </si>
  <si>
    <t>IN</t>
  </si>
  <si>
    <t>KE</t>
  </si>
  <si>
    <t>LA</t>
  </si>
  <si>
    <t>LO</t>
  </si>
  <si>
    <t>LR</t>
  </si>
  <si>
    <t>MO</t>
  </si>
  <si>
    <t>MY</t>
  </si>
  <si>
    <t>PA</t>
  </si>
  <si>
    <t>PE</t>
  </si>
  <si>
    <t>PI</t>
  </si>
  <si>
    <t>PO</t>
  </si>
  <si>
    <t>PR</t>
  </si>
  <si>
    <t>PS</t>
  </si>
  <si>
    <t>RE</t>
  </si>
  <si>
    <t>RI</t>
  </si>
  <si>
    <t>RO</t>
  </si>
  <si>
    <t>SE</t>
  </si>
  <si>
    <t>SO</t>
  </si>
  <si>
    <t>SR</t>
  </si>
  <si>
    <t>ST</t>
  </si>
  <si>
    <t>SU</t>
  </si>
  <si>
    <t>SW</t>
  </si>
  <si>
    <t>TM</t>
  </si>
  <si>
    <t>TR</t>
  </si>
  <si>
    <t>WE</t>
  </si>
  <si>
    <t>WI</t>
  </si>
  <si>
    <t>WT</t>
  </si>
  <si>
    <t>XW</t>
  </si>
  <si>
    <t xml:space="preserve"> FUNCTION 300: ADULT LEARNING CENTRES</t>
  </si>
  <si>
    <t xml:space="preserve">  TRUSTEES REMUNERATION</t>
  </si>
  <si>
    <t xml:space="preserve">  INSTRUCTIONAL - TEACHING</t>
  </si>
  <si>
    <t xml:space="preserve">  INSTRUCTIONAL - OTHER</t>
  </si>
  <si>
    <t xml:space="preserve">  TECHNICAL, SPECIALIZED AND SERVICE</t>
  </si>
  <si>
    <t xml:space="preserve">  SECRETARIAL, CLERICAL AND OTHER</t>
  </si>
  <si>
    <t xml:space="preserve">  CLINICIAN</t>
  </si>
  <si>
    <t xml:space="preserve">  INFORMATION TECHNOLOGY</t>
  </si>
  <si>
    <t xml:space="preserve">  TOTAL SALARIES</t>
  </si>
  <si>
    <t xml:space="preserve">  PROFESSIONAL, TECHNICAL &amp; SPECIALIZED</t>
  </si>
  <si>
    <t xml:space="preserve">  COMMUNICATIONS</t>
  </si>
  <si>
    <t xml:space="preserve">  UTILITY SERVICES</t>
  </si>
  <si>
    <t xml:space="preserve">  TRANSPORTATION OF PUPILS</t>
  </si>
  <si>
    <t xml:space="preserve">  TUITION</t>
  </si>
  <si>
    <t xml:space="preserve">  PRINTING AND BINDING</t>
  </si>
  <si>
    <t xml:space="preserve">  INSURANCE AND BOND PREMIUMS</t>
  </si>
  <si>
    <t xml:space="preserve">  MAINTENANCE AND REPAIR SERVICES</t>
  </si>
  <si>
    <t xml:space="preserve">  RENTALS</t>
  </si>
  <si>
    <t xml:space="preserve">  ADVERTISING</t>
  </si>
  <si>
    <t xml:space="preserve">  DUES AND FEES</t>
  </si>
  <si>
    <t xml:space="preserve">  PROFESSIONAL AND STAFF DEVELOPMENT</t>
  </si>
  <si>
    <t xml:space="preserve">  INFORMATION TECHNOLOGY SERVICES</t>
  </si>
  <si>
    <t xml:space="preserve">  TOTAL SERVICES</t>
  </si>
  <si>
    <t>SUPPLIES AND EQUIPMENT</t>
  </si>
  <si>
    <t xml:space="preserve">  SUPPLIES</t>
  </si>
  <si>
    <t xml:space="preserve">  CURRICULAR AND MEDIA MATERIALS</t>
  </si>
  <si>
    <t xml:space="preserve">  MINOR EQUIPMENT</t>
  </si>
  <si>
    <t xml:space="preserve">  INFORMATION TECHNOLOGY EQUIPMENT</t>
  </si>
  <si>
    <t xml:space="preserve">  TOTAL SUPPLIES AND EQUIPMENT</t>
  </si>
  <si>
    <t xml:space="preserve">  DEBT SERVICES</t>
  </si>
  <si>
    <t xml:space="preserve">  OTHER GOVERNMENT AUTHORITIES</t>
  </si>
  <si>
    <t xml:space="preserve">  TOTAL TRANSFERS</t>
  </si>
  <si>
    <t>PROVINCE</t>
  </si>
  <si>
    <t xml:space="preserve">  TRAVEL AND MEETINGS</t>
  </si>
  <si>
    <t>OPERATING FUND - ACCUMULATED SURPLUS/(DEFICIT)</t>
  </si>
  <si>
    <t>(2)</t>
  </si>
  <si>
    <t>LOCAL TAXATION AND ASSESSMENT PER RESIDENT PUPIL</t>
  </si>
  <si>
    <t xml:space="preserve">  EXECUTIVE, MANAGERIAL &amp; SUPERVISORY</t>
  </si>
  <si>
    <t>ACTUAL</t>
  </si>
  <si>
    <t xml:space="preserve"> DIVISION/DISTRICT TOTAL</t>
  </si>
  <si>
    <t xml:space="preserve"> L.G.D. OF PINAWA</t>
  </si>
  <si>
    <t xml:space="preserve"> NOT IN ANY DIVISION</t>
  </si>
  <si>
    <t>STATISTICAL SUMMARY</t>
  </si>
  <si>
    <t>LIABILITY</t>
  </si>
  <si>
    <t>SELF-FUNDED</t>
  </si>
  <si>
    <t>CALCULATION OF EXPENDITURE BASE AND ADMINISTRATION PERCENTAGE</t>
  </si>
  <si>
    <t>ADMIN. COSTS</t>
  </si>
  <si>
    <r>
      <t xml:space="preserve">SINGLE TRACK </t>
    </r>
    <r>
      <rPr>
        <b/>
        <vertAlign val="superscript"/>
        <sz val="10"/>
        <rFont val="Arial"/>
        <family val="2"/>
      </rPr>
      <t>(1)</t>
    </r>
  </si>
  <si>
    <r>
      <t xml:space="preserve">DUAL TRACK </t>
    </r>
    <r>
      <rPr>
        <b/>
        <vertAlign val="superscript"/>
        <sz val="10"/>
        <rFont val="Arial"/>
        <family val="2"/>
      </rPr>
      <t>(2)</t>
    </r>
  </si>
  <si>
    <r>
      <t xml:space="preserve">HEADCOUNT </t>
    </r>
    <r>
      <rPr>
        <b/>
        <vertAlign val="superscript"/>
        <sz val="10"/>
        <rFont val="Arial"/>
        <family val="2"/>
      </rPr>
      <t>(1)</t>
    </r>
  </si>
  <si>
    <r>
      <t xml:space="preserve">FRAME </t>
    </r>
    <r>
      <rPr>
        <b/>
        <vertAlign val="superscript"/>
        <sz val="10"/>
        <rFont val="Arial"/>
        <family val="2"/>
      </rPr>
      <t>(2)</t>
    </r>
  </si>
  <si>
    <r>
      <t xml:space="preserve">ELIGIBLE </t>
    </r>
    <r>
      <rPr>
        <b/>
        <vertAlign val="superscript"/>
        <sz val="10"/>
        <rFont val="Arial"/>
        <family val="2"/>
      </rPr>
      <t>(3)</t>
    </r>
  </si>
  <si>
    <r>
      <t>(1)</t>
    </r>
    <r>
      <rPr>
        <sz val="9"/>
        <rFont val="Arial"/>
        <family val="2"/>
      </rPr>
      <t xml:space="preserve">  Pupils taught in schools, whether or not they are counted for grant purposes.</t>
    </r>
  </si>
  <si>
    <r>
      <t xml:space="preserve">EDUCATOR </t>
    </r>
    <r>
      <rPr>
        <b/>
        <vertAlign val="superscript"/>
        <sz val="10"/>
        <rFont val="Arial"/>
        <family val="2"/>
      </rPr>
      <t>(2)</t>
    </r>
  </si>
  <si>
    <r>
      <t xml:space="preserve">  RECHARGE </t>
    </r>
    <r>
      <rPr>
        <vertAlign val="superscript"/>
        <sz val="10"/>
        <rFont val="Arial"/>
        <family val="2"/>
      </rPr>
      <t>(1)</t>
    </r>
  </si>
  <si>
    <r>
      <t xml:space="preserve">SINGLE TRACK SCHOOLS </t>
    </r>
    <r>
      <rPr>
        <b/>
        <vertAlign val="superscript"/>
        <sz val="10"/>
        <rFont val="Arial"/>
        <family val="2"/>
      </rPr>
      <t>(1)</t>
    </r>
  </si>
  <si>
    <r>
      <t xml:space="preserve">DUAL TRACK SCHOOLS </t>
    </r>
    <r>
      <rPr>
        <b/>
        <vertAlign val="superscript"/>
        <sz val="10"/>
        <rFont val="Arial"/>
        <family val="2"/>
      </rPr>
      <t>(1)</t>
    </r>
  </si>
  <si>
    <r>
      <t xml:space="preserve">PROVINCIAL </t>
    </r>
    <r>
      <rPr>
        <b/>
        <vertAlign val="superscript"/>
        <sz val="10"/>
        <rFont val="Arial"/>
        <family val="2"/>
      </rPr>
      <t>(1)</t>
    </r>
  </si>
  <si>
    <t xml:space="preserve">  PROPERTY TAXES</t>
  </si>
  <si>
    <t xml:space="preserve"> FUNCTION 200: STUDENT SUPPORT SERVICES</t>
  </si>
  <si>
    <t xml:space="preserve"> FUNCTION 600: INSTRUCTIONAL &amp; OTHER SUPPORT SERVICES</t>
  </si>
  <si>
    <t>TOTAL DEFINED ADMINISTRATION EXPENSES</t>
  </si>
  <si>
    <t>RECONCILIATION  OF  EXPENSES</t>
  </si>
  <si>
    <r>
      <t xml:space="preserve">EXPENSES </t>
    </r>
    <r>
      <rPr>
        <b/>
        <vertAlign val="superscript"/>
        <sz val="10"/>
        <rFont val="Arial"/>
        <family val="2"/>
      </rPr>
      <t>(1)</t>
    </r>
    <r>
      <rPr>
        <sz val="9"/>
        <color indexed="9"/>
        <rFont val="Arial"/>
        <family val="2"/>
      </rPr>
      <t>X</t>
    </r>
  </si>
  <si>
    <t>PAGE 1 OF 4</t>
  </si>
  <si>
    <t>PAGE 3 OF 4</t>
  </si>
  <si>
    <t>PAGE 2 OF 4</t>
  </si>
  <si>
    <t>PAGE 4 OF 4</t>
  </si>
  <si>
    <t>EXPENSE BY FUNCTION AND OBJECT</t>
  </si>
  <si>
    <t>EXPENSE BY 2ND LEVEL OBJECT</t>
  </si>
  <si>
    <t>AS A PERCENTAGE OF TOTAL OPERATING FUND EXPENSES</t>
  </si>
  <si>
    <t>STUDENT SUPPORT SERVICES</t>
  </si>
  <si>
    <t>ANALYSIS OF EXPENSE BY FUNCTION</t>
  </si>
  <si>
    <t xml:space="preserve"> ANALYSIS OF OPERATIONS AND MAINTENANCE EXPENSES FOR SCHOOL BUILDINGS</t>
  </si>
  <si>
    <t>ANALYSIS OF EXPENSE BY PROGRAM</t>
  </si>
  <si>
    <t>OPERATING FUND COST PER PUPIL</t>
  </si>
  <si>
    <r>
      <t xml:space="preserve"> INFORMATION TECHNOLOGY EXPENSES </t>
    </r>
    <r>
      <rPr>
        <b/>
        <vertAlign val="superscript"/>
        <sz val="10"/>
        <rFont val="Arial"/>
        <family val="2"/>
      </rPr>
      <t>(1)</t>
    </r>
  </si>
  <si>
    <t>ANALYSIS OF TRANSPORTATION EXPENSES (CONT'D)</t>
  </si>
  <si>
    <t>ANALYSIS OF TRANSPORTATION EXPENSES</t>
  </si>
  <si>
    <t>COMPRISED OF:</t>
  </si>
  <si>
    <r>
      <t xml:space="preserve">  RECHARGE </t>
    </r>
    <r>
      <rPr>
        <vertAlign val="superscript"/>
        <sz val="9"/>
        <rFont val="Arial"/>
        <family val="2"/>
      </rPr>
      <t>(1)</t>
    </r>
  </si>
  <si>
    <t xml:space="preserve">  BAD DEBT EXPENSE</t>
  </si>
  <si>
    <r>
      <t xml:space="preserve">LAND </t>
    </r>
    <r>
      <rPr>
        <b/>
        <vertAlign val="superscript"/>
        <sz val="10"/>
        <rFont val="Arial"/>
        <family val="2"/>
      </rPr>
      <t>(1)</t>
    </r>
  </si>
  <si>
    <t xml:space="preserve">  ACCUMULATED SURPLUS / EQUITY</t>
  </si>
  <si>
    <r>
      <t xml:space="preserve">AMORTIZATION </t>
    </r>
    <r>
      <rPr>
        <b/>
        <vertAlign val="superscript"/>
        <sz val="9"/>
        <rFont val="Arial"/>
        <family val="2"/>
      </rPr>
      <t>(1)</t>
    </r>
  </si>
  <si>
    <r>
      <t>EQUIPMENT</t>
    </r>
    <r>
      <rPr>
        <b/>
        <vertAlign val="superscript"/>
        <sz val="10"/>
        <rFont val="Arial"/>
        <family val="2"/>
      </rPr>
      <t xml:space="preserve"> (2)</t>
    </r>
  </si>
  <si>
    <t xml:space="preserve">  FISCAL YEAR ADDITIONS TO TANGIBLE CAPITAL ASSETS</t>
  </si>
  <si>
    <t>UNDESIGNATED</t>
  </si>
  <si>
    <t>Health and Education Levy</t>
  </si>
  <si>
    <t>Dates</t>
  </si>
  <si>
    <t>September 30,</t>
  </si>
  <si>
    <r>
      <t xml:space="preserve">ADMINISTRATION EXPENSES </t>
    </r>
    <r>
      <rPr>
        <b/>
        <vertAlign val="superscript"/>
        <sz val="10"/>
        <rFont val="Arial"/>
        <family val="2"/>
      </rPr>
      <t>(1)</t>
    </r>
    <r>
      <rPr>
        <b/>
        <sz val="9"/>
        <rFont val="Arial"/>
        <family val="2"/>
      </rPr>
      <t xml:space="preserve"> </t>
    </r>
  </si>
  <si>
    <r>
      <t xml:space="preserve">OTHER  </t>
    </r>
    <r>
      <rPr>
        <b/>
        <vertAlign val="superscript"/>
        <sz val="9"/>
        <rFont val="Arial"/>
        <family val="2"/>
      </rPr>
      <t>(1)</t>
    </r>
  </si>
  <si>
    <r>
      <t>BUILDINGS</t>
    </r>
    <r>
      <rPr>
        <b/>
        <vertAlign val="superscript"/>
        <sz val="9"/>
        <rFont val="Arial"/>
        <family val="2"/>
      </rPr>
      <t xml:space="preserve"> </t>
    </r>
    <r>
      <rPr>
        <b/>
        <vertAlign val="superscript"/>
        <sz val="10"/>
        <rFont val="Arial"/>
        <family val="2"/>
      </rPr>
      <t>(2)</t>
    </r>
  </si>
  <si>
    <t>INSTRUCTIONAL AND OTHER SUPPORT SERVICES</t>
  </si>
  <si>
    <t>ANALYSIS OF INFORMATION TECHNOLOGY EXPENSES</t>
  </si>
  <si>
    <t xml:space="preserve">  EXECUTIVE, MANAGERIAL
 AND SUPERVISORY</t>
  </si>
  <si>
    <t xml:space="preserve"> TECHNICAL, 
SPECIALIZED AND SERVICE</t>
  </si>
  <si>
    <t>SECRETARIAL 
CLERICAL
 AND OTHER</t>
  </si>
  <si>
    <t>TOTAL 
FTE</t>
  </si>
  <si>
    <t xml:space="preserve"> DIVISION/DISTRICT</t>
  </si>
  <si>
    <t>BEAUTIFUL PLAINS</t>
  </si>
  <si>
    <t>BORDER LAND</t>
  </si>
  <si>
    <t>BRANDON</t>
  </si>
  <si>
    <t>EVERGREEN</t>
  </si>
  <si>
    <t>FLIN FLON</t>
  </si>
  <si>
    <t>FORT LA BOSSE</t>
  </si>
  <si>
    <t>FRONTIER</t>
  </si>
  <si>
    <t>GARDEN VALLEY</t>
  </si>
  <si>
    <t>HANOVER</t>
  </si>
  <si>
    <t>INTERLAKE</t>
  </si>
  <si>
    <t>KELSEY</t>
  </si>
  <si>
    <t>LAKESHORE</t>
  </si>
  <si>
    <t>LORD SELKIRK</t>
  </si>
  <si>
    <t>LOUIS RIEL</t>
  </si>
  <si>
    <t>MOUNTAIN VIEW</t>
  </si>
  <si>
    <t>MYSTERY LAKE</t>
  </si>
  <si>
    <t>PARK WEST</t>
  </si>
  <si>
    <t>PEMBINA TRAILS</t>
  </si>
  <si>
    <t>PINE CREEK</t>
  </si>
  <si>
    <t>PORTAGE LA PRAIRIE</t>
  </si>
  <si>
    <t>PRAIRIE ROSE</t>
  </si>
  <si>
    <t>PRAIRIE SPIRIT</t>
  </si>
  <si>
    <t>RED RIVER VALLEY</t>
  </si>
  <si>
    <t>RIVER EAST TRANSCONA</t>
  </si>
  <si>
    <t>ROLLING RIVER</t>
  </si>
  <si>
    <t>SEINE RIVER</t>
  </si>
  <si>
    <t>SEVEN OAKS</t>
  </si>
  <si>
    <t>SOUTHWEST HORIZON</t>
  </si>
  <si>
    <t>ST. JAMES-ASSINIBOIA</t>
  </si>
  <si>
    <t>SUNRISE</t>
  </si>
  <si>
    <t>SWAN VALLEY</t>
  </si>
  <si>
    <t>TURTLE MOUNTAIN</t>
  </si>
  <si>
    <t>TURTLE RIVER</t>
  </si>
  <si>
    <t>WESTERN</t>
  </si>
  <si>
    <t>WINNIPEG</t>
  </si>
  <si>
    <t>WHITESHELL</t>
  </si>
  <si>
    <t>DIRECT SUPPORT TO PUPILS</t>
  </si>
  <si>
    <t>PER PUPIL</t>
  </si>
  <si>
    <t>NET SPECIAL LEVY</t>
  </si>
  <si>
    <t>GROSS SPECIAL</t>
  </si>
  <si>
    <t>NET SPECIAL</t>
  </si>
  <si>
    <t xml:space="preserve">      </t>
  </si>
  <si>
    <t>CurrY</t>
  </si>
  <si>
    <t>PrevY</t>
  </si>
  <si>
    <r>
      <t xml:space="preserve">REGULAR INSTRUCTION </t>
    </r>
    <r>
      <rPr>
        <b/>
        <vertAlign val="superscript"/>
        <sz val="9"/>
        <rFont val="Arial"/>
        <family val="2"/>
      </rPr>
      <t>(1)</t>
    </r>
  </si>
  <si>
    <t>(1)  From page 4 (for more information, see page 4).</t>
  </si>
  <si>
    <t>(2)  From page 9 (for more information, see page 9).</t>
  </si>
  <si>
    <t>(1)  90% or more of Regular Instruction enrolment is in one language program.</t>
  </si>
  <si>
    <t>(2)  No one language program comprises 90% or more of Regular Instruction enrolment.</t>
  </si>
  <si>
    <t>(1)  Total operating expenses as reported on the Schedule of Revenue, Expenses and Accumulated Surplus by each school division.</t>
  </si>
  <si>
    <t>(3)  As reported on pages 10 and 13 (on a provincial basis).</t>
  </si>
  <si>
    <t>(4)  Expenses for Adult Learning Centres and Community Education and Services (Functions 300 and 400).</t>
  </si>
  <si>
    <t>(5)  As reported on page 4.</t>
  </si>
  <si>
    <t>(1)  90% or more of Regular Instruction enrolment is in one language.</t>
  </si>
  <si>
    <t>(1)  No one language program comprises 90% or more of Regular Instruction enrolment.</t>
  </si>
  <si>
    <t>(1)  Expenses shown are extra costs associated with special needs students in regular classes, not the total cost of educating those students.</t>
  </si>
  <si>
    <t>(1)  Includes food services, health services, and other activities related to instructional and other support not included in previous programs.</t>
  </si>
  <si>
    <t>(2)  Square footage (as per note above) divided by total F.T.E. enrolment (from page 7).</t>
  </si>
  <si>
    <t>(1)  Excludes information technology expenses in Function 300 (Adult Learning Centres) and Function 400 (Community Education and Services).</t>
  </si>
  <si>
    <t>(1)  See appendix for more detail.</t>
  </si>
  <si>
    <t>(5)  Includes revenue from other provincial government departments.</t>
  </si>
  <si>
    <t>(1)  Includes amortization of capital assets over their useful lives as defined in section 8 of the FRAME Manual - available on the Internet at:</t>
  </si>
  <si>
    <t>(2)  Includes other governments, investment income, donations and gain/(loss) on disposal of capital assets. .</t>
  </si>
  <si>
    <t>(2)  Internally restricted and held for future capital expense purposes.</t>
  </si>
  <si>
    <t>(1)  Land and improvements.</t>
  </si>
  <si>
    <t>(4)  Includes school buses and other vehicles.</t>
  </si>
  <si>
    <t>(2)  Mill rates for Flin Flon and Mystery Lake are adjusted for mining revenue.</t>
  </si>
  <si>
    <t>(2)  Provided in recognition of the higher costs associated with sparsely populated rural and northern divisions.</t>
  </si>
  <si>
    <t>(1)  Includes vehicle support for school buses.</t>
  </si>
  <si>
    <t xml:space="preserve"> DSFM</t>
  </si>
  <si>
    <t>DSFM</t>
  </si>
  <si>
    <r>
      <rPr>
        <sz val="9"/>
        <color indexed="12"/>
        <rFont val="Arial"/>
        <family val="2"/>
      </rPr>
      <t xml:space="preserve"> </t>
    </r>
    <r>
      <rPr>
        <u/>
        <sz val="9"/>
        <color indexed="12"/>
        <rFont val="Arial"/>
        <family val="2"/>
      </rPr>
      <t>http://www.edu.gov.mb.ca/k12/finance/frame_manual/index.html</t>
    </r>
  </si>
  <si>
    <t>(2)  For a definition of Divisional Administration, see expense definitions, page iii.</t>
  </si>
  <si>
    <r>
      <t xml:space="preserve">  VEHICLES </t>
    </r>
    <r>
      <rPr>
        <vertAlign val="superscript"/>
        <sz val="10"/>
        <rFont val="Arial"/>
        <family val="2"/>
      </rPr>
      <t>(4)</t>
    </r>
  </si>
  <si>
    <r>
      <t xml:space="preserve">PORTIONED ASSESSMENT AND EDUCATION SUPPORT LEVY  </t>
    </r>
    <r>
      <rPr>
        <b/>
        <vertAlign val="superscript"/>
        <sz val="10"/>
        <rFont val="Arial"/>
        <family val="2"/>
      </rPr>
      <t>(1)</t>
    </r>
  </si>
  <si>
    <t>ADDITIONAL INSTRUCTIONAL SUPPORT FOR 
SMALL SCHOOLS</t>
  </si>
  <si>
    <r>
      <t xml:space="preserve">TRANSPORTATION </t>
    </r>
    <r>
      <rPr>
        <b/>
        <vertAlign val="superscript"/>
        <sz val="10"/>
        <rFont val="Arial"/>
        <family val="2"/>
      </rPr>
      <t>(1)</t>
    </r>
  </si>
  <si>
    <t xml:space="preserve"> TEACHING</t>
  </si>
  <si>
    <t xml:space="preserve"> INSTRUCTIONAL
</t>
  </si>
  <si>
    <r>
      <t xml:space="preserve"> 
 CLINICIAN</t>
    </r>
    <r>
      <rPr>
        <b/>
        <vertAlign val="superscript"/>
        <sz val="9"/>
        <rFont val="Arial"/>
        <family val="2"/>
      </rPr>
      <t xml:space="preserve"> </t>
    </r>
    <r>
      <rPr>
        <vertAlign val="superscript"/>
        <sz val="9"/>
        <rFont val="Arial"/>
        <family val="2"/>
      </rPr>
      <t>(2)</t>
    </r>
  </si>
  <si>
    <r>
      <t xml:space="preserve">  
  IT  </t>
    </r>
    <r>
      <rPr>
        <b/>
        <vertAlign val="superscript"/>
        <sz val="9"/>
        <rFont val="Arial"/>
        <family val="2"/>
      </rPr>
      <t>(3)</t>
    </r>
  </si>
  <si>
    <t>Per Funded</t>
  </si>
  <si>
    <t>Resident</t>
  </si>
  <si>
    <t>Pupil &lt; 21</t>
  </si>
  <si>
    <t>for Page 55</t>
  </si>
  <si>
    <t>SCHOOL GENERATED FUNDS</t>
  </si>
  <si>
    <t>(2)  Includes clinicians contracted/outsourced/private or employed by other divisions on a full time equivalent basis.</t>
  </si>
  <si>
    <r>
      <t>% of K-12 Expense</t>
    </r>
    <r>
      <rPr>
        <b/>
        <vertAlign val="superscript"/>
        <sz val="9"/>
        <rFont val="Arial"/>
        <family val="2"/>
      </rPr>
      <t xml:space="preserve"> (2)</t>
    </r>
  </si>
  <si>
    <t>(2) Expenses net of transfers (page 3).</t>
  </si>
  <si>
    <r>
      <t>FULL TIME EQUIVALENT (FTE) PERSONNEL EMPLOYED</t>
    </r>
    <r>
      <rPr>
        <b/>
        <vertAlign val="superscript"/>
        <sz val="9"/>
        <rFont val="Arial"/>
        <family val="2"/>
      </rPr>
      <t xml:space="preserve"> (1)</t>
    </r>
  </si>
  <si>
    <r>
      <t xml:space="preserve">DESIGNATED </t>
    </r>
    <r>
      <rPr>
        <b/>
        <vertAlign val="superscript"/>
        <sz val="9"/>
        <rFont val="Arial"/>
        <family val="2"/>
      </rPr>
      <t>(2)</t>
    </r>
  </si>
  <si>
    <r>
      <t xml:space="preserve">EXPENSES </t>
    </r>
    <r>
      <rPr>
        <b/>
        <vertAlign val="superscript"/>
        <sz val="10"/>
        <rFont val="Arial"/>
        <family val="2"/>
      </rPr>
      <t>(3)</t>
    </r>
  </si>
  <si>
    <t>(1)  Accumulated Surplus / (Deficit) at Year End is gross of estimated non-vested accumulated sick leave.</t>
  </si>
  <si>
    <t>W:\Edusfb\Age and Area</t>
  </si>
  <si>
    <r>
      <t xml:space="preserve">ACCUMULATED SURPLUS / (DEFICIT) AT YEAR END </t>
    </r>
    <r>
      <rPr>
        <b/>
        <vertAlign val="superscript"/>
        <sz val="9"/>
        <rFont val="Arial"/>
        <family val="2"/>
      </rPr>
      <t xml:space="preserve"> (1)</t>
    </r>
  </si>
  <si>
    <t>(4)  Includes School Buildings "D" Support, Technology Education Equipment and other minor capital support.</t>
  </si>
  <si>
    <t>(5)  Includes adjustment for days schools are closed (not shown).</t>
  </si>
  <si>
    <t>(2)  Represents long term debt servicing interest costs.</t>
  </si>
  <si>
    <r>
      <t>SPARSITY</t>
    </r>
    <r>
      <rPr>
        <b/>
        <vertAlign val="superscript"/>
        <sz val="9"/>
        <rFont val="Arial"/>
        <family val="2"/>
      </rPr>
      <t xml:space="preserve"> (2)</t>
    </r>
  </si>
  <si>
    <t>(1)  All other categorical support not shown elsewhere (eg. Aboriginal and International Languages, Northern Allowance, etc.).</t>
  </si>
  <si>
    <t>(4)  Includes other miscellaneous support (Institutional Programs, Nursing Supports, General Support Grant, Smaller Classes Initiative, etc.).</t>
  </si>
  <si>
    <t>EXPENSES, REVENUE AND ACCUMULATED SURPLUS</t>
  </si>
  <si>
    <t>Reallocation of administration costs associated with Adult Learning Centres and Community and Education &amp; Services.</t>
  </si>
  <si>
    <t>(1)  Reallocation of administration costs associated with Adult Learning Centres and Community Education.</t>
  </si>
  <si>
    <t>(1)  Excludes personnel in Function 300 (Adult Learning Centres) and Function 400 (Community Education and Services) who do not provide 
       educational services to K-12 pupils.</t>
  </si>
  <si>
    <t>(3)  Information Technology personnel.</t>
  </si>
  <si>
    <t xml:space="preserve"> &lt; from Lyndonna</t>
  </si>
  <si>
    <t>Waywayseecapo</t>
  </si>
  <si>
    <t>SEPT. 30, 2014</t>
  </si>
  <si>
    <t>PAGE 1 OF 16</t>
  </si>
  <si>
    <t>PAGE 2 OF 16</t>
  </si>
  <si>
    <t>PAGE 3 OF 16</t>
  </si>
  <si>
    <t>PAGE 4 OF 16</t>
  </si>
  <si>
    <t>PAGE 5 OF 16</t>
  </si>
  <si>
    <t>PAGE 6 OF 16</t>
  </si>
  <si>
    <t>PAGE 7 OF 16</t>
  </si>
  <si>
    <t>PAGE 8 OF 16</t>
  </si>
  <si>
    <t>PAGE 9 OF 16</t>
  </si>
  <si>
    <t>PAGE 10 OF 16</t>
  </si>
  <si>
    <t>PAGE 11 OF 16</t>
  </si>
  <si>
    <t>PAGE 12 OF 16</t>
  </si>
  <si>
    <t>PAGE 13 OF 16</t>
  </si>
  <si>
    <t>PAGE 14 OF 16</t>
  </si>
  <si>
    <t>PAGE 15 OF 16</t>
  </si>
  <si>
    <t>PAGE 16 OF 16</t>
  </si>
  <si>
    <t>(2)  Capitalized Information Technology equipment is reported on page 48.</t>
  </si>
  <si>
    <t>(2)  Total Management Information Services expenses in Function 500 (from page 26).</t>
  </si>
  <si>
    <t>(3)  For information technology equipment purchased in Operating Fund, see page 37.</t>
  </si>
  <si>
    <t>(3)  From page 55 (for more information, see page 55).</t>
  </si>
  <si>
    <t xml:space="preserve">(4)  From page 53 (for more information, see page 53). </t>
  </si>
  <si>
    <t>OE799X</t>
  </si>
  <si>
    <t>OE1TRANS</t>
  </si>
  <si>
    <t>OE7TRANS</t>
  </si>
  <si>
    <t>OE2TRANS</t>
  </si>
  <si>
    <t>OE3TRANS</t>
  </si>
  <si>
    <t>OE4TRANS</t>
  </si>
  <si>
    <t>OE5TRANS</t>
  </si>
  <si>
    <t>OE6TRANS</t>
  </si>
  <si>
    <t>LIABINS</t>
  </si>
  <si>
    <t>ADMINSELF</t>
  </si>
  <si>
    <t>ADJUSTMENT</t>
  </si>
  <si>
    <t>FOR DAYS</t>
  </si>
  <si>
    <t>CLOSED</t>
  </si>
  <si>
    <t>DAYSCLOS</t>
  </si>
  <si>
    <t>CATSUP</t>
  </si>
  <si>
    <t>SPECIAL NEEDS</t>
  </si>
  <si>
    <t>COORDINATOR/</t>
  </si>
  <si>
    <t>CLINICIAN</t>
  </si>
  <si>
    <t>LEVEL II</t>
  </si>
  <si>
    <t>LEVEL III</t>
  </si>
  <si>
    <t>SPECNEEDCLIN</t>
  </si>
  <si>
    <t>SPECNEED2</t>
  </si>
  <si>
    <t>SPECNEED3</t>
  </si>
  <si>
    <t>Page</t>
  </si>
  <si>
    <t>Function</t>
  </si>
  <si>
    <t xml:space="preserve"> Function's check</t>
  </si>
  <si>
    <t>(2)  Operating fund transfers are payments to other school divisions, organizations and individuals. These are removed to provide more accurate
       per pupil costs.</t>
  </si>
  <si>
    <r>
      <t xml:space="preserve">TOTAL
EXPENSES </t>
    </r>
    <r>
      <rPr>
        <b/>
        <vertAlign val="superscript"/>
        <sz val="9"/>
        <rFont val="Arial"/>
        <family val="2"/>
      </rPr>
      <t>(1)</t>
    </r>
  </si>
  <si>
    <r>
      <t>LESS
OPERATING 
FUND 
TRANSFERS</t>
    </r>
    <r>
      <rPr>
        <b/>
        <vertAlign val="superscript"/>
        <sz val="9"/>
        <rFont val="Arial"/>
        <family val="2"/>
      </rPr>
      <t xml:space="preserve"> (2)</t>
    </r>
  </si>
  <si>
    <r>
      <t xml:space="preserve">EXPENSES NET 
OF TRANFERS </t>
    </r>
    <r>
      <rPr>
        <b/>
        <vertAlign val="superscript"/>
        <sz val="9"/>
        <rFont val="Arial"/>
        <family val="2"/>
      </rPr>
      <t>(3)</t>
    </r>
  </si>
  <si>
    <r>
      <t>LESS
 NON K-12 
EDUCATION &amp; 
SERVICES</t>
    </r>
    <r>
      <rPr>
        <b/>
        <vertAlign val="superscript"/>
        <sz val="9"/>
        <rFont val="Arial"/>
        <family val="2"/>
      </rPr>
      <t xml:space="preserve"> (4)</t>
    </r>
  </si>
  <si>
    <r>
      <t xml:space="preserve">TOTAL
 EXPENSES 
FOR PER PUPIL COSTS </t>
    </r>
    <r>
      <rPr>
        <b/>
        <vertAlign val="superscript"/>
        <sz val="9"/>
        <rFont val="Arial"/>
        <family val="2"/>
      </rPr>
      <t>(5)</t>
    </r>
  </si>
  <si>
    <t>(1)  Operating fund transfers (i.e. payments to other school divisions, organizations and individuals) are excluded to provide more accurate per
       pupil costs. Also excluded are expenditures on educational services not provided to K-12 pupils: Function 300 (Adult Learning Centres) and
       Function  400 (Community Education and Services).</t>
  </si>
  <si>
    <t>OTHER BILINGUAL</t>
  </si>
  <si>
    <t>K-12  F.T.E. ENROLMENT</t>
  </si>
  <si>
    <t>SENIOR YEARS TECHNOLOGY</t>
  </si>
  <si>
    <t>(1) Special Placement students are no longer reported separately. They are included in Regular Instruction Enrolment. As a result, total enrolment
      in Regular Instruction is equal to Total K-12 F.T.E. enrolment.</t>
  </si>
  <si>
    <t>N-12 ENROLMENT</t>
  </si>
  <si>
    <t>NURSERY ENROLMENT</t>
  </si>
  <si>
    <t>K-12 ENROLMENT</t>
  </si>
  <si>
    <t>(2)  The total number of pupils enrolled in schools adjusted for full time equivalence (F.T.E.).  Full time equivalent means pupils are counted on the
        basis of time attending school - eg. Kindergarten as 1/2.  This total is the same as reported on page 7.</t>
  </si>
  <si>
    <r>
      <t xml:space="preserve">REGULAR 
 INSTRUCTION </t>
    </r>
    <r>
      <rPr>
        <b/>
        <vertAlign val="superscript"/>
        <sz val="9"/>
        <rFont val="Arial"/>
        <family val="2"/>
      </rPr>
      <t>(1)</t>
    </r>
  </si>
  <si>
    <t>(1)  Based on object code 330 Instructional-Teaching personnel and F.T.E. students in Function 100. Included are teachers in physical education,  
       music, EAL, etc. in addition to regular classroom teachers. School-based administrative personnel and teachers in Student Support Services
       (Function 200) are excluded.</t>
  </si>
  <si>
    <t>(2)  Based on total instructional-teaching (excluding Community Education and Adult Learning Centres) as well as school-based administrative  
       staff - eg. department heads, coordinators, principals and vice-principals - and K-12 F.T.E. enrolment. Division administrators (Function 500) 
       are excluded.</t>
  </si>
  <si>
    <t>EMPLOYEE
BENEFITS</t>
  </si>
  <si>
    <t>SUPPLIES AND MATERIALS</t>
  </si>
  <si>
    <t>BAD DEBT EXPENSE</t>
  </si>
  <si>
    <t>REGULAR 
INSTRUCTION</t>
  </si>
  <si>
    <t>COMMUNITY
 EDUCATION</t>
  </si>
  <si>
    <t>INSTRUCTIONAL &amp; OTHER SUPPORT SERVICES</t>
  </si>
  <si>
    <t>STUDENT SUPPORT
 SERVICES</t>
  </si>
  <si>
    <t>ADULT LEARNING 
CENTRES</t>
  </si>
  <si>
    <t>COMMUNITY EDUCATION
 AND SERVICES</t>
  </si>
  <si>
    <t>DIVISIONAL
 ADMINISTRATION</t>
  </si>
  <si>
    <t>INSTRUCTIONAL &amp; OTHER 
SUPPORT SERVICES</t>
  </si>
  <si>
    <t>TRANSPORTATION 
OF PUPILS</t>
  </si>
  <si>
    <t>OPERATIONS AND 
MAINTENANCE</t>
  </si>
  <si>
    <t>PER
PUPIL</t>
  </si>
  <si>
    <t>PER
 PUPIL</t>
  </si>
  <si>
    <t>SENIOR YEARS
 TECHNOLOGY EDUCATION</t>
  </si>
  <si>
    <t>NO. OF F.T.E. PUPILS</t>
  </si>
  <si>
    <t>ADMINISTRATION / 
COORDINATION</t>
  </si>
  <si>
    <t>CLINICAL AND RELATED SERVICES</t>
  </si>
  <si>
    <t>SPECIAL 
PLACEMENT</t>
  </si>
  <si>
    <r>
      <t xml:space="preserve">REGULAR 
PLACEMENT </t>
    </r>
    <r>
      <rPr>
        <b/>
        <vertAlign val="superscript"/>
        <sz val="9"/>
        <rFont val="Arial"/>
        <family val="2"/>
      </rPr>
      <t>(1)</t>
    </r>
  </si>
  <si>
    <t xml:space="preserve"> RESOURCE 
SERVICES</t>
  </si>
  <si>
    <t>COUNSELLING AND 
GUIDANCE</t>
  </si>
  <si>
    <t>ADMINISTRATION 
AND OTHER</t>
  </si>
  <si>
    <t>CONTINUING EDUCATION</t>
  </si>
  <si>
    <t>ENGLISH AS AN ADDITIONAL LANGUAGE FOR ADULTS</t>
  </si>
  <si>
    <t>COMMUNITY SERVICES &amp; RECREATION</t>
  </si>
  <si>
    <t>PRE-KINDERGARTEN EDUCATION</t>
  </si>
  <si>
    <t>INSTRUCTIONAL MGMT. 
AND ADMINISTRATION</t>
  </si>
  <si>
    <t>BUSINESS AND
ADMIN. SERVICES</t>
  </si>
  <si>
    <t>MANAGEMENT
 INFORMATION SERVICES</t>
  </si>
  <si>
    <t>CURRICULUM CONSULTING 
AND DEVELOPMENT ADMIN.</t>
  </si>
  <si>
    <t>CURRICULUM CONSULTING 
AND DEVELOPMENT</t>
  </si>
  <si>
    <t>LIBRARY / 
MEDIA CENTRE</t>
  </si>
  <si>
    <t>PROFESSIONAL AND
 STAFF DEVELOPMENT</t>
  </si>
  <si>
    <t>ALLOWANCES IN LIEU 
OF TRANSPORTATION</t>
  </si>
  <si>
    <t>BOARDING OF
 STUDENTS</t>
  </si>
  <si>
    <t>FIELD TRIPS
 AND OTHER</t>
  </si>
  <si>
    <t>INTEREST AND
 BANK CHARGES</t>
  </si>
  <si>
    <t>BAD
 DEBT</t>
  </si>
  <si>
    <t>HEALTH AND 
EDUCATION LEVY</t>
  </si>
  <si>
    <t>TRANSPORTED PUPILS</t>
  </si>
  <si>
    <t>TOTAL KM. (ROUTES)</t>
  </si>
  <si>
    <t>COST
 PER KM.</t>
  </si>
  <si>
    <t>LOADED 
KM.</t>
  </si>
  <si>
    <t>COST 
PER KM.</t>
  </si>
  <si>
    <t>TOTAL KM.
 (LOG BOOK)</t>
  </si>
  <si>
    <t>ADMINISTRATION, REGULAR AND OTHER
 (PROGRAMS 710, 720 AND 790)</t>
  </si>
  <si>
    <t>REPAIRS 
AND REPLACEMENTS</t>
  </si>
  <si>
    <t>COST PER PUPIL</t>
  </si>
  <si>
    <r>
      <t xml:space="preserve">COST PER 
SQ. FT. </t>
    </r>
    <r>
      <rPr>
        <b/>
        <vertAlign val="superscript"/>
        <sz val="9"/>
        <rFont val="Arial"/>
        <family val="2"/>
      </rPr>
      <t>(1)</t>
    </r>
  </si>
  <si>
    <r>
      <t>SQ. FT. PER PUPIL</t>
    </r>
    <r>
      <rPr>
        <b/>
        <vertAlign val="superscript"/>
        <sz val="9"/>
        <rFont val="Arial"/>
        <family val="2"/>
      </rPr>
      <t xml:space="preserve"> (2)</t>
    </r>
  </si>
  <si>
    <r>
      <t xml:space="preserve">COST PER
SQ. FT. </t>
    </r>
    <r>
      <rPr>
        <b/>
        <vertAlign val="superscript"/>
        <sz val="9"/>
        <rFont val="Arial"/>
        <family val="2"/>
      </rPr>
      <t>(1)</t>
    </r>
  </si>
  <si>
    <t>(1)  Excludes information technology expenses in Function 300 (Adult Learning Centres), Function 400 (Community Education and Services) 
       and, Management Information Services in Function 500. Total expenses for Management Information Services are included on page 38
       and form part of Total Information Technology Expenses.</t>
  </si>
  <si>
    <r>
      <t xml:space="preserve">MANAGEMENT
 INFORMATION SERVICES </t>
    </r>
    <r>
      <rPr>
        <b/>
        <vertAlign val="superscript"/>
        <sz val="9"/>
        <rFont val="Arial"/>
        <family val="2"/>
      </rPr>
      <t>(2)</t>
    </r>
  </si>
  <si>
    <t>PRIVATE 
ORG.'S &amp; 
INDIVIDUALS</t>
  </si>
  <si>
    <t>OTHER SCHOOL DIVISIONS</t>
  </si>
  <si>
    <t>TOTAL PROVINCIAL REVENUE</t>
  </si>
  <si>
    <r>
      <t>%
 OPERATING 
FUND
 REVENUE</t>
    </r>
    <r>
      <rPr>
        <b/>
        <vertAlign val="superscript"/>
        <sz val="9"/>
        <rFont val="Arial"/>
        <family val="2"/>
      </rPr>
      <t xml:space="preserve"> (6)</t>
    </r>
  </si>
  <si>
    <r>
      <t>OTHER PROVINCIAL REVENUE</t>
    </r>
    <r>
      <rPr>
        <b/>
        <vertAlign val="superscript"/>
        <sz val="9"/>
        <rFont val="Arial"/>
        <family val="2"/>
      </rPr>
      <t xml:space="preserve"> (5)</t>
    </r>
  </si>
  <si>
    <r>
      <t>OTHER REVENUE</t>
    </r>
    <r>
      <rPr>
        <b/>
        <vertAlign val="superscript"/>
        <sz val="9"/>
        <rFont val="Arial"/>
        <family val="2"/>
      </rPr>
      <t xml:space="preserve"> (4)</t>
    </r>
  </si>
  <si>
    <r>
      <t>TAX  INCENTIVE GRANT</t>
    </r>
    <r>
      <rPr>
        <b/>
        <vertAlign val="superscript"/>
        <sz val="9"/>
        <rFont val="Arial"/>
        <family val="2"/>
      </rPr>
      <t xml:space="preserve"> (3)</t>
    </r>
  </si>
  <si>
    <r>
      <t xml:space="preserve">EDUCATION PROPERTY 
TAX CREDIT </t>
    </r>
    <r>
      <rPr>
        <b/>
        <vertAlign val="superscript"/>
        <sz val="9"/>
        <rFont val="Arial"/>
        <family val="2"/>
      </rPr>
      <t>(2)</t>
    </r>
  </si>
  <si>
    <r>
      <t>FUNDING OF SCHOOLS
PROGRAM</t>
    </r>
    <r>
      <rPr>
        <b/>
        <vertAlign val="superscript"/>
        <sz val="9"/>
        <rFont val="Arial"/>
        <family val="2"/>
      </rPr>
      <t xml:space="preserve"> (1)</t>
    </r>
  </si>
  <si>
    <t>(3)  Although the Tax Incentive Grant was discontinued in 2012, the funding provided in 2011 continues to be provided. Amounts shown here are the portions  
       by division after the allocation to the DSFM.</t>
  </si>
  <si>
    <t>FEDERAL
 GOVERNMENT</t>
  </si>
  <si>
    <r>
      <t xml:space="preserve">MUNICIPAL GOVERNMENT </t>
    </r>
    <r>
      <rPr>
        <b/>
        <vertAlign val="superscript"/>
        <sz val="9"/>
        <rFont val="Arial"/>
        <family val="2"/>
      </rPr>
      <t>(1)</t>
    </r>
  </si>
  <si>
    <t>PRIVATE ORGANIZATIONS
 &amp; INDIVIDUALS</t>
  </si>
  <si>
    <t>TOTAL 
NON-PROVINCIAL
 REVENUE</t>
  </si>
  <si>
    <t>TOTAL
 OPERATING 
FUND</t>
  </si>
  <si>
    <t>(3) Operating expenses include transfers to other school divisions, organizations and individuals but not net transfers to capital. See
      page 3 for Total Expenses.</t>
  </si>
  <si>
    <t>(2) Designated Surplus is the amount that school divisions have set aside for specific purposes. For further information, please refer
      to the school divisions' financial statements.</t>
  </si>
  <si>
    <r>
      <t xml:space="preserve">DEBT
 INTEREST </t>
    </r>
    <r>
      <rPr>
        <b/>
        <vertAlign val="superscript"/>
        <sz val="9"/>
        <rFont val="Arial"/>
        <family val="2"/>
      </rPr>
      <t>(2)</t>
    </r>
  </si>
  <si>
    <t>OTHER 
CAPITAL
 ITEMS</t>
  </si>
  <si>
    <t>TOTAL EXPENSES</t>
  </si>
  <si>
    <t>TOTAL
 EXPENSES</t>
  </si>
  <si>
    <r>
      <t xml:space="preserve">PROVINCIAL GOVERNMENT </t>
    </r>
    <r>
      <rPr>
        <b/>
        <vertAlign val="superscript"/>
        <sz val="9"/>
        <rFont val="Arial"/>
        <family val="2"/>
      </rPr>
      <t>(1)</t>
    </r>
  </si>
  <si>
    <r>
      <t xml:space="preserve">OTHER
 SOURCES </t>
    </r>
    <r>
      <rPr>
        <b/>
        <vertAlign val="superscript"/>
        <sz val="9"/>
        <rFont val="Arial"/>
        <family val="2"/>
      </rPr>
      <t>(2)</t>
    </r>
  </si>
  <si>
    <t>TOTAL
 REVENUE</t>
  </si>
  <si>
    <t>NET TRANSFERS
 TO / (FROM) 
CAPITAL</t>
  </si>
  <si>
    <t>(1)  Residual interest (accounting value) in all tangible capital assets (i.e. land, buildings, vehicles and equipment) net of accumulated amortization
      and liabilities.</t>
  </si>
  <si>
    <t>CLOSING ACCUMULATED SURPLUS / 
EQUITY</t>
  </si>
  <si>
    <r>
      <t xml:space="preserve">RESERVE ACCOUNTS </t>
    </r>
    <r>
      <rPr>
        <b/>
        <vertAlign val="superscript"/>
        <sz val="9"/>
        <rFont val="Arial"/>
        <family val="2"/>
      </rPr>
      <t>(2)</t>
    </r>
  </si>
  <si>
    <r>
      <t xml:space="preserve">EQUITY IN TANGIBLE 
ASSETS </t>
    </r>
    <r>
      <rPr>
        <b/>
        <vertAlign val="superscript"/>
        <sz val="9"/>
        <rFont val="Arial"/>
        <family val="2"/>
      </rPr>
      <t>(1)</t>
    </r>
  </si>
  <si>
    <t>FURNITURE / FIXTURES &amp; EQUIPMENT</t>
  </si>
  <si>
    <r>
      <t xml:space="preserve">COMPUTER HARDWARE &amp; SOFTWARE </t>
    </r>
    <r>
      <rPr>
        <b/>
        <vertAlign val="superscript"/>
        <sz val="9"/>
        <rFont val="Arial"/>
        <family val="2"/>
      </rPr>
      <t>(3)</t>
    </r>
  </si>
  <si>
    <t>OTHER 
FUNDS</t>
  </si>
  <si>
    <t>CLOSING ACCUMULATED SURPLUS /
 EQUITY</t>
  </si>
  <si>
    <t xml:space="preserve">(1) The Special Purpose Fund reports school generated funds and controlled charitable foundations. School generated funds are those funds which
      the school has authority to make decisions as to when, how, and on what the funds are to be spent (e.g. Parent council and student council
      funds are not included).  </t>
  </si>
  <si>
    <t>TOTAL SCHOOL GENERATED FUNDS</t>
  </si>
  <si>
    <r>
      <t>SCHOOL GENERATED FUNDS ACCUMULATED SURPLUS</t>
    </r>
    <r>
      <rPr>
        <b/>
        <vertAlign val="superscript"/>
        <sz val="9"/>
        <rFont val="Arial"/>
        <family val="2"/>
      </rPr>
      <t xml:space="preserve"> (1)</t>
    </r>
  </si>
  <si>
    <t xml:space="preserve">(1)  From page 49. School Generated Funds Accumulated surplus is money for which schools have authority to make decisions as to when,
       how, and on what the funds are to be spent. </t>
  </si>
  <si>
    <t>(2)  The liability is money held for designated projects in school bank accounts for which schools do not have authority to make decisions as to
        when, how, and on what the funds are to be spent (e.g. Parent council and student council funds).</t>
  </si>
  <si>
    <t>EDUCATION 
SUPPORT LEVY</t>
  </si>
  <si>
    <t xml:space="preserve">PORTIONED 
ASSESSMENT 
OTHER  </t>
  </si>
  <si>
    <r>
      <t>SPECIAL
 LEVY</t>
    </r>
    <r>
      <rPr>
        <b/>
        <vertAlign val="superscript"/>
        <sz val="9"/>
        <rFont val="Arial"/>
        <family val="2"/>
      </rPr>
      <t xml:space="preserve"> (1)</t>
    </r>
  </si>
  <si>
    <r>
      <t>SPECIAL
 LEVY 
MILL RATE</t>
    </r>
    <r>
      <rPr>
        <b/>
        <vertAlign val="superscript"/>
        <sz val="9"/>
        <rFont val="Arial"/>
        <family val="2"/>
      </rPr>
      <t xml:space="preserve"> (2)</t>
    </r>
  </si>
  <si>
    <t>FARM 
LAND AND BUILDINGS</t>
  </si>
  <si>
    <t>URBAN 
AND FARM RESIDENTIAL</t>
  </si>
  <si>
    <t>NET SPECIAL 
LEVY</t>
  </si>
  <si>
    <r>
      <t xml:space="preserve">TAX INCENTIVE
 GRANT </t>
    </r>
    <r>
      <rPr>
        <b/>
        <vertAlign val="superscript"/>
        <sz val="9"/>
        <rFont val="Arial"/>
        <family val="2"/>
      </rPr>
      <t>(1)</t>
    </r>
  </si>
  <si>
    <t>GROSS SPECIAL
 LEVY</t>
  </si>
  <si>
    <t>EDUCATION
 SUPPORT 
LEVY</t>
  </si>
  <si>
    <r>
      <t>ASSESSMENT
 PER
 RESIDENT PUPIL</t>
    </r>
    <r>
      <rPr>
        <b/>
        <vertAlign val="superscript"/>
        <sz val="9"/>
        <rFont val="Arial"/>
        <family val="2"/>
      </rPr>
      <t xml:space="preserve"> (1)</t>
    </r>
  </si>
  <si>
    <t>(1)  Assessment per resident pupil is based on total portioned assessment adjusted for allocations to the DSFM and corresponds to data provided
      in the calculation of support to school divisions. Assessment per resident pupil for Flin Flon, Frontier and Mystery Lake reflects non-assessed
      mining properties. DSFM assessment per resident pupil is derived on a pro rata basis according to enrolment within DSFM boundaries.</t>
  </si>
  <si>
    <r>
      <t>INSTRUCTIONAL SUPPORT</t>
    </r>
    <r>
      <rPr>
        <b/>
        <vertAlign val="superscript"/>
        <sz val="9"/>
        <rFont val="Arial"/>
        <family val="2"/>
      </rPr>
      <t xml:space="preserve"> (1)</t>
    </r>
  </si>
  <si>
    <t>CURRICULAR MATERIALS</t>
  </si>
  <si>
    <t>INFORMATION TECHNOLOGY</t>
  </si>
  <si>
    <t>LIBRARY SERVICES</t>
  </si>
  <si>
    <t>EDUCATION 
FUNDING OF SCHOOLS PROGRAM</t>
  </si>
  <si>
    <t>COUNSELLING AND GUIDANCE</t>
  </si>
  <si>
    <t>PROFESSIONAL DEVELOPMENT</t>
  </si>
  <si>
    <t>PHYSICAL EDUCATION</t>
  </si>
  <si>
    <t>TOTAL
 BASE
 SUPPORT</t>
  </si>
  <si>
    <t>EDUCATION 
FUNDING OF SCHOOLS PROGRAM (CONT'D)</t>
  </si>
  <si>
    <r>
      <t>SPECIAL
 NEEDS</t>
    </r>
    <r>
      <rPr>
        <b/>
        <vertAlign val="superscript"/>
        <sz val="9"/>
        <rFont val="Arial"/>
        <family val="2"/>
      </rPr>
      <t xml:space="preserve"> (2)</t>
    </r>
  </si>
  <si>
    <t>ENGLISH AS AN ADDITIONAL LANGUAGE</t>
  </si>
  <si>
    <t>SENIOR YEARS TECHNOLOGY EDUCATION</t>
  </si>
  <si>
    <t>ABORIGINAL
 ACADEMIC 
ACHIEVEMENT</t>
  </si>
  <si>
    <t>FRENCH LANGUAGE PROGRAMS</t>
  </si>
  <si>
    <t>EARLY
 CHILDHOOD
 INITIATIVE</t>
  </si>
  <si>
    <t>EARLY 
LITERACY
 INTERVENTION</t>
  </si>
  <si>
    <r>
      <t>OTHER CATEGORICAL</t>
    </r>
    <r>
      <rPr>
        <b/>
        <vertAlign val="superscript"/>
        <sz val="9"/>
        <rFont val="Arial"/>
        <family val="2"/>
      </rPr>
      <t xml:space="preserve"> (1)</t>
    </r>
  </si>
  <si>
    <t>TOTAL CATEGORICAL SUPPORT</t>
  </si>
  <si>
    <r>
      <t>EQUALIZATION SUPPORT</t>
    </r>
    <r>
      <rPr>
        <b/>
        <vertAlign val="superscript"/>
        <sz val="9"/>
        <rFont val="Arial"/>
        <family val="2"/>
      </rPr>
      <t xml:space="preserve"> (1)</t>
    </r>
  </si>
  <si>
    <r>
      <t>ADDITIONAL EQUALIZATION SUPPORT</t>
    </r>
    <r>
      <rPr>
        <b/>
        <vertAlign val="superscript"/>
        <sz val="9"/>
        <rFont val="Arial"/>
        <family val="2"/>
      </rPr>
      <t xml:space="preserve"> (2)</t>
    </r>
  </si>
  <si>
    <r>
      <t xml:space="preserve">FORMULA GUARANTEE </t>
    </r>
    <r>
      <rPr>
        <b/>
        <vertAlign val="superscript"/>
        <sz val="9"/>
        <rFont val="Arial"/>
        <family val="2"/>
      </rPr>
      <t>(3)</t>
    </r>
  </si>
  <si>
    <r>
      <t>OTHER
 PROGRAM 
SUPPORT</t>
    </r>
    <r>
      <rPr>
        <b/>
        <vertAlign val="superscript"/>
        <sz val="9"/>
        <rFont val="Arial"/>
        <family val="2"/>
      </rPr>
      <t xml:space="preserve"> (4)</t>
    </r>
  </si>
  <si>
    <r>
      <t xml:space="preserve">TOTAL FUNDING 
OF SCHOOLS 
PROGRAM </t>
    </r>
    <r>
      <rPr>
        <b/>
        <vertAlign val="superscript"/>
        <sz val="9"/>
        <rFont val="Arial"/>
        <family val="2"/>
      </rPr>
      <t>(5)</t>
    </r>
  </si>
  <si>
    <t>(2)  Additional Equalization is provided to specifically assist school divisions or districts that have both higher than average tax effort and
        lower than average assessment per pupil.</t>
  </si>
  <si>
    <t>(1)  Equalization is provided to recognize the varying ability of school divisions to meet the cost of unsupported program requirements
        through the property tax base of the school division.</t>
  </si>
  <si>
    <t>(1)  For a definition of Adult Learning Centres, see expense definitions, page iii. Expenses shown here may differ from those shown for Adult
       Learning Centres on page 15 owing to the inclusion of operating transfers for the purpose of calculating administration costs.</t>
  </si>
  <si>
    <t>TOTAL 
OPERATING 
EXPENSES
 (from page 3)</t>
  </si>
  <si>
    <t>PLUS
 TRANSFERS
 TO 
CAPITAL</t>
  </si>
  <si>
    <r>
      <t xml:space="preserve">LESS ADULT
 LEARNING
 CENTRES 
FUNCTION 300 </t>
    </r>
    <r>
      <rPr>
        <b/>
        <vertAlign val="superscript"/>
        <sz val="9"/>
        <rFont val="Arial"/>
        <family val="2"/>
      </rPr>
      <t>(1)</t>
    </r>
  </si>
  <si>
    <t>ADJUSTED EXPENDITURE BASE</t>
  </si>
  <si>
    <t>TOTAL
 ADMIN. 
EXPENSES
 AS % OF
 EXPENDITURE
 BASE</t>
  </si>
  <si>
    <t>DIRECT SUPPORT
 TO PUPILS
 PER PUPIL</t>
  </si>
  <si>
    <r>
      <t>DIRECT SUPPORT
 TO PUPILS
 FUNCTIONS 100 + 200 + 600</t>
    </r>
    <r>
      <rPr>
        <b/>
        <vertAlign val="superscript"/>
        <sz val="9"/>
        <rFont val="Arial"/>
        <family val="2"/>
      </rPr>
      <t xml:space="preserve"> (1)</t>
    </r>
  </si>
  <si>
    <t>(1) Total of Regular Instruction, Student Support Services and Instructional and Other Support Services. See pages 15 and
      16 for details.</t>
  </si>
  <si>
    <t>SPECIAL LEVY 
MILL RATE</t>
  </si>
  <si>
    <t>ASSESSMENT
 PER RESIDENT 
PUPIL</t>
  </si>
  <si>
    <t>PUPIL / EDUCATOR 
RATIO</t>
  </si>
  <si>
    <r>
      <t xml:space="preserve">OPERATING 
COST
 PER PUPIL </t>
    </r>
    <r>
      <rPr>
        <b/>
        <vertAlign val="superscript"/>
        <sz val="9"/>
        <rFont val="Arial"/>
        <family val="2"/>
      </rPr>
      <t>(1)</t>
    </r>
  </si>
  <si>
    <t>check</t>
  </si>
  <si>
    <t xml:space="preserve"> MITT</t>
  </si>
  <si>
    <r>
      <t xml:space="preserve">LIABILITY </t>
    </r>
    <r>
      <rPr>
        <b/>
        <vertAlign val="superscript"/>
        <sz val="9"/>
        <rFont val="Arial"/>
        <family val="2"/>
      </rPr>
      <t xml:space="preserve">(2) 
</t>
    </r>
    <r>
      <rPr>
        <b/>
        <sz val="9"/>
        <rFont val="Arial"/>
        <family val="2"/>
      </rPr>
      <t>(DESIGNATED FUNDS)</t>
    </r>
  </si>
  <si>
    <t>(2)  Effective with the 2005 tax year, the Resident Homeowner Advance portion of the Manitoba Education Property Tax Credit (EPTC) is provided directly to
       school divisions as revenue from the Province of Manitoba to more accurately reflect the amount of provincial funding provided in support of education. 
       Amounts shown here do not include the income tax portion of the EPTC nor the School Tax Assistance for Tenants and Homeowners (55+) because 
       these are not  quantifiable on a school division basis.  For the income tax portion of these credits, see page i.</t>
  </si>
  <si>
    <r>
      <t xml:space="preserve"> FUNCTION 200: STUDENT SUPPORT SERVICES </t>
    </r>
    <r>
      <rPr>
        <b/>
        <vertAlign val="superscript"/>
        <sz val="9"/>
        <rFont val="Arial"/>
        <family val="2"/>
      </rPr>
      <t>(1)</t>
    </r>
  </si>
  <si>
    <t>(1) Separate reporting for Gifted Education has been removed from Function 200 beginning 2014/15.  All costs related to gifted 
      students are included in Function 100 – Regular Instruction.  For a more complete description of programming under Function 100
      see “Expense Definitions” on page iii.</t>
  </si>
  <si>
    <t>STUDENT SERVICES</t>
  </si>
  <si>
    <t>TOTAL
 ADMIN. 
EXPENSES
 (from page 62)</t>
  </si>
  <si>
    <t>MITT</t>
  </si>
  <si>
    <t>2015/16</t>
  </si>
  <si>
    <t>2015/2016 ACTUAL</t>
  </si>
  <si>
    <t>SEPT. 30, 2015</t>
  </si>
  <si>
    <t>Coming from Budget. Pg 48</t>
  </si>
  <si>
    <r>
      <t>DIVISIONAL ADMINISTRATION FUNCTION 500</t>
    </r>
    <r>
      <rPr>
        <b/>
        <vertAlign val="superscript"/>
        <sz val="9"/>
        <rFont val="Arial"/>
        <family val="2"/>
      </rPr>
      <t xml:space="preserve"> (2)</t>
    </r>
  </si>
  <si>
    <t>LESS:   LIABILITY INSURANCE, ADMIN. PORTION OF SELF-FUNDED EXPENSES &amp; TRUSTEE ELECTION COSTS</t>
  </si>
  <si>
    <t>DEFINED
ADMINISTRATION
EXPENSES</t>
  </si>
  <si>
    <t>Incremental administration costs related to Waywayseecappo</t>
  </si>
  <si>
    <t>TRUSTEE</t>
  </si>
  <si>
    <t>ELECTION</t>
  </si>
  <si>
    <t>PA_WAYWAY</t>
  </si>
  <si>
    <t>N/A</t>
  </si>
  <si>
    <t xml:space="preserve">
 ADMIN. 
LIMIT</t>
  </si>
  <si>
    <t>ADMIN</t>
  </si>
  <si>
    <t>Limit</t>
  </si>
  <si>
    <t>(1)  Comprised of principal and interest payments for long term debt issued to finance asset additions.</t>
  </si>
  <si>
    <t>(2)  Comprised of school and other building new construction and betterments financed primarily through long term debt. Includes
        leasehold improvements and assets under construction.</t>
  </si>
  <si>
    <t>(1)  This appendix provides an analysis of divisional administration expenses as a percentage of the adjusted operating expense base. Frontier  School Division, DSFM, Whiteshell and Manitoba Institute of Trades and Technology are exempt from these limits and are not reflected in the above totals.  Expenses shown for Function 500 may differ from corresponding  amounts shown on page 16 owing to the inclusion of operating transfers for the purpose of calculating administration costs. Effective with fiscal year 2015/16, school divisions are required to limit the proportion of their operating expenses spent on divisional administration to 3.5% (for school divisions with F.T.E enrolment of 5,000 of greater), 4.25% (for school divisions with F.T.E enrolment of 1,000 or less) and between 3.5% and 4.25% for school divisions with F.T.E enrolment between 1,000 and 5,000. Northern school divisions are subject  to a 5% limit.</t>
  </si>
  <si>
    <t>2016/17</t>
  </si>
  <si>
    <t>(1)  Based on area (square footage) of active school buildings as at September 30, 2016. Includes rented and leased space.</t>
  </si>
  <si>
    <t>FOR THE 2016 TAXATION YEAR (2016 IS A REASSESSMENT YEAR)</t>
  </si>
  <si>
    <t>(1) The mill rate for other property in 2016 is 10.50.</t>
  </si>
  <si>
    <t>(1)  Special levy net of the Tax Incentive Grant (page 54) requisitioned by school divisions for the 2016 tax year. Actual remittance to
       school divisions by municipalities is reduced by the Education Property Tax Credit. See pages 41 and 42 for more detail.</t>
  </si>
  <si>
    <t>(1)  The Tax Incentive Grant was offered to school divisions that maintained their prior year Special Levy amount adjusted for real growth in
        property assessment. The 2016 grant is unchanged from the amount provided in 2011. Amounts shown here are the portions by
        division before the allocation to the DSFM.</t>
  </si>
  <si>
    <r>
      <t xml:space="preserve">2016/17 </t>
    </r>
    <r>
      <rPr>
        <b/>
        <vertAlign val="superscript"/>
        <sz val="10"/>
        <rFont val="Arial"/>
        <family val="2"/>
      </rPr>
      <t>(2)</t>
    </r>
  </si>
  <si>
    <r>
      <t xml:space="preserve">2016 </t>
    </r>
    <r>
      <rPr>
        <b/>
        <vertAlign val="superscript"/>
        <sz val="10"/>
        <rFont val="Arial"/>
        <family val="2"/>
      </rPr>
      <t>(3)</t>
    </r>
  </si>
  <si>
    <r>
      <t xml:space="preserve">2016 </t>
    </r>
    <r>
      <rPr>
        <b/>
        <vertAlign val="superscript"/>
        <sz val="10"/>
        <rFont val="Arial"/>
        <family val="2"/>
      </rPr>
      <t>(4)</t>
    </r>
  </si>
  <si>
    <t>W:\Edusfb\Frame.fin\[Final17.xls]Scdatabase - Column AB</t>
  </si>
  <si>
    <t>2016 TSA</t>
  </si>
  <si>
    <t>Sept. 30 / 16</t>
  </si>
  <si>
    <t>SEPT. 30, 2016</t>
  </si>
  <si>
    <t>(3)  Provincially supported pupils (actual September 30, 2015 for 2016/17 and actual September 30, 2014 for 2015/16). The Whiteshell Special 
       Revenue District includes out-of-district pupils.</t>
  </si>
  <si>
    <t>2016/2017 ACTUAL</t>
  </si>
  <si>
    <t>All pages of the FRAME report containing the tables of financial and statistical data are included in this file.</t>
  </si>
  <si>
    <t>In most cases, formulas have been left intact to show how statistics such as percentages and average costs per pupil are derived.</t>
  </si>
  <si>
    <t>The cover page, table of contents, forward and introduction, etc. as well as the graphs (e.g. pie charts, bar charts, etc.) are not included.  The complete report is available in PDF format on the same web site from which you retrieved this Excel file.</t>
  </si>
  <si>
    <t>Each worksheet tab is numbered to match the corresponding page found in the published document so, for example, to see page 15, click the worksheet tab named "- 15 -".</t>
  </si>
  <si>
    <t>This file is unprotected for data manipulation and calculation.  Data may also be copied to other files or additional data copied to this one.  In cases of dispute however, the published FRAME reports and the corresponding files located on the Manitoba Government web site remain  the final authority.</t>
  </si>
  <si>
    <t>FRAME Report: 2016/17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</si>
</sst>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_(* \(#,##0.00\);_(* &quot;-&quot;??_);_(@_)"/>
    <numFmt numFmtId="165" formatCode=";;;"/>
    <numFmt numFmtId="166" formatCode="0.0%"/>
    <numFmt numFmtId="167" formatCode="#,##0.0_);\(#,##0.0\)"/>
    <numFmt numFmtId="168" formatCode="0.0_)"/>
    <numFmt numFmtId="169" formatCode="0.00_)"/>
    <numFmt numFmtId="170" formatCode="#,##0_ ;\(#,##0\)"/>
    <numFmt numFmtId="171" formatCode="#,##0\ ;\(#,##0\ \)"/>
    <numFmt numFmtId="172" formatCode="#,##0.0;\-#,##0.0"/>
    <numFmt numFmtId="173" formatCode="#,##0.0000;\-#,##0.0000"/>
    <numFmt numFmtId="174" formatCode="#,##0.0_ ;\(#,##0.0\)"/>
    <numFmt numFmtId="175" formatCode="#,##0.0_);[Red]\(#,##0.0\)"/>
    <numFmt numFmtId="176" formatCode="#,##0.00_ ;\(#,##0.00\)"/>
    <numFmt numFmtId="177" formatCode="dd\-mmm\-yy_)"/>
  </numFmts>
  <fonts count="31" x14ac:knownFonts="1">
    <font>
      <sz val="9"/>
      <name val="Times New Roman"/>
    </font>
    <font>
      <sz val="10"/>
      <name val="Times New Roman"/>
      <family val="1"/>
    </font>
    <font>
      <sz val="10"/>
      <name val="Courier"/>
      <family val="3"/>
    </font>
    <font>
      <sz val="10"/>
      <name val="Arial"/>
      <family val="2"/>
    </font>
    <font>
      <b/>
      <sz val="9"/>
      <name val="Arial"/>
      <family val="2"/>
    </font>
    <font>
      <vertAlign val="superscript"/>
      <sz val="9"/>
      <name val="Arial"/>
      <family val="2"/>
    </font>
    <font>
      <sz val="8"/>
      <name val="Times New Roman"/>
      <family val="1"/>
    </font>
    <font>
      <sz val="9"/>
      <name val="Arial"/>
      <family val="2"/>
    </font>
    <font>
      <sz val="8"/>
      <name val="Arial"/>
      <family val="2"/>
    </font>
    <font>
      <b/>
      <sz val="12"/>
      <name val="Arial"/>
      <family val="2"/>
    </font>
    <font>
      <sz val="9"/>
      <color indexed="12"/>
      <name val="Arial"/>
      <family val="2"/>
    </font>
    <font>
      <b/>
      <vertAlign val="superscript"/>
      <sz val="9"/>
      <name val="Arial"/>
      <family val="2"/>
    </font>
    <font>
      <b/>
      <vertAlign val="superscript"/>
      <sz val="10"/>
      <name val="Arial"/>
      <family val="2"/>
    </font>
    <font>
      <vertAlign val="superscript"/>
      <sz val="10"/>
      <name val="Arial"/>
      <family val="2"/>
    </font>
    <font>
      <u/>
      <sz val="9"/>
      <name val="Arial"/>
      <family val="2"/>
    </font>
    <font>
      <sz val="11"/>
      <name val="Arial"/>
      <family val="2"/>
    </font>
    <font>
      <sz val="9"/>
      <color indexed="9"/>
      <name val="Arial"/>
      <family val="2"/>
    </font>
    <font>
      <u/>
      <sz val="9"/>
      <color indexed="12"/>
      <name val="Times New Roman"/>
      <family val="1"/>
    </font>
    <font>
      <sz val="10"/>
      <name val="Arial"/>
      <family val="2"/>
    </font>
    <font>
      <sz val="8"/>
      <name val="Arial"/>
      <family val="2"/>
    </font>
    <font>
      <b/>
      <sz val="11"/>
      <name val="Arial"/>
      <family val="2"/>
    </font>
    <font>
      <u/>
      <sz val="9"/>
      <color indexed="12"/>
      <name val="Arial"/>
      <family val="2"/>
    </font>
    <font>
      <sz val="8"/>
      <color indexed="81"/>
      <name val="Tahoma"/>
      <family val="2"/>
    </font>
    <font>
      <b/>
      <sz val="9"/>
      <color indexed="10"/>
      <name val="Arial"/>
      <family val="2"/>
    </font>
    <font>
      <sz val="9"/>
      <name val="Times New Roman"/>
      <family val="1"/>
    </font>
    <font>
      <sz val="11"/>
      <name val="Calibri"/>
      <family val="2"/>
    </font>
    <font>
      <sz val="9"/>
      <color theme="0"/>
      <name val="Arial"/>
      <family val="2"/>
    </font>
    <font>
      <sz val="9"/>
      <color rgb="FFFF0000"/>
      <name val="Arial"/>
      <family val="2"/>
    </font>
    <font>
      <sz val="9"/>
      <color rgb="FF0070C0"/>
      <name val="Arial"/>
      <family val="2"/>
    </font>
    <font>
      <b/>
      <sz val="5"/>
      <name val="Arial"/>
      <family val="2"/>
    </font>
    <font>
      <sz val="9"/>
      <color rgb="FF000000"/>
      <name val="Times New Roman"/>
      <family val="1"/>
    </font>
  </fonts>
  <fills count="15">
    <fill>
      <patternFill patternType="none"/>
    </fill>
    <fill>
      <patternFill patternType="gray125"/>
    </fill>
    <fill>
      <patternFill patternType="solid">
        <fgColor indexed="22"/>
        <bgColor indexed="22"/>
      </patternFill>
    </fill>
    <fill>
      <patternFill patternType="solid">
        <fgColor indexed="9"/>
        <bgColor indexed="9"/>
      </patternFill>
    </fill>
    <fill>
      <patternFill patternType="solid">
        <fgColor indexed="65"/>
        <bgColor indexed="64"/>
      </patternFill>
    </fill>
    <fill>
      <patternFill patternType="solid">
        <fgColor indexed="9"/>
        <bgColor indexed="8"/>
      </patternFill>
    </fill>
    <fill>
      <patternFill patternType="solid">
        <fgColor indexed="27"/>
        <bgColor indexed="8"/>
      </patternFill>
    </fill>
    <fill>
      <patternFill patternType="solid">
        <fgColor indexed="27"/>
        <bgColor indexed="64"/>
      </patternFill>
    </fill>
    <fill>
      <patternFill patternType="solid">
        <fgColor indexed="41"/>
        <bgColor indexed="64"/>
      </patternFill>
    </fill>
    <fill>
      <patternFill patternType="solid">
        <fgColor indexed="27"/>
        <bgColor indexed="27"/>
      </patternFill>
    </fill>
    <fill>
      <patternFill patternType="solid">
        <fgColor indexed="41"/>
        <bgColor indexed="8"/>
      </patternFill>
    </fill>
    <fill>
      <patternFill patternType="solid">
        <fgColor indexed="41"/>
        <bgColor indexed="42"/>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s>
  <borders count="78">
    <border>
      <left/>
      <right/>
      <top/>
      <bottom/>
      <diagonal/>
    </border>
    <border>
      <left style="thin">
        <color indexed="8"/>
      </left>
      <right style="thin">
        <color indexed="8"/>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style="double">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right/>
      <top style="thin">
        <color indexed="8"/>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double">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thin">
        <color indexed="8"/>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8"/>
      </left>
      <right/>
      <top style="thin">
        <color indexed="64"/>
      </top>
      <bottom/>
      <diagonal/>
    </border>
    <border>
      <left style="thin">
        <color indexed="64"/>
      </left>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diagonal/>
    </border>
    <border>
      <left style="double">
        <color indexed="64"/>
      </left>
      <right style="thin">
        <color indexed="64"/>
      </right>
      <top/>
      <bottom/>
      <diagonal/>
    </border>
    <border>
      <left style="double">
        <color indexed="64"/>
      </left>
      <right style="thin">
        <color indexed="64"/>
      </right>
      <top/>
      <bottom style="thin">
        <color indexed="8"/>
      </bottom>
      <diagonal/>
    </border>
  </borders>
  <cellStyleXfs count="10">
    <xf numFmtId="37" fontId="0" fillId="0" borderId="0"/>
    <xf numFmtId="0" fontId="2" fillId="2" borderId="1"/>
    <xf numFmtId="164" fontId="1" fillId="0" borderId="0" applyFont="0" applyFill="0" applyBorder="0" applyAlignment="0" applyProtection="0"/>
    <xf numFmtId="164" fontId="18"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xf numFmtId="0" fontId="18" fillId="0" borderId="0"/>
    <xf numFmtId="39" fontId="24" fillId="0" borderId="0"/>
    <xf numFmtId="9" fontId="1" fillId="0" borderId="0" applyFont="0" applyFill="0" applyBorder="0" applyAlignment="0" applyProtection="0"/>
    <xf numFmtId="37" fontId="24" fillId="0" borderId="0"/>
  </cellStyleXfs>
  <cellXfs count="874">
    <xf numFmtId="37" fontId="0" fillId="0" borderId="0" xfId="0"/>
    <xf numFmtId="37" fontId="0" fillId="0" borderId="0" xfId="0" applyAlignment="1">
      <alignment horizontal="right"/>
    </xf>
    <xf numFmtId="37" fontId="7" fillId="0" borderId="0" xfId="0" applyFont="1"/>
    <xf numFmtId="37" fontId="8" fillId="0" borderId="0" xfId="0" applyFont="1"/>
    <xf numFmtId="37" fontId="7" fillId="0" borderId="0" xfId="0" applyFont="1" applyAlignment="1">
      <alignment horizontal="right"/>
    </xf>
    <xf numFmtId="167" fontId="7" fillId="0" borderId="0" xfId="0" applyNumberFormat="1" applyFont="1"/>
    <xf numFmtId="37" fontId="4" fillId="0" borderId="0" xfId="0" applyFont="1"/>
    <xf numFmtId="165" fontId="7" fillId="0" borderId="0" xfId="0" applyNumberFormat="1" applyFont="1" applyProtection="1"/>
    <xf numFmtId="37" fontId="7" fillId="3" borderId="0" xfId="0" applyFont="1" applyFill="1"/>
    <xf numFmtId="37" fontId="4" fillId="3" borderId="2" xfId="0" applyFont="1" applyFill="1" applyBorder="1" applyAlignment="1">
      <alignment horizontal="centerContinuous" vertical="center"/>
    </xf>
    <xf numFmtId="37" fontId="7" fillId="3" borderId="2" xfId="0" applyFont="1" applyFill="1" applyBorder="1" applyAlignment="1">
      <alignment horizontal="centerContinuous"/>
    </xf>
    <xf numFmtId="37" fontId="4" fillId="3" borderId="3" xfId="0" applyFont="1" applyFill="1" applyBorder="1" applyAlignment="1">
      <alignment horizontal="centerContinuous" vertical="center"/>
    </xf>
    <xf numFmtId="37" fontId="7" fillId="3" borderId="3" xfId="0" applyFont="1" applyFill="1" applyBorder="1" applyAlignment="1">
      <alignment horizontal="centerContinuous"/>
    </xf>
    <xf numFmtId="37" fontId="10" fillId="3" borderId="3" xfId="0" applyFont="1" applyFill="1" applyBorder="1" applyAlignment="1">
      <alignment horizontal="centerContinuous"/>
    </xf>
    <xf numFmtId="37" fontId="7" fillId="3" borderId="0" xfId="0" applyFont="1" applyFill="1" applyAlignment="1">
      <alignment horizontal="center"/>
    </xf>
    <xf numFmtId="37" fontId="4" fillId="3" borderId="1" xfId="0" applyFont="1" applyFill="1" applyBorder="1" applyAlignment="1">
      <alignment horizontal="center"/>
    </xf>
    <xf numFmtId="49" fontId="4" fillId="0" borderId="7" xfId="0" applyNumberFormat="1" applyFont="1" applyBorder="1"/>
    <xf numFmtId="49" fontId="4" fillId="0" borderId="8" xfId="0" applyNumberFormat="1" applyFont="1" applyBorder="1"/>
    <xf numFmtId="49" fontId="4" fillId="0" borderId="0" xfId="0" applyNumberFormat="1" applyFont="1"/>
    <xf numFmtId="49" fontId="7" fillId="0" borderId="1" xfId="0" applyNumberFormat="1" applyFont="1" applyBorder="1" applyAlignment="1">
      <alignment vertical="center"/>
    </xf>
    <xf numFmtId="170" fontId="7" fillId="0" borderId="1" xfId="0" applyNumberFormat="1" applyFont="1" applyBorder="1" applyAlignment="1">
      <alignment vertical="center"/>
    </xf>
    <xf numFmtId="49" fontId="7" fillId="0" borderId="0" xfId="0" applyNumberFormat="1" applyFont="1" applyAlignment="1">
      <alignment vertical="center"/>
    </xf>
    <xf numFmtId="171" fontId="7" fillId="0" borderId="0" xfId="0" applyNumberFormat="1" applyFont="1" applyAlignment="1">
      <alignment vertical="center"/>
    </xf>
    <xf numFmtId="37" fontId="7" fillId="0" borderId="11" xfId="0" applyFont="1" applyBorder="1"/>
    <xf numFmtId="49" fontId="7" fillId="0" borderId="0" xfId="0" applyNumberFormat="1" applyFont="1" applyAlignment="1"/>
    <xf numFmtId="37" fontId="7" fillId="0" borderId="0" xfId="0" applyFont="1" applyAlignment="1">
      <alignment horizontal="left"/>
    </xf>
    <xf numFmtId="49" fontId="7" fillId="0" borderId="0" xfId="0" applyNumberFormat="1" applyFont="1" applyAlignment="1">
      <alignment horizontal="left"/>
    </xf>
    <xf numFmtId="37" fontId="7" fillId="3" borderId="12" xfId="0" applyFont="1" applyFill="1" applyBorder="1" applyAlignment="1">
      <alignment horizontal="centerContinuous"/>
    </xf>
    <xf numFmtId="37" fontId="7" fillId="3" borderId="12" xfId="0" applyFont="1" applyFill="1" applyBorder="1" applyAlignment="1"/>
    <xf numFmtId="165" fontId="7" fillId="0" borderId="3" xfId="0" applyNumberFormat="1" applyFont="1" applyBorder="1" applyAlignment="1" applyProtection="1">
      <alignment horizontal="centerContinuous"/>
    </xf>
    <xf numFmtId="37" fontId="7" fillId="3" borderId="11" xfId="0" applyFont="1" applyFill="1" applyBorder="1" applyAlignment="1">
      <alignment horizontal="centerContinuous"/>
    </xf>
    <xf numFmtId="37" fontId="7" fillId="3" borderId="0" xfId="0" applyFont="1" applyFill="1" applyBorder="1"/>
    <xf numFmtId="37" fontId="7" fillId="0" borderId="0" xfId="0" applyNumberFormat="1" applyFont="1" applyBorder="1" applyProtection="1"/>
    <xf numFmtId="37" fontId="4" fillId="0" borderId="4" xfId="0" applyFont="1" applyBorder="1"/>
    <xf numFmtId="37" fontId="4" fillId="3" borderId="5" xfId="0" applyFont="1" applyFill="1" applyBorder="1" applyAlignment="1">
      <alignment horizontal="right"/>
    </xf>
    <xf numFmtId="37" fontId="4" fillId="0" borderId="8" xfId="0" applyFont="1" applyBorder="1"/>
    <xf numFmtId="37" fontId="4" fillId="0" borderId="10" xfId="0" applyFont="1" applyBorder="1" applyAlignment="1">
      <alignment horizontal="right"/>
    </xf>
    <xf numFmtId="170" fontId="7" fillId="0" borderId="1" xfId="0" applyNumberFormat="1" applyFont="1" applyBorder="1" applyAlignment="1">
      <alignment horizontal="right" vertical="center"/>
    </xf>
    <xf numFmtId="37" fontId="7" fillId="0" borderId="0" xfId="0" applyFont="1" applyAlignment="1"/>
    <xf numFmtId="37" fontId="7" fillId="0" borderId="13" xfId="0" applyFont="1" applyBorder="1"/>
    <xf numFmtId="37" fontId="4" fillId="0" borderId="13" xfId="0" applyFont="1" applyBorder="1" applyAlignment="1">
      <alignment horizontal="centerContinuous"/>
    </xf>
    <xf numFmtId="37" fontId="7" fillId="0" borderId="13" xfId="0" applyFont="1" applyBorder="1" applyAlignment="1">
      <alignment horizontal="centerContinuous"/>
    </xf>
    <xf numFmtId="37" fontId="7" fillId="0" borderId="13" xfId="0" applyFont="1" applyBorder="1" applyAlignment="1"/>
    <xf numFmtId="37" fontId="7" fillId="3" borderId="0" xfId="0" applyFont="1" applyFill="1" applyAlignment="1">
      <alignment horizontal="centerContinuous"/>
    </xf>
    <xf numFmtId="37" fontId="7" fillId="0" borderId="14" xfId="0" applyFont="1" applyBorder="1"/>
    <xf numFmtId="37" fontId="7" fillId="0" borderId="5" xfId="0" applyFont="1" applyBorder="1"/>
    <xf numFmtId="37" fontId="4" fillId="3" borderId="9" xfId="0" applyFont="1" applyFill="1" applyBorder="1" applyAlignment="1">
      <alignment horizontal="centerContinuous"/>
    </xf>
    <xf numFmtId="37" fontId="4" fillId="0" borderId="15" xfId="0" applyFont="1" applyBorder="1"/>
    <xf numFmtId="170" fontId="7" fillId="0" borderId="1" xfId="0" applyNumberFormat="1" applyFont="1" applyBorder="1" applyProtection="1"/>
    <xf numFmtId="170" fontId="7" fillId="0" borderId="6" xfId="0" applyNumberFormat="1" applyFont="1" applyBorder="1" applyProtection="1"/>
    <xf numFmtId="37" fontId="7" fillId="0" borderId="6" xfId="0" applyFont="1" applyBorder="1"/>
    <xf numFmtId="170" fontId="7" fillId="0" borderId="16" xfId="0" applyNumberFormat="1" applyFont="1" applyBorder="1" applyProtection="1"/>
    <xf numFmtId="37" fontId="7" fillId="0" borderId="1" xfId="0" applyNumberFormat="1" applyFont="1" applyBorder="1" applyProtection="1"/>
    <xf numFmtId="37" fontId="7" fillId="0" borderId="6" xfId="0" applyNumberFormat="1" applyFont="1" applyBorder="1" applyProtection="1"/>
    <xf numFmtId="37" fontId="7" fillId="0" borderId="16" xfId="0" applyNumberFormat="1" applyFont="1" applyBorder="1" applyProtection="1"/>
    <xf numFmtId="37" fontId="4" fillId="0" borderId="15" xfId="0" applyFont="1" applyBorder="1" applyAlignment="1">
      <alignment vertical="top"/>
    </xf>
    <xf numFmtId="37" fontId="4" fillId="0" borderId="0" xfId="0" applyFont="1" applyAlignment="1">
      <alignment wrapText="1"/>
    </xf>
    <xf numFmtId="37" fontId="7" fillId="0" borderId="0" xfId="0" applyNumberFormat="1" applyFont="1" applyProtection="1"/>
    <xf numFmtId="37" fontId="7" fillId="0" borderId="17" xfId="0" applyFont="1" applyBorder="1"/>
    <xf numFmtId="37" fontId="4" fillId="0" borderId="18" xfId="0" applyFont="1" applyBorder="1"/>
    <xf numFmtId="170" fontId="4" fillId="0" borderId="19" xfId="0" applyNumberFormat="1" applyFont="1" applyBorder="1" applyProtection="1"/>
    <xf numFmtId="170" fontId="4" fillId="0" borderId="18" xfId="0" applyNumberFormat="1" applyFont="1" applyBorder="1" applyProtection="1"/>
    <xf numFmtId="170" fontId="7" fillId="0" borderId="13" xfId="0" applyNumberFormat="1" applyFont="1" applyBorder="1"/>
    <xf numFmtId="165" fontId="7" fillId="0" borderId="2" xfId="0" applyNumberFormat="1" applyFont="1" applyBorder="1" applyProtection="1"/>
    <xf numFmtId="37" fontId="7" fillId="3" borderId="2" xfId="0" applyFont="1" applyFill="1" applyBorder="1" applyAlignment="1">
      <alignment horizontal="center"/>
    </xf>
    <xf numFmtId="165" fontId="7" fillId="0" borderId="3" xfId="0" applyNumberFormat="1" applyFont="1" applyBorder="1" applyProtection="1"/>
    <xf numFmtId="37" fontId="7" fillId="3" borderId="3" xfId="0" applyFont="1" applyFill="1" applyBorder="1"/>
    <xf numFmtId="37" fontId="4" fillId="0" borderId="7" xfId="0" applyFont="1" applyBorder="1"/>
    <xf numFmtId="37" fontId="4" fillId="3" borderId="1" xfId="0" applyFont="1" applyFill="1" applyBorder="1"/>
    <xf numFmtId="37" fontId="4" fillId="3" borderId="0" xfId="0" applyFont="1" applyFill="1"/>
    <xf numFmtId="174" fontId="7" fillId="0" borderId="1" xfId="0" applyNumberFormat="1" applyFont="1" applyBorder="1" applyAlignment="1">
      <alignment vertical="center"/>
    </xf>
    <xf numFmtId="174" fontId="7" fillId="0" borderId="0" xfId="0" applyNumberFormat="1" applyFont="1" applyAlignment="1">
      <alignment vertical="center"/>
    </xf>
    <xf numFmtId="37" fontId="4" fillId="3" borderId="2" xfId="0" applyFont="1" applyFill="1" applyBorder="1" applyAlignment="1">
      <alignment horizontal="centerContinuous"/>
    </xf>
    <xf numFmtId="37" fontId="7" fillId="3" borderId="2" xfId="0" applyFont="1" applyFill="1" applyBorder="1" applyAlignment="1"/>
    <xf numFmtId="37" fontId="4" fillId="3" borderId="3" xfId="0" applyFont="1" applyFill="1" applyBorder="1" applyAlignment="1" applyProtection="1">
      <alignment horizontal="centerContinuous" vertical="center"/>
    </xf>
    <xf numFmtId="37" fontId="7" fillId="3" borderId="3" xfId="0" applyFont="1" applyFill="1" applyBorder="1" applyAlignment="1"/>
    <xf numFmtId="37" fontId="4" fillId="3" borderId="5" xfId="0" applyFont="1" applyFill="1" applyBorder="1" applyAlignment="1">
      <alignment horizontal="centerContinuous"/>
    </xf>
    <xf numFmtId="37" fontId="4" fillId="0" borderId="10" xfId="0" applyFont="1" applyBorder="1" applyAlignment="1">
      <alignment horizontal="centerContinuous"/>
    </xf>
    <xf numFmtId="37" fontId="4" fillId="0" borderId="9" xfId="0" applyFont="1" applyBorder="1" applyAlignment="1">
      <alignment horizontal="centerContinuous"/>
    </xf>
    <xf numFmtId="167" fontId="7" fillId="0" borderId="11" xfId="0" applyNumberFormat="1" applyFont="1" applyBorder="1" applyProtection="1"/>
    <xf numFmtId="37" fontId="7" fillId="0" borderId="0" xfId="0" applyFont="1" applyAlignment="1">
      <alignment horizontal="centerContinuous"/>
    </xf>
    <xf numFmtId="37" fontId="7" fillId="3" borderId="2" xfId="0" applyFont="1" applyFill="1" applyBorder="1" applyAlignment="1">
      <alignment horizontal="right"/>
    </xf>
    <xf numFmtId="37" fontId="4" fillId="0" borderId="9" xfId="0" applyFont="1" applyBorder="1"/>
    <xf numFmtId="37" fontId="4" fillId="0" borderId="9" xfId="0" applyFont="1" applyBorder="1" applyAlignment="1">
      <alignment horizontal="center"/>
    </xf>
    <xf numFmtId="37" fontId="4" fillId="4" borderId="1" xfId="0" applyFont="1" applyFill="1" applyBorder="1" applyAlignment="1">
      <alignment horizontal="center"/>
    </xf>
    <xf numFmtId="37" fontId="7" fillId="0" borderId="0" xfId="0" applyFont="1" applyProtection="1"/>
    <xf numFmtId="37" fontId="7" fillId="4" borderId="0" xfId="0" applyFont="1" applyFill="1" applyBorder="1"/>
    <xf numFmtId="167" fontId="7" fillId="5" borderId="0" xfId="0" applyNumberFormat="1" applyFont="1" applyFill="1" applyBorder="1" applyProtection="1"/>
    <xf numFmtId="167" fontId="4" fillId="5" borderId="0" xfId="0" applyNumberFormat="1" applyFont="1" applyFill="1" applyBorder="1" applyProtection="1"/>
    <xf numFmtId="37" fontId="7" fillId="3" borderId="0" xfId="0" applyFont="1" applyFill="1" applyProtection="1"/>
    <xf numFmtId="37" fontId="4" fillId="3" borderId="2" xfId="0" applyFont="1" applyFill="1" applyBorder="1" applyAlignment="1" applyProtection="1">
      <alignment horizontal="centerContinuous" vertical="center"/>
    </xf>
    <xf numFmtId="37" fontId="7" fillId="3" borderId="2" xfId="0" applyFont="1" applyFill="1" applyBorder="1" applyAlignment="1" applyProtection="1">
      <alignment horizontal="centerContinuous"/>
    </xf>
    <xf numFmtId="37" fontId="7" fillId="3" borderId="2" xfId="0" applyFont="1" applyFill="1" applyBorder="1" applyAlignment="1" applyProtection="1">
      <alignment horizontal="right"/>
    </xf>
    <xf numFmtId="37" fontId="4" fillId="3" borderId="3" xfId="0" quotePrefix="1" applyFont="1" applyFill="1" applyBorder="1" applyAlignment="1" applyProtection="1">
      <alignment horizontal="centerContinuous" vertical="center"/>
    </xf>
    <xf numFmtId="37" fontId="7" fillId="3" borderId="3" xfId="0" applyFont="1" applyFill="1" applyBorder="1" applyAlignment="1" applyProtection="1">
      <alignment horizontal="centerContinuous"/>
    </xf>
    <xf numFmtId="37" fontId="7" fillId="3" borderId="3" xfId="0" quotePrefix="1" applyFont="1" applyFill="1" applyBorder="1" applyAlignment="1" applyProtection="1">
      <alignment horizontal="centerContinuous"/>
    </xf>
    <xf numFmtId="37" fontId="7" fillId="3" borderId="3" xfId="0" applyFont="1" applyFill="1" applyBorder="1" applyProtection="1"/>
    <xf numFmtId="169" fontId="7" fillId="3" borderId="0" xfId="0" applyNumberFormat="1" applyFont="1" applyFill="1" applyProtection="1"/>
    <xf numFmtId="37" fontId="4" fillId="0" borderId="20" xfId="0" applyFont="1" applyBorder="1" applyAlignment="1" applyProtection="1">
      <alignment horizontal="centerContinuous"/>
    </xf>
    <xf numFmtId="37" fontId="4" fillId="0" borderId="3" xfId="0" applyFont="1" applyBorder="1" applyAlignment="1" applyProtection="1">
      <alignment horizontal="centerContinuous"/>
    </xf>
    <xf numFmtId="37" fontId="4" fillId="0" borderId="21" xfId="0" applyFont="1" applyBorder="1" applyAlignment="1" applyProtection="1">
      <alignment horizontal="centerContinuous"/>
    </xf>
    <xf numFmtId="37" fontId="4" fillId="0" borderId="10" xfId="0" applyFont="1" applyBorder="1" applyAlignment="1" applyProtection="1">
      <alignment horizontal="centerContinuous"/>
    </xf>
    <xf numFmtId="37" fontId="4" fillId="0" borderId="7" xfId="0" applyFont="1" applyBorder="1" applyAlignment="1">
      <alignment vertical="center"/>
    </xf>
    <xf numFmtId="37" fontId="4" fillId="0" borderId="16" xfId="0" applyFont="1" applyBorder="1" applyAlignment="1" applyProtection="1">
      <alignment vertical="center"/>
    </xf>
    <xf numFmtId="37" fontId="4" fillId="0" borderId="8" xfId="0" applyFont="1" applyBorder="1" applyAlignment="1">
      <alignment vertical="center"/>
    </xf>
    <xf numFmtId="37" fontId="4" fillId="0" borderId="20" xfId="0" applyFont="1" applyBorder="1" applyAlignment="1" applyProtection="1">
      <alignment horizontal="center" vertical="center"/>
    </xf>
    <xf numFmtId="174" fontId="7" fillId="0" borderId="22" xfId="0" applyNumberFormat="1" applyFont="1" applyBorder="1" applyAlignment="1">
      <alignment vertical="center"/>
    </xf>
    <xf numFmtId="174" fontId="7" fillId="0" borderId="6" xfId="0" applyNumberFormat="1" applyFont="1" applyBorder="1" applyAlignment="1">
      <alignment vertical="center"/>
    </xf>
    <xf numFmtId="37" fontId="7" fillId="0" borderId="11" xfId="0" applyFont="1" applyBorder="1" applyProtection="1"/>
    <xf numFmtId="49" fontId="8" fillId="0" borderId="0" xfId="0" applyNumberFormat="1" applyFont="1" applyAlignment="1">
      <alignment horizontal="right"/>
    </xf>
    <xf numFmtId="49" fontId="13" fillId="0" borderId="6" xfId="0" applyNumberFormat="1" applyFont="1" applyBorder="1"/>
    <xf numFmtId="37" fontId="7" fillId="0" borderId="13" xfId="0" applyFont="1" applyBorder="1" applyAlignment="1">
      <alignment horizontal="right"/>
    </xf>
    <xf numFmtId="37" fontId="4" fillId="0" borderId="17" xfId="0" applyFont="1" applyBorder="1" applyAlignment="1">
      <alignment horizontal="centerContinuous"/>
    </xf>
    <xf numFmtId="37" fontId="7" fillId="0" borderId="18" xfId="0" applyFont="1" applyBorder="1" applyAlignment="1">
      <alignment horizontal="centerContinuous"/>
    </xf>
    <xf numFmtId="37" fontId="4" fillId="3" borderId="23" xfId="0" applyFont="1" applyFill="1" applyBorder="1" applyAlignment="1">
      <alignment horizontal="center"/>
    </xf>
    <xf numFmtId="37" fontId="4" fillId="3" borderId="20" xfId="0" applyFont="1" applyFill="1" applyBorder="1" applyAlignment="1">
      <alignment horizontal="centerContinuous"/>
    </xf>
    <xf numFmtId="37" fontId="7" fillId="0" borderId="2" xfId="0" applyFont="1" applyBorder="1"/>
    <xf numFmtId="170" fontId="7" fillId="3" borderId="7" xfId="0" applyNumberFormat="1" applyFont="1" applyFill="1" applyBorder="1" applyProtection="1"/>
    <xf numFmtId="166" fontId="7" fillId="3" borderId="7" xfId="0" applyNumberFormat="1" applyFont="1" applyFill="1" applyBorder="1" applyProtection="1"/>
    <xf numFmtId="37" fontId="7" fillId="3" borderId="24" xfId="0" applyFont="1" applyFill="1" applyBorder="1"/>
    <xf numFmtId="170" fontId="7" fillId="3" borderId="24" xfId="0" applyNumberFormat="1" applyFont="1" applyFill="1" applyBorder="1" applyProtection="1"/>
    <xf numFmtId="37" fontId="7" fillId="0" borderId="24" xfId="0" applyFont="1" applyBorder="1"/>
    <xf numFmtId="170" fontId="7" fillId="0" borderId="24" xfId="0" applyNumberFormat="1" applyFont="1" applyBorder="1" applyProtection="1"/>
    <xf numFmtId="170" fontId="7" fillId="0" borderId="24" xfId="0" applyNumberFormat="1" applyFont="1" applyBorder="1"/>
    <xf numFmtId="37" fontId="7" fillId="0" borderId="8" xfId="0" applyFont="1" applyBorder="1" applyAlignment="1">
      <alignment horizontal="left"/>
    </xf>
    <xf numFmtId="37" fontId="4" fillId="0" borderId="23" xfId="0" applyFont="1" applyFill="1" applyBorder="1"/>
    <xf numFmtId="37" fontId="7" fillId="0" borderId="24" xfId="0" quotePrefix="1" applyFont="1" applyBorder="1" applyAlignment="1">
      <alignment horizontal="left"/>
    </xf>
    <xf numFmtId="37" fontId="7" fillId="0" borderId="8" xfId="0" applyFont="1" applyBorder="1"/>
    <xf numFmtId="37" fontId="4" fillId="0" borderId="7" xfId="0" applyFont="1" applyFill="1" applyBorder="1"/>
    <xf numFmtId="166" fontId="7" fillId="0" borderId="0" xfId="0" applyNumberFormat="1" applyFont="1" applyProtection="1"/>
    <xf numFmtId="49" fontId="7" fillId="0" borderId="0" xfId="0" applyNumberFormat="1" applyFont="1"/>
    <xf numFmtId="166" fontId="7" fillId="0" borderId="0" xfId="8" applyNumberFormat="1" applyFont="1"/>
    <xf numFmtId="49" fontId="8" fillId="0" borderId="0" xfId="0" applyNumberFormat="1" applyFont="1"/>
    <xf numFmtId="37" fontId="7" fillId="0" borderId="0" xfId="0" quotePrefix="1" applyFont="1" applyAlignment="1">
      <alignment horizontal="left"/>
    </xf>
    <xf numFmtId="165" fontId="7" fillId="0" borderId="2" xfId="0" applyNumberFormat="1" applyFont="1" applyBorder="1" applyAlignment="1" applyProtection="1">
      <alignment vertical="center"/>
    </xf>
    <xf numFmtId="37" fontId="7" fillId="3" borderId="2" xfId="0" applyFont="1" applyFill="1" applyBorder="1" applyAlignment="1">
      <alignment horizontal="right" vertical="center"/>
    </xf>
    <xf numFmtId="165" fontId="7" fillId="0" borderId="3" xfId="0" applyNumberFormat="1" applyFont="1" applyBorder="1" applyAlignment="1" applyProtection="1">
      <alignment vertical="center"/>
    </xf>
    <xf numFmtId="37" fontId="4" fillId="3" borderId="6" xfId="0" applyFont="1" applyFill="1" applyBorder="1"/>
    <xf numFmtId="37" fontId="4" fillId="3" borderId="1" xfId="0" applyFont="1" applyFill="1" applyBorder="1" applyAlignment="1">
      <alignment horizontal="centerContinuous"/>
    </xf>
    <xf numFmtId="37" fontId="4" fillId="3" borderId="6" xfId="0" applyFont="1" applyFill="1" applyBorder="1" applyAlignment="1">
      <alignment horizontal="centerContinuous"/>
    </xf>
    <xf numFmtId="166" fontId="7" fillId="0" borderId="1" xfId="8" applyNumberFormat="1" applyFont="1" applyBorder="1"/>
    <xf numFmtId="165" fontId="7" fillId="0" borderId="2" xfId="0" applyNumberFormat="1" applyFont="1" applyBorder="1" applyAlignment="1" applyProtection="1">
      <alignment horizontal="centerContinuous" vertical="center"/>
    </xf>
    <xf numFmtId="37" fontId="7" fillId="0" borderId="12" xfId="0" applyFont="1" applyBorder="1" applyAlignment="1">
      <alignment horizontal="centerContinuous" vertical="center"/>
    </xf>
    <xf numFmtId="37" fontId="7" fillId="3" borderId="2" xfId="0" applyFont="1" applyFill="1" applyBorder="1" applyAlignment="1">
      <alignment horizontal="centerContinuous" vertical="center"/>
    </xf>
    <xf numFmtId="37" fontId="10" fillId="0" borderId="2" xfId="0" applyFont="1" applyBorder="1" applyProtection="1">
      <protection locked="0"/>
    </xf>
    <xf numFmtId="165" fontId="7" fillId="0" borderId="3" xfId="0" applyNumberFormat="1" applyFont="1" applyBorder="1" applyAlignment="1" applyProtection="1">
      <alignment horizontal="centerContinuous" vertical="center"/>
    </xf>
    <xf numFmtId="37" fontId="7" fillId="3" borderId="3" xfId="0" applyFont="1" applyFill="1" applyBorder="1" applyAlignment="1">
      <alignment horizontal="centerContinuous" vertical="center"/>
    </xf>
    <xf numFmtId="37" fontId="10" fillId="0" borderId="3" xfId="0" applyFont="1" applyBorder="1" applyProtection="1">
      <protection locked="0"/>
    </xf>
    <xf numFmtId="37" fontId="4" fillId="0" borderId="26" xfId="0" applyFont="1" applyFill="1" applyBorder="1" applyAlignment="1">
      <alignment horizontal="left"/>
    </xf>
    <xf numFmtId="37" fontId="7" fillId="0" borderId="25" xfId="0" applyFont="1" applyFill="1" applyBorder="1" applyAlignment="1"/>
    <xf numFmtId="37" fontId="7" fillId="0" borderId="27" xfId="0" applyFont="1" applyFill="1" applyBorder="1" applyAlignment="1"/>
    <xf numFmtId="170" fontId="7" fillId="0" borderId="1" xfId="0" applyNumberFormat="1" applyFont="1" applyBorder="1"/>
    <xf numFmtId="170" fontId="7" fillId="0" borderId="0" xfId="0" applyNumberFormat="1" applyFont="1"/>
    <xf numFmtId="37" fontId="7" fillId="0" borderId="12" xfId="0" applyFont="1" applyBorder="1" applyAlignment="1"/>
    <xf numFmtId="37" fontId="4" fillId="3" borderId="17" xfId="0" applyFont="1" applyFill="1" applyBorder="1" applyAlignment="1">
      <alignment horizontal="left"/>
    </xf>
    <xf numFmtId="37" fontId="4" fillId="3" borderId="13" xfId="0" applyFont="1" applyFill="1" applyBorder="1" applyAlignment="1"/>
    <xf numFmtId="37" fontId="7" fillId="3" borderId="13" xfId="0" applyFont="1" applyFill="1" applyBorder="1" applyAlignment="1"/>
    <xf numFmtId="37" fontId="7" fillId="3" borderId="18" xfId="0" applyFont="1" applyFill="1" applyBorder="1" applyAlignment="1"/>
    <xf numFmtId="37" fontId="7" fillId="0" borderId="12" xfId="0" applyFont="1" applyBorder="1" applyAlignment="1">
      <alignment horizontal="centerContinuous"/>
    </xf>
    <xf numFmtId="37" fontId="7" fillId="0" borderId="11" xfId="0" applyFont="1" applyBorder="1" applyAlignment="1">
      <alignment horizontal="centerContinuous"/>
    </xf>
    <xf numFmtId="0" fontId="7" fillId="3" borderId="2" xfId="0" applyNumberFormat="1" applyFont="1" applyFill="1" applyBorder="1" applyAlignment="1"/>
    <xf numFmtId="0" fontId="7" fillId="3" borderId="3" xfId="0" applyNumberFormat="1" applyFont="1" applyFill="1" applyBorder="1" applyAlignment="1"/>
    <xf numFmtId="37" fontId="7" fillId="3" borderId="6" xfId="0" applyFont="1" applyFill="1" applyBorder="1"/>
    <xf numFmtId="39" fontId="7" fillId="0" borderId="0" xfId="0" applyNumberFormat="1" applyFont="1" applyProtection="1"/>
    <xf numFmtId="37" fontId="4" fillId="3" borderId="17" xfId="0" applyFont="1" applyFill="1" applyBorder="1"/>
    <xf numFmtId="37" fontId="4" fillId="3" borderId="13" xfId="0" applyFont="1" applyFill="1" applyBorder="1"/>
    <xf numFmtId="37" fontId="7" fillId="3" borderId="13" xfId="0" applyFont="1" applyFill="1" applyBorder="1"/>
    <xf numFmtId="37" fontId="7" fillId="3" borderId="18" xfId="0" applyFont="1" applyFill="1" applyBorder="1"/>
    <xf numFmtId="37" fontId="4" fillId="0" borderId="18" xfId="0" applyFont="1" applyBorder="1" applyAlignment="1">
      <alignment horizontal="centerContinuous"/>
    </xf>
    <xf numFmtId="165" fontId="7" fillId="0" borderId="2" xfId="0" applyNumberFormat="1" applyFont="1" applyBorder="1" applyAlignment="1" applyProtection="1">
      <alignment horizontal="centerContinuous"/>
    </xf>
    <xf numFmtId="37" fontId="4" fillId="3" borderId="18" xfId="0" applyFont="1" applyFill="1" applyBorder="1" applyAlignment="1">
      <alignment horizontal="centerContinuous"/>
    </xf>
    <xf numFmtId="37" fontId="4" fillId="0" borderId="19" xfId="0" applyFont="1" applyBorder="1" applyAlignment="1">
      <alignment horizontal="centerContinuous"/>
    </xf>
    <xf numFmtId="37" fontId="4" fillId="3" borderId="13" xfId="0" applyFont="1" applyFill="1" applyBorder="1" applyAlignment="1">
      <alignment horizontal="centerContinuous"/>
    </xf>
    <xf numFmtId="37" fontId="7" fillId="3" borderId="13" xfId="0" applyFont="1" applyFill="1" applyBorder="1" applyAlignment="1">
      <alignment horizontal="centerContinuous"/>
    </xf>
    <xf numFmtId="37" fontId="7" fillId="3" borderId="18" xfId="0" applyFont="1" applyFill="1" applyBorder="1" applyAlignment="1">
      <alignment horizontal="centerContinuous"/>
    </xf>
    <xf numFmtId="37" fontId="4" fillId="3" borderId="13" xfId="0" applyFont="1" applyFill="1" applyBorder="1" applyProtection="1"/>
    <xf numFmtId="37" fontId="7" fillId="3" borderId="13" xfId="0" applyFont="1" applyFill="1" applyBorder="1" applyProtection="1"/>
    <xf numFmtId="37" fontId="7" fillId="3" borderId="18" xfId="0" applyFont="1" applyFill="1" applyBorder="1" applyProtection="1"/>
    <xf numFmtId="37" fontId="4" fillId="3" borderId="1" xfId="0" applyFont="1" applyFill="1" applyBorder="1" applyProtection="1"/>
    <xf numFmtId="37" fontId="4" fillId="3" borderId="1" xfId="0" applyFont="1" applyFill="1" applyBorder="1" applyAlignment="1" applyProtection="1">
      <alignment horizontal="centerContinuous"/>
    </xf>
    <xf numFmtId="37" fontId="4" fillId="0" borderId="9" xfId="0" applyFont="1" applyBorder="1" applyAlignment="1" applyProtection="1">
      <alignment horizontal="centerContinuous"/>
    </xf>
    <xf numFmtId="0" fontId="7" fillId="3" borderId="13" xfId="0" applyNumberFormat="1" applyFont="1" applyFill="1" applyBorder="1" applyAlignment="1">
      <alignment horizontal="centerContinuous"/>
    </xf>
    <xf numFmtId="0" fontId="7" fillId="3" borderId="18" xfId="0" applyNumberFormat="1" applyFont="1" applyFill="1" applyBorder="1" applyAlignment="1">
      <alignment horizontal="centerContinuous"/>
    </xf>
    <xf numFmtId="37" fontId="7" fillId="0" borderId="18" xfId="0" applyFont="1" applyBorder="1"/>
    <xf numFmtId="37" fontId="7" fillId="0" borderId="0" xfId="0" applyFont="1" applyBorder="1"/>
    <xf numFmtId="37" fontId="7" fillId="3" borderId="2" xfId="0" applyFont="1" applyFill="1" applyBorder="1" applyAlignment="1" applyProtection="1"/>
    <xf numFmtId="37" fontId="7" fillId="3" borderId="3" xfId="0" applyFont="1" applyFill="1" applyBorder="1" applyAlignment="1" applyProtection="1"/>
    <xf numFmtId="37" fontId="7" fillId="3" borderId="3" xfId="0" applyFont="1" applyFill="1" applyBorder="1" applyAlignment="1" applyProtection="1">
      <alignment horizontal="center"/>
    </xf>
    <xf numFmtId="37" fontId="4" fillId="3" borderId="17" xfId="0" applyFont="1" applyFill="1" applyBorder="1" applyProtection="1"/>
    <xf numFmtId="37" fontId="7" fillId="3" borderId="13" xfId="0" applyFont="1" applyFill="1" applyBorder="1" applyAlignment="1" applyProtection="1">
      <alignment horizontal="centerContinuous"/>
    </xf>
    <xf numFmtId="37" fontId="7" fillId="3" borderId="18" xfId="0" applyFont="1" applyFill="1" applyBorder="1" applyAlignment="1" applyProtection="1">
      <alignment horizontal="centerContinuous"/>
    </xf>
    <xf numFmtId="37" fontId="4" fillId="3" borderId="6" xfId="0" applyFont="1" applyFill="1" applyBorder="1" applyProtection="1"/>
    <xf numFmtId="37" fontId="7" fillId="0" borderId="6" xfId="0" applyFont="1" applyBorder="1" applyProtection="1"/>
    <xf numFmtId="37" fontId="7" fillId="0" borderId="4" xfId="0" applyFont="1" applyBorder="1" applyProtection="1"/>
    <xf numFmtId="37" fontId="4" fillId="0" borderId="9" xfId="0" applyFont="1" applyBorder="1" applyAlignment="1" applyProtection="1">
      <alignment horizontal="center"/>
    </xf>
    <xf numFmtId="170" fontId="7" fillId="0" borderId="16" xfId="0" applyNumberFormat="1" applyFont="1" applyBorder="1" applyAlignment="1">
      <alignment vertical="center"/>
    </xf>
    <xf numFmtId="175" fontId="7" fillId="0" borderId="28" xfId="0" applyNumberFormat="1" applyFont="1" applyBorder="1" applyAlignment="1">
      <alignment vertical="center"/>
    </xf>
    <xf numFmtId="175" fontId="7" fillId="0" borderId="0" xfId="0" applyNumberFormat="1" applyFont="1" applyAlignment="1">
      <alignment vertical="center"/>
    </xf>
    <xf numFmtId="0" fontId="4" fillId="3" borderId="13" xfId="0" applyNumberFormat="1" applyFont="1" applyFill="1" applyBorder="1" applyAlignment="1" applyProtection="1">
      <alignment horizontal="centerContinuous"/>
    </xf>
    <xf numFmtId="0" fontId="7" fillId="3" borderId="18" xfId="0" applyNumberFormat="1" applyFont="1" applyFill="1" applyBorder="1" applyAlignment="1" applyProtection="1">
      <alignment horizontal="centerContinuous"/>
    </xf>
    <xf numFmtId="37" fontId="4" fillId="3" borderId="6" xfId="0" applyFont="1" applyFill="1" applyBorder="1" applyAlignment="1" applyProtection="1">
      <alignment horizontal="centerContinuous"/>
    </xf>
    <xf numFmtId="10" fontId="7" fillId="3" borderId="2" xfId="0" applyNumberFormat="1" applyFont="1" applyFill="1" applyBorder="1" applyAlignment="1" applyProtection="1">
      <alignment horizontal="centerContinuous"/>
    </xf>
    <xf numFmtId="37" fontId="4" fillId="3" borderId="3" xfId="0" applyFont="1" applyFill="1" applyBorder="1" applyAlignment="1" applyProtection="1">
      <alignment horizontal="centerContinuous" vertical="center"/>
      <protection locked="0"/>
    </xf>
    <xf numFmtId="37" fontId="7" fillId="3" borderId="3" xfId="0" applyFont="1" applyFill="1" applyBorder="1" applyAlignment="1" applyProtection="1">
      <alignment horizontal="centerContinuous"/>
      <protection locked="0"/>
    </xf>
    <xf numFmtId="37" fontId="4" fillId="0" borderId="13" xfId="0" applyFont="1" applyBorder="1" applyAlignment="1">
      <alignment horizontal="centerContinuous" vertical="center"/>
    </xf>
    <xf numFmtId="165" fontId="7" fillId="0" borderId="0" xfId="0" applyNumberFormat="1" applyFont="1" applyBorder="1" applyProtection="1"/>
    <xf numFmtId="37" fontId="4" fillId="3" borderId="17" xfId="0" applyFont="1" applyFill="1" applyBorder="1" applyAlignment="1">
      <alignment horizontal="centerContinuous"/>
    </xf>
    <xf numFmtId="165" fontId="10" fillId="0" borderId="0" xfId="0" applyNumberFormat="1" applyFont="1" applyProtection="1">
      <protection locked="0"/>
    </xf>
    <xf numFmtId="37" fontId="4" fillId="0" borderId="2" xfId="0" applyFont="1" applyBorder="1" applyAlignment="1">
      <alignment horizontal="centerContinuous" vertical="center"/>
    </xf>
    <xf numFmtId="37" fontId="7" fillId="0" borderId="2" xfId="0" applyFont="1" applyBorder="1" applyAlignment="1">
      <alignment horizontal="centerContinuous"/>
    </xf>
    <xf numFmtId="37" fontId="7" fillId="0" borderId="2" xfId="0" applyFont="1" applyBorder="1" applyAlignment="1"/>
    <xf numFmtId="37" fontId="4" fillId="0" borderId="3" xfId="0" quotePrefix="1" applyFont="1" applyBorder="1" applyAlignment="1">
      <alignment horizontal="centerContinuous" vertical="center"/>
    </xf>
    <xf numFmtId="37" fontId="7" fillId="0" borderId="3" xfId="0" applyFont="1" applyBorder="1" applyAlignment="1">
      <alignment horizontal="centerContinuous"/>
    </xf>
    <xf numFmtId="165" fontId="7" fillId="0" borderId="13" xfId="0" applyNumberFormat="1" applyFont="1" applyBorder="1" applyAlignment="1" applyProtection="1">
      <alignment vertical="center"/>
    </xf>
    <xf numFmtId="37" fontId="7" fillId="0" borderId="13" xfId="0" applyFont="1" applyBorder="1" applyAlignment="1">
      <alignment vertical="center"/>
    </xf>
    <xf numFmtId="37" fontId="7" fillId="0" borderId="13" xfId="0" applyFont="1" applyBorder="1" applyAlignment="1">
      <alignment horizontal="right" vertical="center"/>
    </xf>
    <xf numFmtId="37" fontId="4" fillId="3" borderId="19" xfId="0" applyFont="1" applyFill="1" applyBorder="1" applyAlignment="1">
      <alignment horizontal="centerContinuous"/>
    </xf>
    <xf numFmtId="37" fontId="7" fillId="0" borderId="13" xfId="0" applyFont="1" applyBorder="1" applyAlignment="1">
      <alignment horizontal="left" vertical="center"/>
    </xf>
    <xf numFmtId="37" fontId="7" fillId="0" borderId="13" xfId="0" applyFont="1" applyBorder="1" applyAlignment="1">
      <alignment horizontal="left"/>
    </xf>
    <xf numFmtId="37" fontId="4" fillId="3" borderId="13" xfId="0" quotePrefix="1" applyFont="1" applyFill="1" applyBorder="1" applyAlignment="1" applyProtection="1">
      <alignment horizontal="centerContinuous" vertical="center"/>
    </xf>
    <xf numFmtId="37" fontId="4" fillId="0" borderId="4" xfId="0" applyFont="1" applyBorder="1" applyAlignment="1">
      <alignment horizontal="center"/>
    </xf>
    <xf numFmtId="37" fontId="7" fillId="0" borderId="0" xfId="0" applyFont="1" applyAlignment="1">
      <alignment wrapText="1"/>
    </xf>
    <xf numFmtId="165" fontId="7" fillId="0" borderId="0" xfId="0" applyNumberFormat="1" applyFont="1"/>
    <xf numFmtId="37" fontId="7" fillId="0" borderId="30" xfId="0" applyFont="1" applyBorder="1"/>
    <xf numFmtId="37" fontId="7" fillId="0" borderId="2" xfId="0" applyFont="1" applyBorder="1" applyAlignment="1">
      <alignment horizontal="centerContinuous" vertical="center"/>
    </xf>
    <xf numFmtId="37" fontId="7" fillId="0" borderId="3" xfId="0" applyFont="1" applyBorder="1" applyAlignment="1">
      <alignment horizontal="centerContinuous" vertical="center"/>
    </xf>
    <xf numFmtId="37" fontId="7" fillId="0" borderId="3" xfId="0" applyFont="1" applyBorder="1" applyAlignment="1">
      <alignment vertical="center"/>
    </xf>
    <xf numFmtId="37" fontId="7" fillId="0" borderId="0" xfId="0" quotePrefix="1" applyFont="1" applyBorder="1" applyAlignment="1">
      <alignment horizontal="centerContinuous"/>
    </xf>
    <xf numFmtId="165" fontId="7" fillId="0" borderId="12" xfId="0" applyNumberFormat="1" applyFont="1" applyBorder="1" applyAlignment="1" applyProtection="1">
      <alignment vertical="center"/>
    </xf>
    <xf numFmtId="37" fontId="4" fillId="0" borderId="12" xfId="0" applyFont="1" applyBorder="1" applyAlignment="1">
      <alignment horizontal="centerContinuous" vertical="center"/>
    </xf>
    <xf numFmtId="37" fontId="7" fillId="0" borderId="11" xfId="0" applyFont="1" applyBorder="1" applyAlignment="1"/>
    <xf numFmtId="37" fontId="7" fillId="0" borderId="2" xfId="0" quotePrefix="1" applyFont="1" applyBorder="1" applyAlignment="1">
      <alignment horizontal="right" vertical="center"/>
    </xf>
    <xf numFmtId="37" fontId="7" fillId="0" borderId="0" xfId="0" applyFont="1" applyBorder="1" applyAlignment="1">
      <alignment vertical="center"/>
    </xf>
    <xf numFmtId="37" fontId="4" fillId="0" borderId="3" xfId="0" applyFont="1" applyBorder="1" applyAlignment="1">
      <alignment horizontal="centerContinuous" vertical="center"/>
    </xf>
    <xf numFmtId="49" fontId="7" fillId="0" borderId="0" xfId="2" applyNumberFormat="1" applyFont="1"/>
    <xf numFmtId="37" fontId="14" fillId="0" borderId="3" xfId="0" applyFont="1" applyBorder="1" applyAlignment="1">
      <alignment horizontal="centerContinuous" vertical="center"/>
    </xf>
    <xf numFmtId="49" fontId="4" fillId="0" borderId="9" xfId="0" applyNumberFormat="1" applyFont="1" applyBorder="1"/>
    <xf numFmtId="49" fontId="7" fillId="0" borderId="1" xfId="0" applyNumberFormat="1" applyFont="1" applyBorder="1"/>
    <xf numFmtId="174" fontId="7" fillId="0" borderId="1" xfId="0" applyNumberFormat="1" applyFont="1" applyBorder="1"/>
    <xf numFmtId="173" fontId="7" fillId="0" borderId="0" xfId="0" applyNumberFormat="1" applyFont="1"/>
    <xf numFmtId="174" fontId="7" fillId="0" borderId="0" xfId="0" applyNumberFormat="1" applyFont="1"/>
    <xf numFmtId="170" fontId="7" fillId="0" borderId="0" xfId="0" applyNumberFormat="1" applyFont="1" applyProtection="1"/>
    <xf numFmtId="37" fontId="4" fillId="0" borderId="24" xfId="0" applyFont="1" applyBorder="1" applyAlignment="1">
      <alignment horizontal="center" vertical="center"/>
    </xf>
    <xf numFmtId="164" fontId="7" fillId="0" borderId="0" xfId="2" applyFont="1" applyAlignment="1">
      <alignment horizontal="left"/>
    </xf>
    <xf numFmtId="37" fontId="7" fillId="0" borderId="11" xfId="0" applyFont="1" applyBorder="1" applyAlignment="1">
      <alignment vertical="center"/>
    </xf>
    <xf numFmtId="37" fontId="4" fillId="3" borderId="12" xfId="0" applyFont="1" applyFill="1" applyBorder="1" applyAlignment="1">
      <alignment horizontal="centerContinuous" vertical="center"/>
    </xf>
    <xf numFmtId="37" fontId="7" fillId="3" borderId="12" xfId="0" applyFont="1" applyFill="1" applyBorder="1" applyAlignment="1">
      <alignment horizontal="centerContinuous" vertical="center"/>
    </xf>
    <xf numFmtId="37" fontId="7" fillId="3" borderId="11" xfId="0" quotePrefix="1" applyFont="1" applyFill="1" applyBorder="1" applyAlignment="1" applyProtection="1">
      <alignment horizontal="centerContinuous" vertical="center"/>
    </xf>
    <xf numFmtId="37" fontId="7" fillId="3" borderId="11" xfId="0" applyFont="1" applyFill="1" applyBorder="1" applyAlignment="1">
      <alignment horizontal="centerContinuous" vertical="center"/>
    </xf>
    <xf numFmtId="37" fontId="7" fillId="0" borderId="11" xfId="0" applyFont="1" applyBorder="1" applyAlignment="1">
      <alignment horizontal="centerContinuous" vertical="center"/>
    </xf>
    <xf numFmtId="37" fontId="7" fillId="0" borderId="0" xfId="0" applyFont="1" applyAlignment="1">
      <alignment horizontal="center"/>
    </xf>
    <xf numFmtId="37" fontId="4" fillId="3" borderId="13" xfId="0" applyFont="1" applyFill="1" applyBorder="1" applyAlignment="1">
      <alignment horizontal="centerContinuous" vertical="center"/>
    </xf>
    <xf numFmtId="37" fontId="4" fillId="3" borderId="0" xfId="0" applyFont="1" applyFill="1" applyBorder="1" applyAlignment="1">
      <alignment horizontal="centerContinuous" vertical="center"/>
    </xf>
    <xf numFmtId="37" fontId="7" fillId="3" borderId="0" xfId="0" applyFont="1" applyFill="1" applyBorder="1" applyAlignment="1">
      <alignment horizontal="centerContinuous"/>
    </xf>
    <xf numFmtId="37" fontId="7" fillId="3" borderId="0" xfId="0" quotePrefix="1" applyFont="1" applyFill="1" applyBorder="1" applyAlignment="1">
      <alignment horizontal="right"/>
    </xf>
    <xf numFmtId="37" fontId="4" fillId="0" borderId="31" xfId="0" applyFont="1" applyBorder="1" applyAlignment="1">
      <alignment horizontal="center"/>
    </xf>
    <xf numFmtId="37" fontId="7" fillId="0" borderId="7" xfId="0" applyFont="1" applyBorder="1"/>
    <xf numFmtId="37" fontId="4" fillId="0" borderId="24" xfId="0" applyFont="1" applyBorder="1" applyAlignment="1">
      <alignment horizontal="center"/>
    </xf>
    <xf numFmtId="37" fontId="7" fillId="3" borderId="0" xfId="0" applyFont="1" applyFill="1" applyBorder="1" applyAlignment="1">
      <alignment horizontal="right"/>
    </xf>
    <xf numFmtId="37" fontId="4" fillId="3" borderId="31" xfId="0" applyFont="1" applyFill="1" applyBorder="1" applyAlignment="1">
      <alignment horizontal="centerContinuous" vertical="center"/>
    </xf>
    <xf numFmtId="37" fontId="4" fillId="0" borderId="31" xfId="0" applyFont="1" applyBorder="1" applyAlignment="1">
      <alignment horizontal="center" vertical="center"/>
    </xf>
    <xf numFmtId="165" fontId="7" fillId="0" borderId="13" xfId="0" applyNumberFormat="1" applyFont="1" applyBorder="1" applyProtection="1"/>
    <xf numFmtId="37" fontId="7" fillId="0" borderId="13" xfId="0" applyFont="1" applyBorder="1" applyAlignment="1">
      <alignment horizontal="centerContinuous" vertical="center"/>
    </xf>
    <xf numFmtId="165" fontId="7" fillId="0" borderId="0" xfId="0" applyNumberFormat="1" applyFont="1" applyAlignment="1" applyProtection="1">
      <alignment horizontal="centerContinuous"/>
    </xf>
    <xf numFmtId="37" fontId="10" fillId="0" borderId="13" xfId="0" applyFont="1" applyBorder="1" applyAlignment="1" applyProtection="1">
      <alignment horizontal="centerContinuous" vertical="center"/>
      <protection locked="0"/>
    </xf>
    <xf numFmtId="37" fontId="7" fillId="0" borderId="0" xfId="0" quotePrefix="1" applyFont="1" applyAlignment="1"/>
    <xf numFmtId="37" fontId="4" fillId="0" borderId="25" xfId="0" applyFont="1" applyBorder="1" applyAlignment="1">
      <alignment horizontal="centerContinuous" vertical="center"/>
    </xf>
    <xf numFmtId="37" fontId="7" fillId="0" borderId="25" xfId="0" applyFont="1" applyBorder="1" applyAlignment="1">
      <alignment horizontal="centerContinuous" vertical="center"/>
    </xf>
    <xf numFmtId="37" fontId="10" fillId="0" borderId="13" xfId="0" applyFont="1" applyBorder="1" applyAlignment="1" applyProtection="1">
      <alignment vertical="center"/>
      <protection locked="0"/>
    </xf>
    <xf numFmtId="37" fontId="4" fillId="0" borderId="1" xfId="0" applyFont="1" applyBorder="1"/>
    <xf numFmtId="165" fontId="7" fillId="0" borderId="0" xfId="0" applyNumberFormat="1" applyFont="1" applyAlignment="1" applyProtection="1">
      <alignment horizontal="right"/>
    </xf>
    <xf numFmtId="37" fontId="7" fillId="0" borderId="32" xfId="0" applyFont="1" applyBorder="1"/>
    <xf numFmtId="37" fontId="7" fillId="0" borderId="25" xfId="0" applyFont="1" applyBorder="1"/>
    <xf numFmtId="37" fontId="7" fillId="0" borderId="27" xfId="0" applyFont="1" applyBorder="1"/>
    <xf numFmtId="0" fontId="7" fillId="0" borderId="0" xfId="0" applyNumberFormat="1" applyFont="1" applyAlignment="1">
      <alignment horizontal="center"/>
    </xf>
    <xf numFmtId="37" fontId="7" fillId="3" borderId="0" xfId="0" applyFont="1" applyFill="1" applyAlignment="1">
      <alignment horizontal="left"/>
    </xf>
    <xf numFmtId="37" fontId="7" fillId="0" borderId="0" xfId="0" quotePrefix="1" applyFont="1" applyAlignment="1">
      <alignment horizontal="center"/>
    </xf>
    <xf numFmtId="37" fontId="4" fillId="3" borderId="5" xfId="0" applyFont="1" applyFill="1" applyBorder="1" applyAlignment="1">
      <alignment vertical="center"/>
    </xf>
    <xf numFmtId="37" fontId="4" fillId="0" borderId="10" xfId="0" applyFont="1" applyBorder="1" applyAlignment="1">
      <alignment horizontal="right" vertical="center"/>
    </xf>
    <xf numFmtId="37" fontId="9" fillId="3" borderId="0" xfId="0" applyFont="1" applyFill="1" applyAlignment="1">
      <alignment horizontal="centerContinuous"/>
    </xf>
    <xf numFmtId="37" fontId="9" fillId="0" borderId="0" xfId="0" applyFont="1" applyAlignment="1">
      <alignment horizontal="centerContinuous"/>
    </xf>
    <xf numFmtId="37" fontId="4" fillId="6" borderId="17" xfId="0" applyFont="1" applyFill="1" applyBorder="1" applyAlignment="1">
      <alignment horizontal="centerContinuous"/>
    </xf>
    <xf numFmtId="37" fontId="4" fillId="6" borderId="18" xfId="0" applyFont="1" applyFill="1" applyBorder="1" applyAlignment="1">
      <alignment horizontal="centerContinuous"/>
    </xf>
    <xf numFmtId="37" fontId="4" fillId="6" borderId="18" xfId="0" applyFont="1" applyFill="1" applyBorder="1" applyAlignment="1">
      <alignment horizontal="centerContinuous" vertical="center"/>
    </xf>
    <xf numFmtId="49" fontId="7" fillId="6" borderId="1" xfId="0" applyNumberFormat="1" applyFont="1" applyFill="1" applyBorder="1" applyAlignment="1">
      <alignment vertical="center"/>
    </xf>
    <xf numFmtId="170" fontId="7" fillId="6" borderId="1" xfId="0" applyNumberFormat="1" applyFont="1" applyFill="1" applyBorder="1" applyAlignment="1">
      <alignment vertical="center"/>
    </xf>
    <xf numFmtId="49" fontId="4" fillId="6" borderId="19" xfId="2" applyNumberFormat="1" applyFont="1" applyFill="1" applyBorder="1" applyAlignment="1">
      <alignment vertical="center"/>
    </xf>
    <xf numFmtId="170" fontId="4" fillId="6" borderId="19" xfId="0" applyNumberFormat="1" applyFont="1" applyFill="1" applyBorder="1" applyAlignment="1">
      <alignment vertical="center"/>
    </xf>
    <xf numFmtId="37" fontId="4" fillId="6" borderId="17" xfId="0" applyFont="1" applyFill="1" applyBorder="1" applyAlignment="1" applyProtection="1">
      <alignment horizontal="centerContinuous" vertical="center"/>
    </xf>
    <xf numFmtId="37" fontId="4" fillId="6" borderId="13" xfId="0" applyFont="1" applyFill="1" applyBorder="1" applyAlignment="1" applyProtection="1">
      <alignment horizontal="centerContinuous"/>
    </xf>
    <xf numFmtId="37" fontId="4" fillId="6" borderId="18" xfId="0" applyFont="1" applyFill="1" applyBorder="1" applyAlignment="1" applyProtection="1">
      <alignment horizontal="centerContinuous"/>
    </xf>
    <xf numFmtId="174" fontId="7" fillId="6" borderId="1" xfId="0" applyNumberFormat="1" applyFont="1" applyFill="1" applyBorder="1" applyAlignment="1">
      <alignment vertical="center"/>
    </xf>
    <xf numFmtId="174" fontId="7" fillId="6" borderId="22" xfId="0" applyNumberFormat="1" applyFont="1" applyFill="1" applyBorder="1" applyAlignment="1">
      <alignment vertical="center"/>
    </xf>
    <xf numFmtId="174" fontId="7" fillId="6" borderId="6" xfId="0" applyNumberFormat="1" applyFont="1" applyFill="1" applyBorder="1" applyAlignment="1">
      <alignment vertical="center"/>
    </xf>
    <xf numFmtId="174" fontId="4" fillId="6" borderId="19" xfId="0" applyNumberFormat="1" applyFont="1" applyFill="1" applyBorder="1" applyAlignment="1">
      <alignment vertical="center"/>
    </xf>
    <xf numFmtId="174" fontId="4" fillId="6" borderId="33" xfId="0" applyNumberFormat="1" applyFont="1" applyFill="1" applyBorder="1" applyAlignment="1">
      <alignment vertical="center"/>
    </xf>
    <xf numFmtId="174" fontId="4" fillId="6" borderId="18" xfId="0" applyNumberFormat="1" applyFont="1" applyFill="1" applyBorder="1" applyAlignment="1">
      <alignment vertical="center"/>
    </xf>
    <xf numFmtId="37" fontId="4" fillId="6" borderId="20" xfId="0" applyFont="1" applyFill="1" applyBorder="1" applyAlignment="1">
      <alignment horizontal="centerContinuous"/>
    </xf>
    <xf numFmtId="37" fontId="4" fillId="6" borderId="3" xfId="0" applyFont="1" applyFill="1" applyBorder="1" applyAlignment="1">
      <alignment horizontal="centerContinuous"/>
    </xf>
    <xf numFmtId="37" fontId="4" fillId="6" borderId="10" xfId="0" applyFont="1" applyFill="1" applyBorder="1" applyAlignment="1">
      <alignment horizontal="centerContinuous"/>
    </xf>
    <xf numFmtId="37" fontId="4" fillId="6" borderId="17" xfId="0" applyFont="1" applyFill="1" applyBorder="1" applyAlignment="1">
      <alignment horizontal="centerContinuous" vertical="center"/>
    </xf>
    <xf numFmtId="37" fontId="7" fillId="6" borderId="13" xfId="0" applyFont="1" applyFill="1" applyBorder="1" applyAlignment="1">
      <alignment horizontal="centerContinuous"/>
    </xf>
    <xf numFmtId="37" fontId="7" fillId="6" borderId="18" xfId="0" applyFont="1" applyFill="1" applyBorder="1" applyAlignment="1">
      <alignment horizontal="centerContinuous"/>
    </xf>
    <xf numFmtId="37" fontId="4" fillId="6" borderId="4" xfId="0" applyFont="1" applyFill="1" applyBorder="1" applyAlignment="1">
      <alignment horizontal="centerContinuous"/>
    </xf>
    <xf numFmtId="37" fontId="4" fillId="6" borderId="5" xfId="0" applyFont="1" applyFill="1" applyBorder="1" applyAlignment="1">
      <alignment horizontal="center"/>
    </xf>
    <xf numFmtId="37" fontId="4" fillId="6" borderId="2" xfId="0" applyFont="1" applyFill="1" applyBorder="1" applyAlignment="1">
      <alignment horizontal="center"/>
    </xf>
    <xf numFmtId="37" fontId="7" fillId="6" borderId="5" xfId="0" applyFont="1" applyFill="1" applyBorder="1" applyAlignment="1">
      <alignment horizontal="centerContinuous"/>
    </xf>
    <xf numFmtId="37" fontId="4" fillId="6" borderId="9" xfId="0" applyFont="1" applyFill="1" applyBorder="1" applyAlignment="1">
      <alignment horizontal="centerContinuous"/>
    </xf>
    <xf numFmtId="37" fontId="7" fillId="6" borderId="3" xfId="0" applyFont="1" applyFill="1" applyBorder="1" applyAlignment="1">
      <alignment horizontal="centerContinuous"/>
    </xf>
    <xf numFmtId="37" fontId="4" fillId="6" borderId="14" xfId="0" applyFont="1" applyFill="1" applyBorder="1" applyAlignment="1">
      <alignment horizontal="centerContinuous"/>
    </xf>
    <xf numFmtId="37" fontId="4" fillId="6" borderId="5" xfId="0" applyFont="1" applyFill="1" applyBorder="1" applyAlignment="1">
      <alignment horizontal="centerContinuous"/>
    </xf>
    <xf numFmtId="37" fontId="4" fillId="6" borderId="2" xfId="0" applyFont="1" applyFill="1" applyBorder="1"/>
    <xf numFmtId="37" fontId="4" fillId="6" borderId="2" xfId="0" applyFont="1" applyFill="1" applyBorder="1" applyAlignment="1">
      <alignment horizontal="centerContinuous"/>
    </xf>
    <xf numFmtId="37" fontId="4" fillId="7" borderId="23" xfId="0" applyFont="1" applyFill="1" applyBorder="1"/>
    <xf numFmtId="37" fontId="4" fillId="8" borderId="23" xfId="0" applyFont="1" applyFill="1" applyBorder="1"/>
    <xf numFmtId="37" fontId="4" fillId="7" borderId="34" xfId="0" applyFont="1" applyFill="1" applyBorder="1"/>
    <xf numFmtId="37" fontId="7" fillId="6" borderId="2" xfId="0" applyFont="1" applyFill="1" applyBorder="1" applyAlignment="1">
      <alignment horizontal="centerContinuous"/>
    </xf>
    <xf numFmtId="37" fontId="7" fillId="6" borderId="10" xfId="0" applyFont="1" applyFill="1" applyBorder="1" applyAlignment="1">
      <alignment horizontal="centerContinuous"/>
    </xf>
    <xf numFmtId="37" fontId="7" fillId="6" borderId="14" xfId="0" applyFont="1" applyFill="1" applyBorder="1"/>
    <xf numFmtId="37" fontId="4" fillId="6" borderId="35" xfId="0" applyFont="1" applyFill="1" applyBorder="1" applyAlignment="1">
      <alignment horizontal="centerContinuous"/>
    </xf>
    <xf numFmtId="37" fontId="4" fillId="6" borderId="36" xfId="0" applyFont="1" applyFill="1" applyBorder="1" applyAlignment="1">
      <alignment horizontal="centerContinuous"/>
    </xf>
    <xf numFmtId="37" fontId="4" fillId="6" borderId="35" xfId="0" applyFont="1" applyFill="1" applyBorder="1" applyAlignment="1">
      <alignment horizontal="left"/>
    </xf>
    <xf numFmtId="37" fontId="4" fillId="6" borderId="12" xfId="0" applyFont="1" applyFill="1" applyBorder="1" applyAlignment="1">
      <alignment horizontal="left"/>
    </xf>
    <xf numFmtId="37" fontId="4" fillId="6" borderId="36" xfId="0" applyFont="1" applyFill="1" applyBorder="1" applyAlignment="1">
      <alignment horizontal="left"/>
    </xf>
    <xf numFmtId="37" fontId="4" fillId="6" borderId="39" xfId="0" applyFont="1" applyFill="1" applyBorder="1" applyAlignment="1" applyProtection="1">
      <alignment horizontal="centerContinuous"/>
    </xf>
    <xf numFmtId="37" fontId="7" fillId="6" borderId="0" xfId="0" applyFont="1" applyFill="1" applyAlignment="1" applyProtection="1">
      <alignment horizontal="centerContinuous"/>
    </xf>
    <xf numFmtId="37" fontId="7" fillId="6" borderId="6" xfId="0" applyFont="1" applyFill="1" applyBorder="1" applyAlignment="1" applyProtection="1">
      <alignment horizontal="centerContinuous"/>
    </xf>
    <xf numFmtId="37" fontId="4" fillId="6" borderId="16" xfId="0" applyFont="1" applyFill="1" applyBorder="1" applyAlignment="1" applyProtection="1">
      <alignment horizontal="centerContinuous"/>
    </xf>
    <xf numFmtId="37" fontId="4" fillId="6" borderId="20" xfId="0" applyFont="1" applyFill="1" applyBorder="1" applyAlignment="1" applyProtection="1">
      <alignment horizontal="centerContinuous"/>
    </xf>
    <xf numFmtId="37" fontId="4" fillId="6" borderId="3" xfId="0" applyFont="1" applyFill="1" applyBorder="1" applyAlignment="1" applyProtection="1">
      <alignment horizontal="centerContinuous"/>
    </xf>
    <xf numFmtId="37" fontId="4" fillId="6" borderId="10" xfId="0" applyFont="1" applyFill="1" applyBorder="1" applyAlignment="1" applyProtection="1">
      <alignment horizontal="centerContinuous"/>
    </xf>
    <xf numFmtId="49" fontId="7" fillId="9" borderId="1" xfId="0" applyNumberFormat="1" applyFont="1" applyFill="1" applyBorder="1" applyAlignment="1">
      <alignment vertical="center"/>
    </xf>
    <xf numFmtId="170" fontId="7" fillId="9" borderId="16" xfId="0" applyNumberFormat="1" applyFont="1" applyFill="1" applyBorder="1" applyAlignment="1">
      <alignment vertical="center"/>
    </xf>
    <xf numFmtId="175" fontId="7" fillId="9" borderId="28" xfId="0" applyNumberFormat="1" applyFont="1" applyFill="1" applyBorder="1" applyAlignment="1">
      <alignment vertical="center"/>
    </xf>
    <xf numFmtId="170" fontId="4" fillId="6" borderId="17" xfId="0" applyNumberFormat="1" applyFont="1" applyFill="1" applyBorder="1" applyAlignment="1">
      <alignment vertical="center"/>
    </xf>
    <xf numFmtId="175" fontId="4" fillId="6" borderId="40" xfId="0" applyNumberFormat="1" applyFont="1" applyFill="1" applyBorder="1" applyAlignment="1">
      <alignment vertical="center"/>
    </xf>
    <xf numFmtId="37" fontId="4" fillId="6" borderId="14" xfId="0" applyFont="1" applyFill="1" applyBorder="1" applyAlignment="1"/>
    <xf numFmtId="37" fontId="4" fillId="6" borderId="5" xfId="0" applyFont="1" applyFill="1" applyBorder="1" applyAlignment="1"/>
    <xf numFmtId="37" fontId="4" fillId="6" borderId="16" xfId="0" applyFont="1" applyFill="1" applyBorder="1" applyAlignment="1">
      <alignment horizontal="centerContinuous"/>
    </xf>
    <xf numFmtId="168" fontId="7" fillId="3" borderId="24" xfId="0" applyNumberFormat="1" applyFont="1" applyFill="1" applyBorder="1" applyProtection="1"/>
    <xf numFmtId="168" fontId="7" fillId="0" borderId="24" xfId="0" applyNumberFormat="1" applyFont="1" applyBorder="1" applyProtection="1"/>
    <xf numFmtId="168" fontId="4" fillId="0" borderId="7" xfId="8" applyNumberFormat="1" applyFont="1" applyFill="1" applyBorder="1"/>
    <xf numFmtId="170" fontId="4" fillId="0" borderId="23" xfId="0" applyNumberFormat="1" applyFont="1" applyBorder="1" applyProtection="1"/>
    <xf numFmtId="168" fontId="4" fillId="0" borderId="23" xfId="0" applyNumberFormat="1" applyFont="1" applyBorder="1" applyProtection="1"/>
    <xf numFmtId="170" fontId="4" fillId="8" borderId="23" xfId="0" applyNumberFormat="1" applyFont="1" applyFill="1" applyBorder="1" applyProtection="1"/>
    <xf numFmtId="168" fontId="4" fillId="8" borderId="23" xfId="0" applyNumberFormat="1" applyFont="1" applyFill="1" applyBorder="1" applyProtection="1"/>
    <xf numFmtId="37" fontId="4" fillId="6" borderId="4" xfId="0" applyNumberFormat="1" applyFont="1" applyFill="1" applyBorder="1" applyAlignment="1" applyProtection="1">
      <alignment horizontal="center"/>
    </xf>
    <xf numFmtId="37" fontId="4" fillId="6" borderId="4" xfId="0" applyFont="1" applyFill="1" applyBorder="1"/>
    <xf numFmtId="37" fontId="4" fillId="6" borderId="1" xfId="0" applyNumberFormat="1" applyFont="1" applyFill="1" applyBorder="1" applyAlignment="1" applyProtection="1"/>
    <xf numFmtId="37" fontId="4" fillId="6" borderId="1" xfId="0" applyFont="1" applyFill="1" applyBorder="1" applyAlignment="1"/>
    <xf numFmtId="37" fontId="4" fillId="6" borderId="1" xfId="0" applyFont="1" applyFill="1" applyBorder="1" applyAlignment="1">
      <alignment horizontal="centerContinuous"/>
    </xf>
    <xf numFmtId="37" fontId="4" fillId="6" borderId="9" xfId="0" applyNumberFormat="1" applyFont="1" applyFill="1" applyBorder="1" applyAlignment="1" applyProtection="1">
      <alignment horizontal="centerContinuous"/>
    </xf>
    <xf numFmtId="170" fontId="7" fillId="6" borderId="1" xfId="0" applyNumberFormat="1" applyFont="1" applyFill="1" applyBorder="1"/>
    <xf numFmtId="174" fontId="7" fillId="6" borderId="1" xfId="0" applyNumberFormat="1" applyFont="1" applyFill="1" applyBorder="1"/>
    <xf numFmtId="49" fontId="7" fillId="6" borderId="1" xfId="0" applyNumberFormat="1" applyFont="1" applyFill="1" applyBorder="1"/>
    <xf numFmtId="49" fontId="4" fillId="6" borderId="19" xfId="0" applyNumberFormat="1" applyFont="1" applyFill="1" applyBorder="1"/>
    <xf numFmtId="170" fontId="4" fillId="6" borderId="19" xfId="0" applyNumberFormat="1" applyFont="1" applyFill="1" applyBorder="1"/>
    <xf numFmtId="174" fontId="4" fillId="6" borderId="19" xfId="0" applyNumberFormat="1" applyFont="1" applyFill="1" applyBorder="1" applyProtection="1"/>
    <xf numFmtId="37" fontId="4" fillId="6" borderId="4" xfId="0" applyFont="1" applyFill="1" applyBorder="1" applyAlignment="1">
      <alignment horizontal="center"/>
    </xf>
    <xf numFmtId="37" fontId="4" fillId="6" borderId="1" xfId="0" applyFont="1" applyFill="1" applyBorder="1" applyAlignment="1">
      <alignment horizontal="center"/>
    </xf>
    <xf numFmtId="37" fontId="4" fillId="6" borderId="14" xfId="0" applyFont="1" applyFill="1" applyBorder="1"/>
    <xf numFmtId="176" fontId="7" fillId="6" borderId="1" xfId="0" applyNumberFormat="1" applyFont="1" applyFill="1" applyBorder="1" applyAlignment="1">
      <alignment vertical="center"/>
    </xf>
    <xf numFmtId="176" fontId="7" fillId="0" borderId="1" xfId="0" applyNumberFormat="1" applyFont="1" applyBorder="1" applyAlignment="1">
      <alignment vertical="center"/>
    </xf>
    <xf numFmtId="176" fontId="7" fillId="6" borderId="1" xfId="0" applyNumberFormat="1" applyFont="1" applyFill="1" applyBorder="1" applyAlignment="1">
      <alignment horizontal="right" vertical="center"/>
    </xf>
    <xf numFmtId="176" fontId="0" fillId="0" borderId="0" xfId="0" applyNumberFormat="1"/>
    <xf numFmtId="176" fontId="4" fillId="6" borderId="19" xfId="0" applyNumberFormat="1" applyFont="1" applyFill="1" applyBorder="1" applyAlignment="1">
      <alignment vertical="center"/>
    </xf>
    <xf numFmtId="170" fontId="7" fillId="6" borderId="1" xfId="0" applyNumberFormat="1" applyFont="1" applyFill="1" applyBorder="1" applyAlignment="1">
      <alignment horizontal="right" vertical="center"/>
    </xf>
    <xf numFmtId="170" fontId="0" fillId="0" borderId="0" xfId="0" applyNumberFormat="1"/>
    <xf numFmtId="37" fontId="7" fillId="9" borderId="14" xfId="0" applyFont="1" applyFill="1" applyBorder="1"/>
    <xf numFmtId="37" fontId="7" fillId="9" borderId="2" xfId="0" applyFont="1" applyFill="1" applyBorder="1"/>
    <xf numFmtId="37" fontId="7" fillId="9" borderId="2" xfId="0" applyFont="1" applyFill="1" applyBorder="1" applyAlignment="1">
      <alignment horizontal="centerContinuous"/>
    </xf>
    <xf numFmtId="37" fontId="7" fillId="9" borderId="5" xfId="0" applyFont="1" applyFill="1" applyBorder="1" applyAlignment="1">
      <alignment horizontal="centerContinuous"/>
    </xf>
    <xf numFmtId="37" fontId="7" fillId="6" borderId="0" xfId="0" applyFont="1" applyFill="1" applyAlignment="1">
      <alignment horizontal="centerContinuous"/>
    </xf>
    <xf numFmtId="37" fontId="4" fillId="6" borderId="0" xfId="0" applyFont="1" applyFill="1"/>
    <xf numFmtId="37" fontId="4" fillId="6" borderId="1" xfId="0" applyFont="1" applyFill="1" applyBorder="1"/>
    <xf numFmtId="37" fontId="4" fillId="6" borderId="0" xfId="0" applyFont="1" applyFill="1" applyBorder="1" applyAlignment="1">
      <alignment horizontal="centerContinuous"/>
    </xf>
    <xf numFmtId="174" fontId="7" fillId="0" borderId="1" xfId="0" applyNumberFormat="1" applyFont="1" applyBorder="1" applyAlignment="1">
      <alignment horizontal="right" vertical="center"/>
    </xf>
    <xf numFmtId="37" fontId="4" fillId="7" borderId="5" xfId="0" applyFont="1" applyFill="1" applyBorder="1" applyAlignment="1"/>
    <xf numFmtId="174" fontId="0" fillId="0" borderId="0" xfId="0" applyNumberFormat="1"/>
    <xf numFmtId="174" fontId="4" fillId="6" borderId="19" xfId="0" applyNumberFormat="1" applyFont="1" applyFill="1" applyBorder="1"/>
    <xf numFmtId="37" fontId="4" fillId="7" borderId="14" xfId="0" applyFont="1" applyFill="1" applyBorder="1" applyAlignment="1">
      <alignment horizontal="left"/>
    </xf>
    <xf numFmtId="37" fontId="4" fillId="7" borderId="5" xfId="0" applyFont="1" applyFill="1" applyBorder="1" applyAlignment="1">
      <alignment horizontal="left"/>
    </xf>
    <xf numFmtId="37" fontId="4" fillId="0" borderId="7" xfId="0" applyFont="1" applyFill="1" applyBorder="1" applyAlignment="1">
      <alignment horizontal="centerContinuous" vertical="center"/>
    </xf>
    <xf numFmtId="37" fontId="4" fillId="0" borderId="7" xfId="0" applyFont="1" applyFill="1" applyBorder="1" applyAlignment="1">
      <alignment vertical="center"/>
    </xf>
    <xf numFmtId="37" fontId="4" fillId="0" borderId="24" xfId="0" applyFont="1" applyFill="1" applyBorder="1" applyAlignment="1"/>
    <xf numFmtId="37" fontId="4" fillId="0" borderId="8" xfId="0" applyFont="1" applyFill="1" applyBorder="1" applyAlignment="1">
      <alignment horizontal="centerContinuous"/>
    </xf>
    <xf numFmtId="37" fontId="7" fillId="3" borderId="13" xfId="0" quotePrefix="1" applyFont="1" applyFill="1" applyBorder="1" applyAlignment="1">
      <alignment horizontal="right" vertical="center"/>
    </xf>
    <xf numFmtId="0" fontId="4" fillId="6" borderId="14" xfId="0" applyNumberFormat="1" applyFont="1" applyFill="1" applyBorder="1" applyAlignment="1"/>
    <xf numFmtId="0" fontId="4" fillId="6" borderId="2" xfId="0" applyNumberFormat="1" applyFont="1" applyFill="1" applyBorder="1" applyAlignment="1"/>
    <xf numFmtId="0" fontId="4" fillId="6" borderId="5" xfId="0" applyNumberFormat="1" applyFont="1" applyFill="1" applyBorder="1" applyAlignment="1"/>
    <xf numFmtId="0" fontId="4" fillId="0" borderId="3" xfId="0" applyNumberFormat="1" applyFont="1" applyBorder="1" applyAlignment="1">
      <alignment horizontal="centerContinuous" vertical="center"/>
    </xf>
    <xf numFmtId="0" fontId="4" fillId="0" borderId="3" xfId="0" applyNumberFormat="1" applyFont="1" applyBorder="1" applyAlignment="1" applyProtection="1">
      <alignment horizontal="centerContinuous" vertical="center"/>
    </xf>
    <xf numFmtId="37" fontId="7" fillId="0" borderId="24" xfId="0" quotePrefix="1" applyNumberFormat="1" applyFont="1" applyBorder="1" applyAlignment="1" applyProtection="1">
      <alignment horizontal="left"/>
    </xf>
    <xf numFmtId="37" fontId="4" fillId="3" borderId="17" xfId="0" quotePrefix="1" applyFont="1" applyFill="1" applyBorder="1" applyAlignment="1">
      <alignment horizontal="left"/>
    </xf>
    <xf numFmtId="49" fontId="4" fillId="0" borderId="23" xfId="0" quotePrefix="1" applyNumberFormat="1" applyFont="1" applyBorder="1" applyAlignment="1">
      <alignment horizontal="center" vertical="center"/>
    </xf>
    <xf numFmtId="37" fontId="7" fillId="3" borderId="2" xfId="0" quotePrefix="1" applyFont="1" applyFill="1" applyBorder="1" applyAlignment="1">
      <alignment horizontal="right" vertical="center"/>
    </xf>
    <xf numFmtId="49" fontId="4" fillId="10" borderId="19" xfId="2" applyNumberFormat="1" applyFont="1" applyFill="1" applyBorder="1" applyAlignment="1">
      <alignment vertical="center"/>
    </xf>
    <xf numFmtId="170" fontId="4" fillId="10" borderId="19" xfId="0" applyNumberFormat="1" applyFont="1" applyFill="1" applyBorder="1" applyAlignment="1">
      <alignment vertical="center"/>
    </xf>
    <xf numFmtId="0" fontId="4" fillId="0" borderId="3" xfId="0" applyNumberFormat="1" applyFont="1" applyBorder="1" applyAlignment="1">
      <alignment vertical="center"/>
    </xf>
    <xf numFmtId="165" fontId="7" fillId="0" borderId="2" xfId="0" applyNumberFormat="1" applyFont="1" applyBorder="1" applyAlignment="1" applyProtection="1">
      <alignment horizontal="left"/>
    </xf>
    <xf numFmtId="166" fontId="7" fillId="6" borderId="1" xfId="8" applyNumberFormat="1" applyFont="1" applyFill="1" applyBorder="1"/>
    <xf numFmtId="166" fontId="4" fillId="6" borderId="19" xfId="8" applyNumberFormat="1" applyFont="1" applyFill="1" applyBorder="1"/>
    <xf numFmtId="37" fontId="4" fillId="0" borderId="10" xfId="0" quotePrefix="1" applyFont="1" applyBorder="1" applyAlignment="1">
      <alignment horizontal="right" vertical="center"/>
    </xf>
    <xf numFmtId="37" fontId="4" fillId="0" borderId="35" xfId="0" applyFont="1" applyBorder="1"/>
    <xf numFmtId="37" fontId="4" fillId="0" borderId="37" xfId="0" applyFont="1" applyBorder="1"/>
    <xf numFmtId="37" fontId="4" fillId="3" borderId="14" xfId="0" applyFont="1" applyFill="1" applyBorder="1" applyAlignment="1">
      <alignment horizontal="left"/>
    </xf>
    <xf numFmtId="37" fontId="4" fillId="6" borderId="7" xfId="0" applyFont="1" applyFill="1" applyBorder="1" applyAlignment="1">
      <alignment horizontal="center"/>
    </xf>
    <xf numFmtId="37" fontId="4" fillId="6" borderId="24" xfId="0" applyFont="1" applyFill="1" applyBorder="1" applyAlignment="1">
      <alignment horizontal="center"/>
    </xf>
    <xf numFmtId="37" fontId="4" fillId="9" borderId="1" xfId="0" applyFont="1" applyFill="1" applyBorder="1" applyAlignment="1">
      <alignment horizontal="center"/>
    </xf>
    <xf numFmtId="37" fontId="4" fillId="3" borderId="32" xfId="0" applyFont="1" applyFill="1" applyBorder="1" applyAlignment="1">
      <alignment horizontal="left"/>
    </xf>
    <xf numFmtId="37" fontId="4" fillId="6" borderId="5" xfId="0" applyFont="1" applyFill="1" applyBorder="1"/>
    <xf numFmtId="37" fontId="4" fillId="6" borderId="6" xfId="0" applyFont="1" applyFill="1" applyBorder="1"/>
    <xf numFmtId="37" fontId="4" fillId="6" borderId="4" xfId="0" applyFont="1" applyFill="1" applyBorder="1" applyAlignment="1" applyProtection="1">
      <alignment horizontal="center"/>
    </xf>
    <xf numFmtId="37" fontId="4" fillId="6" borderId="9" xfId="0" applyFont="1" applyFill="1" applyBorder="1" applyAlignment="1" applyProtection="1">
      <alignment horizontal="center"/>
    </xf>
    <xf numFmtId="49" fontId="7" fillId="0" borderId="0" xfId="0" quotePrefix="1" applyNumberFormat="1" applyFont="1" applyAlignment="1">
      <alignment horizontal="left"/>
    </xf>
    <xf numFmtId="37" fontId="7" fillId="0" borderId="0" xfId="0" quotePrefix="1" applyFont="1" applyAlignment="1">
      <alignment horizontal="right"/>
    </xf>
    <xf numFmtId="37" fontId="7" fillId="0" borderId="0" xfId="0" applyNumberFormat="1" applyFont="1" applyAlignment="1" applyProtection="1">
      <alignment horizontal="right"/>
    </xf>
    <xf numFmtId="170" fontId="7" fillId="6" borderId="6" xfId="0" applyNumberFormat="1" applyFont="1" applyFill="1" applyBorder="1" applyAlignment="1">
      <alignment vertical="center"/>
    </xf>
    <xf numFmtId="170" fontId="7" fillId="0" borderId="6" xfId="0" applyNumberFormat="1" applyFont="1" applyBorder="1" applyAlignment="1">
      <alignment vertical="center"/>
    </xf>
    <xf numFmtId="170" fontId="7" fillId="6" borderId="22" xfId="0" applyNumberFormat="1" applyFont="1" applyFill="1" applyBorder="1" applyAlignment="1">
      <alignment vertical="center"/>
    </xf>
    <xf numFmtId="170" fontId="7" fillId="0" borderId="22" xfId="0" applyNumberFormat="1" applyFont="1" applyBorder="1" applyAlignment="1">
      <alignment vertical="center"/>
    </xf>
    <xf numFmtId="170" fontId="4" fillId="6" borderId="18" xfId="0" applyNumberFormat="1" applyFont="1" applyFill="1" applyBorder="1" applyAlignment="1">
      <alignment vertical="center"/>
    </xf>
    <xf numFmtId="170" fontId="4" fillId="6" borderId="33" xfId="0" applyNumberFormat="1" applyFont="1" applyFill="1" applyBorder="1" applyAlignment="1">
      <alignment vertical="center"/>
    </xf>
    <xf numFmtId="37" fontId="4" fillId="6" borderId="7" xfId="0" applyFont="1" applyFill="1" applyBorder="1" applyAlignment="1">
      <alignment vertical="center"/>
    </xf>
    <xf numFmtId="37" fontId="4" fillId="6" borderId="24" xfId="0" applyFont="1" applyFill="1" applyBorder="1" applyAlignment="1">
      <alignment vertical="center"/>
    </xf>
    <xf numFmtId="37" fontId="4" fillId="6" borderId="8" xfId="0" applyFont="1" applyFill="1" applyBorder="1" applyAlignment="1">
      <alignment horizontal="centerContinuous"/>
    </xf>
    <xf numFmtId="168" fontId="4" fillId="0" borderId="24" xfId="8" applyNumberFormat="1" applyFont="1" applyFill="1" applyBorder="1"/>
    <xf numFmtId="37" fontId="3" fillId="0" borderId="0" xfId="0" applyFont="1"/>
    <xf numFmtId="49" fontId="13" fillId="0" borderId="0" xfId="0" applyNumberFormat="1" applyFont="1"/>
    <xf numFmtId="49" fontId="8" fillId="0" borderId="0" xfId="0" quotePrefix="1" applyNumberFormat="1" applyFont="1" applyAlignment="1">
      <alignment horizontal="right"/>
    </xf>
    <xf numFmtId="37" fontId="4" fillId="0" borderId="26" xfId="0" applyNumberFormat="1" applyFont="1" applyBorder="1" applyProtection="1"/>
    <xf numFmtId="0" fontId="4" fillId="6" borderId="8" xfId="5" quotePrefix="1" applyFont="1" applyFill="1" applyBorder="1" applyAlignment="1">
      <alignment horizontal="center"/>
    </xf>
    <xf numFmtId="37" fontId="4" fillId="7" borderId="4" xfId="0" applyFont="1" applyFill="1" applyBorder="1" applyAlignment="1">
      <alignment horizontal="center"/>
    </xf>
    <xf numFmtId="37" fontId="0" fillId="0" borderId="11" xfId="0" applyBorder="1"/>
    <xf numFmtId="49" fontId="7" fillId="0" borderId="0" xfId="5" quotePrefix="1" applyNumberFormat="1" applyFont="1" applyAlignment="1">
      <alignment horizontal="left"/>
    </xf>
    <xf numFmtId="37" fontId="7" fillId="3" borderId="25" xfId="0" applyFont="1" applyFill="1" applyBorder="1" applyAlignment="1">
      <alignment horizontal="centerContinuous"/>
    </xf>
    <xf numFmtId="37" fontId="7" fillId="3" borderId="27" xfId="0" applyFont="1" applyFill="1" applyBorder="1" applyAlignment="1">
      <alignment horizontal="centerContinuous"/>
    </xf>
    <xf numFmtId="37" fontId="4" fillId="6" borderId="24" xfId="0" applyFont="1" applyFill="1" applyBorder="1" applyAlignment="1">
      <alignment horizontal="center" vertical="center"/>
    </xf>
    <xf numFmtId="37" fontId="4" fillId="3" borderId="23" xfId="0" applyFont="1" applyFill="1" applyBorder="1" applyAlignment="1">
      <alignment horizontal="centerContinuous"/>
    </xf>
    <xf numFmtId="37" fontId="0" fillId="0" borderId="0" xfId="0" applyBorder="1"/>
    <xf numFmtId="37" fontId="4" fillId="3" borderId="11" xfId="0" applyFont="1" applyFill="1" applyBorder="1" applyAlignment="1">
      <alignment horizontal="left"/>
    </xf>
    <xf numFmtId="37" fontId="7" fillId="3" borderId="11" xfId="0" applyFont="1" applyFill="1" applyBorder="1"/>
    <xf numFmtId="49" fontId="21" fillId="0" borderId="0" xfId="4" applyNumberFormat="1" applyFont="1" applyAlignment="1" applyProtection="1">
      <alignment horizontal="left" indent="2"/>
    </xf>
    <xf numFmtId="164" fontId="0" fillId="0" borderId="0" xfId="2" applyFont="1"/>
    <xf numFmtId="37" fontId="7" fillId="0" borderId="13" xfId="0" applyFont="1" applyFill="1" applyBorder="1" applyAlignment="1">
      <alignment horizontal="center"/>
    </xf>
    <xf numFmtId="37" fontId="4" fillId="6" borderId="43" xfId="0" applyFont="1" applyFill="1" applyBorder="1" applyAlignment="1">
      <alignment horizontal="centerContinuous"/>
    </xf>
    <xf numFmtId="37" fontId="4" fillId="0" borderId="12" xfId="0" quotePrefix="1" applyFont="1" applyBorder="1" applyAlignment="1">
      <alignment horizontal="center" vertical="center"/>
    </xf>
    <xf numFmtId="37" fontId="4" fillId="0" borderId="2" xfId="0" applyFont="1" applyBorder="1" applyAlignment="1">
      <alignment horizontal="left" vertical="center"/>
    </xf>
    <xf numFmtId="37" fontId="4" fillId="0" borderId="3" xfId="0" quotePrefix="1" applyFont="1" applyBorder="1" applyAlignment="1">
      <alignment horizontal="right" vertical="center"/>
    </xf>
    <xf numFmtId="37" fontId="23" fillId="0" borderId="7" xfId="0" applyFont="1" applyFill="1" applyBorder="1" applyAlignment="1">
      <alignment horizontal="centerContinuous" vertical="center"/>
    </xf>
    <xf numFmtId="37" fontId="12" fillId="0" borderId="12" xfId="0" quotePrefix="1" applyFont="1" applyBorder="1" applyAlignment="1">
      <alignment horizontal="left" vertical="center"/>
    </xf>
    <xf numFmtId="37" fontId="4" fillId="6" borderId="35" xfId="0" applyFont="1" applyFill="1" applyBorder="1" applyAlignment="1">
      <alignment horizontal="center"/>
    </xf>
    <xf numFmtId="49" fontId="4" fillId="0" borderId="23" xfId="0" quotePrefix="1" applyNumberFormat="1" applyFont="1" applyFill="1" applyBorder="1" applyAlignment="1">
      <alignment horizontal="center" vertical="center"/>
    </xf>
    <xf numFmtId="165" fontId="7" fillId="0" borderId="0" xfId="6" applyNumberFormat="1" applyFont="1" applyProtection="1"/>
    <xf numFmtId="0" fontId="7" fillId="3" borderId="0" xfId="6" applyFont="1" applyFill="1"/>
    <xf numFmtId="0" fontId="7" fillId="0" borderId="0" xfId="6" applyFont="1"/>
    <xf numFmtId="0" fontId="4" fillId="0" borderId="2" xfId="6" applyFont="1" applyFill="1" applyBorder="1" applyAlignment="1">
      <alignment horizontal="centerContinuous"/>
    </xf>
    <xf numFmtId="0" fontId="7" fillId="3" borderId="2" xfId="6" applyFont="1" applyFill="1" applyBorder="1" applyAlignment="1">
      <alignment horizontal="centerContinuous"/>
    </xf>
    <xf numFmtId="0" fontId="7" fillId="3" borderId="3" xfId="6" applyFont="1" applyFill="1" applyBorder="1" applyAlignment="1">
      <alignment horizontal="centerContinuous"/>
    </xf>
    <xf numFmtId="0" fontId="4" fillId="0" borderId="8" xfId="6" applyFont="1" applyBorder="1"/>
    <xf numFmtId="0" fontId="4" fillId="0" borderId="0" xfId="6" applyFont="1"/>
    <xf numFmtId="165" fontId="10" fillId="0" borderId="0" xfId="6" applyNumberFormat="1" applyFont="1" applyProtection="1">
      <protection locked="0"/>
    </xf>
    <xf numFmtId="170" fontId="7" fillId="0" borderId="0" xfId="6" applyNumberFormat="1" applyFont="1"/>
    <xf numFmtId="49" fontId="7" fillId="0" borderId="1" xfId="6" applyNumberFormat="1" applyFont="1" applyBorder="1" applyAlignment="1">
      <alignment vertical="center"/>
    </xf>
    <xf numFmtId="170" fontId="7" fillId="0" borderId="1" xfId="6" applyNumberFormat="1" applyFont="1" applyBorder="1" applyAlignment="1">
      <alignment vertical="center"/>
    </xf>
    <xf numFmtId="174" fontId="7" fillId="0" borderId="1" xfId="6" applyNumberFormat="1" applyFont="1" applyBorder="1" applyAlignment="1">
      <alignment vertical="center"/>
    </xf>
    <xf numFmtId="0" fontId="7" fillId="0" borderId="11" xfId="6" applyFont="1" applyBorder="1"/>
    <xf numFmtId="170" fontId="7" fillId="0" borderId="11" xfId="6" applyNumberFormat="1" applyFont="1" applyBorder="1"/>
    <xf numFmtId="0" fontId="7" fillId="0" borderId="0" xfId="6" applyFont="1" applyAlignment="1"/>
    <xf numFmtId="0" fontId="8" fillId="0" borderId="0" xfId="6" applyFont="1" applyAlignment="1"/>
    <xf numFmtId="49" fontId="7" fillId="10" borderId="1" xfId="6" applyNumberFormat="1" applyFont="1" applyFill="1" applyBorder="1" applyAlignment="1">
      <alignment vertical="center"/>
    </xf>
    <xf numFmtId="170" fontId="7" fillId="10" borderId="1" xfId="6" applyNumberFormat="1" applyFont="1" applyFill="1" applyBorder="1" applyAlignment="1">
      <alignment vertical="center"/>
    </xf>
    <xf numFmtId="174" fontId="7" fillId="10" borderId="1" xfId="6" applyNumberFormat="1" applyFont="1" applyFill="1" applyBorder="1" applyAlignment="1">
      <alignment vertical="center"/>
    </xf>
    <xf numFmtId="49" fontId="4" fillId="10" borderId="19" xfId="3" applyNumberFormat="1" applyFont="1" applyFill="1" applyBorder="1" applyAlignment="1">
      <alignment vertical="center"/>
    </xf>
    <xf numFmtId="170" fontId="4" fillId="10" borderId="23" xfId="6" applyNumberFormat="1" applyFont="1" applyFill="1" applyBorder="1"/>
    <xf numFmtId="174" fontId="4" fillId="10" borderId="23" xfId="6" applyNumberFormat="1" applyFont="1" applyFill="1" applyBorder="1"/>
    <xf numFmtId="0" fontId="4" fillId="5" borderId="19" xfId="6" applyNumberFormat="1" applyFont="1" applyFill="1" applyBorder="1" applyAlignment="1">
      <alignment horizontal="center"/>
    </xf>
    <xf numFmtId="39" fontId="3" fillId="0" borderId="0" xfId="7" applyFont="1"/>
    <xf numFmtId="39" fontId="3" fillId="0" borderId="0" xfId="7" applyFont="1" applyAlignment="1">
      <alignment horizontal="left"/>
    </xf>
    <xf numFmtId="39" fontId="3" fillId="0" borderId="3" xfId="7" applyFont="1" applyBorder="1"/>
    <xf numFmtId="175" fontId="3" fillId="0" borderId="3" xfId="7" applyNumberFormat="1" applyFont="1" applyBorder="1" applyProtection="1"/>
    <xf numFmtId="37" fontId="3" fillId="0" borderId="0" xfId="7" applyNumberFormat="1" applyFont="1"/>
    <xf numFmtId="37" fontId="4" fillId="3" borderId="13" xfId="0" applyFont="1" applyFill="1" applyBorder="1" applyAlignment="1">
      <alignment horizontal="left" vertical="center"/>
    </xf>
    <xf numFmtId="37" fontId="7" fillId="0" borderId="0" xfId="0" applyFont="1" applyFill="1"/>
    <xf numFmtId="49" fontId="7" fillId="0" borderId="11" xfId="0" applyNumberFormat="1" applyFont="1" applyBorder="1"/>
    <xf numFmtId="37" fontId="4" fillId="11" borderId="4" xfId="0" applyFont="1" applyFill="1" applyBorder="1" applyAlignment="1">
      <alignment horizontal="centerContinuous"/>
    </xf>
    <xf numFmtId="37" fontId="4" fillId="10" borderId="4" xfId="0" quotePrefix="1" applyFont="1" applyFill="1" applyBorder="1" applyAlignment="1">
      <alignment horizontal="center"/>
    </xf>
    <xf numFmtId="37" fontId="4" fillId="10" borderId="4" xfId="0" applyFont="1" applyFill="1" applyBorder="1" applyAlignment="1">
      <alignment horizontal="center"/>
    </xf>
    <xf numFmtId="37" fontId="4" fillId="3" borderId="32" xfId="0" quotePrefix="1" applyFont="1" applyFill="1" applyBorder="1" applyAlignment="1">
      <alignment horizontal="left"/>
    </xf>
    <xf numFmtId="0" fontId="7" fillId="12" borderId="0" xfId="0" applyNumberFormat="1" applyFont="1" applyFill="1" applyAlignment="1">
      <alignment horizontal="center"/>
    </xf>
    <xf numFmtId="0" fontId="4" fillId="5" borderId="19" xfId="0" applyNumberFormat="1" applyFont="1" applyFill="1" applyBorder="1" applyAlignment="1">
      <alignment horizontal="center"/>
    </xf>
    <xf numFmtId="0" fontId="4" fillId="5" borderId="19" xfId="0" quotePrefix="1" applyNumberFormat="1" applyFont="1" applyFill="1" applyBorder="1" applyAlignment="1">
      <alignment horizontal="center"/>
    </xf>
    <xf numFmtId="37" fontId="4" fillId="6" borderId="35" xfId="0" applyFont="1" applyFill="1" applyBorder="1" applyAlignment="1" applyProtection="1">
      <alignment horizontal="centerContinuous"/>
    </xf>
    <xf numFmtId="37" fontId="4" fillId="6" borderId="37" xfId="0" applyFont="1" applyFill="1" applyBorder="1" applyAlignment="1" applyProtection="1">
      <alignment horizontal="centerContinuous"/>
    </xf>
    <xf numFmtId="37" fontId="4" fillId="6" borderId="38" xfId="0" applyFont="1" applyFill="1" applyBorder="1" applyAlignment="1" applyProtection="1">
      <alignment horizontal="centerContinuous"/>
    </xf>
    <xf numFmtId="37" fontId="26" fillId="0" borderId="0" xfId="0" applyFont="1"/>
    <xf numFmtId="37" fontId="26" fillId="0" borderId="0" xfId="0" applyFont="1" applyAlignment="1">
      <alignment horizontal="right"/>
    </xf>
    <xf numFmtId="37" fontId="26" fillId="0" borderId="0" xfId="0" quotePrefix="1" applyFont="1" applyAlignment="1">
      <alignment horizontal="left"/>
    </xf>
    <xf numFmtId="0" fontId="26" fillId="0" borderId="0" xfId="6" applyFont="1"/>
    <xf numFmtId="170" fontId="26" fillId="0" borderId="0" xfId="6" applyNumberFormat="1" applyFont="1"/>
    <xf numFmtId="176" fontId="26" fillId="0" borderId="0" xfId="6" applyNumberFormat="1" applyFont="1"/>
    <xf numFmtId="172" fontId="7" fillId="0" borderId="0" xfId="0" applyNumberFormat="1" applyFont="1"/>
    <xf numFmtId="0" fontId="7" fillId="0" borderId="0" xfId="5" quotePrefix="1" applyFont="1" applyBorder="1" applyAlignment="1">
      <alignment horizontal="left"/>
    </xf>
    <xf numFmtId="37" fontId="7" fillId="0" borderId="0" xfId="0" quotePrefix="1" applyFont="1"/>
    <xf numFmtId="37" fontId="24" fillId="0" borderId="11" xfId="0" applyFont="1" applyBorder="1"/>
    <xf numFmtId="37" fontId="4" fillId="6" borderId="44" xfId="0" applyFont="1" applyFill="1" applyBorder="1" applyAlignment="1">
      <alignment horizontal="centerContinuous"/>
    </xf>
    <xf numFmtId="37" fontId="4" fillId="8" borderId="9" xfId="0" applyFont="1" applyFill="1" applyBorder="1" applyAlignment="1">
      <alignment horizontal="center" wrapText="1"/>
    </xf>
    <xf numFmtId="37" fontId="4" fillId="8" borderId="9" xfId="0" applyFont="1" applyFill="1" applyBorder="1" applyAlignment="1">
      <alignment wrapText="1"/>
    </xf>
    <xf numFmtId="37" fontId="4" fillId="9" borderId="45" xfId="0" applyFont="1" applyFill="1" applyBorder="1" applyAlignment="1">
      <alignment horizontal="center"/>
    </xf>
    <xf numFmtId="165" fontId="7" fillId="0" borderId="11" xfId="0" applyNumberFormat="1" applyFont="1" applyBorder="1" applyProtection="1"/>
    <xf numFmtId="37" fontId="27" fillId="0" borderId="0" xfId="0" applyFont="1"/>
    <xf numFmtId="177" fontId="7" fillId="0" borderId="0" xfId="7" applyNumberFormat="1" applyFont="1" applyBorder="1" applyProtection="1"/>
    <xf numFmtId="37" fontId="4" fillId="0" borderId="0" xfId="7" applyNumberFormat="1" applyFont="1" applyBorder="1" applyAlignment="1" applyProtection="1">
      <alignment horizontal="centerContinuous"/>
    </xf>
    <xf numFmtId="39" fontId="7" fillId="0" borderId="0" xfId="7" applyFont="1"/>
    <xf numFmtId="165" fontId="7" fillId="0" borderId="2" xfId="7" applyNumberFormat="1" applyFont="1" applyBorder="1" applyAlignment="1" applyProtection="1">
      <alignment horizontal="left"/>
    </xf>
    <xf numFmtId="165" fontId="7" fillId="0" borderId="3" xfId="7" applyNumberFormat="1" applyFont="1" applyBorder="1" applyAlignment="1" applyProtection="1">
      <alignment horizontal="left"/>
    </xf>
    <xf numFmtId="37" fontId="7" fillId="0" borderId="0" xfId="7" applyNumberFormat="1" applyFont="1" applyProtection="1"/>
    <xf numFmtId="39" fontId="4" fillId="0" borderId="14" xfId="7" applyFont="1" applyBorder="1" applyProtection="1"/>
    <xf numFmtId="39" fontId="4" fillId="3" borderId="20" xfId="7" applyFont="1" applyFill="1" applyBorder="1" applyProtection="1"/>
    <xf numFmtId="39" fontId="7" fillId="3" borderId="0" xfId="7" applyFont="1" applyFill="1" applyProtection="1"/>
    <xf numFmtId="167" fontId="7" fillId="10" borderId="1" xfId="7" applyNumberFormat="1" applyFont="1" applyFill="1" applyBorder="1"/>
    <xf numFmtId="167" fontId="7" fillId="3" borderId="1" xfId="7" applyNumberFormat="1" applyFont="1" applyFill="1" applyBorder="1"/>
    <xf numFmtId="167" fontId="4" fillId="10" borderId="19" xfId="7" applyNumberFormat="1" applyFont="1" applyFill="1" applyBorder="1"/>
    <xf numFmtId="167" fontId="7" fillId="0" borderId="0" xfId="7" applyNumberFormat="1" applyFont="1"/>
    <xf numFmtId="39" fontId="7" fillId="0" borderId="1" xfId="7" applyFont="1" applyBorder="1" applyProtection="1"/>
    <xf numFmtId="37" fontId="25" fillId="0" borderId="0" xfId="0" applyFont="1" applyAlignment="1">
      <alignment horizontal="left" indent="5"/>
    </xf>
    <xf numFmtId="37" fontId="7" fillId="0" borderId="31" xfId="0" applyFont="1" applyBorder="1"/>
    <xf numFmtId="0" fontId="7" fillId="0" borderId="0" xfId="0" applyNumberFormat="1" applyFont="1" applyAlignment="1"/>
    <xf numFmtId="37" fontId="4" fillId="6" borderId="52" xfId="0" applyFont="1" applyFill="1" applyBorder="1" applyAlignment="1">
      <alignment horizontal="centerContinuous"/>
    </xf>
    <xf numFmtId="37" fontId="4" fillId="6" borderId="53" xfId="0" applyFont="1" applyFill="1" applyBorder="1" applyAlignment="1">
      <alignment horizontal="centerContinuous"/>
    </xf>
    <xf numFmtId="37" fontId="4" fillId="6" borderId="54" xfId="0" applyFont="1" applyFill="1" applyBorder="1" applyAlignment="1">
      <alignment horizontal="centerContinuous"/>
    </xf>
    <xf numFmtId="37" fontId="4" fillId="6" borderId="55" xfId="0" applyFont="1" applyFill="1" applyBorder="1" applyAlignment="1">
      <alignment horizontal="center"/>
    </xf>
    <xf numFmtId="37" fontId="4" fillId="6" borderId="56" xfId="0" applyFont="1" applyFill="1" applyBorder="1" applyAlignment="1">
      <alignment horizontal="center"/>
    </xf>
    <xf numFmtId="37" fontId="4" fillId="0" borderId="1" xfId="0" quotePrefix="1" applyFont="1" applyBorder="1" applyAlignment="1">
      <alignment horizontal="center"/>
    </xf>
    <xf numFmtId="37" fontId="4" fillId="0" borderId="9" xfId="0" quotePrefix="1" applyFont="1" applyBorder="1" applyAlignment="1">
      <alignment horizontal="center"/>
    </xf>
    <xf numFmtId="37" fontId="15" fillId="3" borderId="2" xfId="0" quotePrefix="1" applyFont="1" applyFill="1" applyBorder="1" applyAlignment="1">
      <alignment horizontal="left" vertical="center"/>
    </xf>
    <xf numFmtId="37" fontId="15" fillId="3" borderId="0" xfId="0" quotePrefix="1" applyFont="1" applyFill="1" applyBorder="1" applyAlignment="1">
      <alignment horizontal="left" vertical="center"/>
    </xf>
    <xf numFmtId="165" fontId="15" fillId="0" borderId="0" xfId="0" quotePrefix="1" applyNumberFormat="1" applyFont="1" applyBorder="1" applyAlignment="1" applyProtection="1">
      <alignment horizontal="left"/>
    </xf>
    <xf numFmtId="37" fontId="15" fillId="0" borderId="0" xfId="0" quotePrefix="1" applyFont="1" applyAlignment="1">
      <alignment horizontal="left"/>
    </xf>
    <xf numFmtId="37" fontId="15" fillId="0" borderId="11" xfId="0" quotePrefix="1" applyFont="1" applyBorder="1" applyAlignment="1">
      <alignment horizontal="left"/>
    </xf>
    <xf numFmtId="165" fontId="15" fillId="0" borderId="11" xfId="0" quotePrefix="1" applyNumberFormat="1" applyFont="1" applyBorder="1" applyAlignment="1" applyProtection="1">
      <alignment horizontal="left" vertical="center"/>
    </xf>
    <xf numFmtId="165" fontId="15" fillId="0" borderId="3" xfId="0" quotePrefix="1" applyNumberFormat="1" applyFont="1" applyBorder="1" applyAlignment="1" applyProtection="1">
      <alignment horizontal="left" vertical="center"/>
    </xf>
    <xf numFmtId="165" fontId="15" fillId="0" borderId="3" xfId="0" quotePrefix="1" applyNumberFormat="1" applyFont="1" applyBorder="1" applyAlignment="1" applyProtection="1">
      <alignment horizontal="left"/>
    </xf>
    <xf numFmtId="37" fontId="4" fillId="3" borderId="3" xfId="6" quotePrefix="1" applyNumberFormat="1" applyFont="1" applyFill="1" applyBorder="1" applyAlignment="1" applyProtection="1">
      <alignment horizontal="centerContinuous" vertical="center"/>
    </xf>
    <xf numFmtId="37" fontId="4" fillId="3" borderId="11" xfId="0" applyFont="1" applyFill="1" applyBorder="1" applyAlignment="1" applyProtection="1">
      <alignment horizontal="centerContinuous" vertical="top"/>
    </xf>
    <xf numFmtId="37" fontId="7" fillId="0" borderId="0" xfId="0" applyFont="1" applyFill="1" applyAlignment="1">
      <alignment horizontal="right"/>
    </xf>
    <xf numFmtId="37" fontId="4" fillId="0" borderId="0" xfId="0" quotePrefix="1" applyFont="1" applyAlignment="1">
      <alignment horizontal="left"/>
    </xf>
    <xf numFmtId="37" fontId="7" fillId="3" borderId="2" xfId="0" applyFont="1" applyFill="1" applyBorder="1"/>
    <xf numFmtId="164" fontId="26" fillId="0" borderId="0" xfId="2" applyFont="1"/>
    <xf numFmtId="37" fontId="28" fillId="0" borderId="0" xfId="0" applyFont="1" applyAlignment="1">
      <alignment horizontal="right"/>
    </xf>
    <xf numFmtId="170" fontId="7" fillId="6" borderId="62" xfId="0" applyNumberFormat="1" applyFont="1" applyFill="1" applyBorder="1" applyAlignment="1">
      <alignment vertical="center"/>
    </xf>
    <xf numFmtId="170" fontId="7" fillId="0" borderId="62" xfId="0" applyNumberFormat="1" applyFont="1" applyBorder="1" applyAlignment="1">
      <alignment vertical="center"/>
    </xf>
    <xf numFmtId="37" fontId="0" fillId="0" borderId="0" xfId="0"/>
    <xf numFmtId="37" fontId="7" fillId="0" borderId="23" xfId="0" applyFont="1" applyBorder="1"/>
    <xf numFmtId="37" fontId="7" fillId="13" borderId="32" xfId="0" applyFont="1" applyFill="1" applyBorder="1" applyAlignment="1">
      <alignment horizontal="right"/>
    </xf>
    <xf numFmtId="37" fontId="7" fillId="13" borderId="23" xfId="0" applyFont="1" applyFill="1" applyBorder="1"/>
    <xf numFmtId="37" fontId="4" fillId="6" borderId="5" xfId="0" applyFont="1" applyFill="1" applyBorder="1" applyAlignment="1">
      <alignment horizontal="center"/>
    </xf>
    <xf numFmtId="37" fontId="4" fillId="3" borderId="14" xfId="0" applyFont="1" applyFill="1" applyBorder="1"/>
    <xf numFmtId="37" fontId="4" fillId="3" borderId="2" xfId="0" applyFont="1" applyFill="1" applyBorder="1"/>
    <xf numFmtId="37" fontId="4" fillId="3" borderId="14" xfId="0" quotePrefix="1" applyFont="1" applyFill="1" applyBorder="1" applyAlignment="1">
      <alignment horizontal="left"/>
    </xf>
    <xf numFmtId="37" fontId="4" fillId="0" borderId="12" xfId="0" applyFont="1" applyFill="1" applyBorder="1" applyAlignment="1">
      <alignment horizontal="centerContinuous"/>
    </xf>
    <xf numFmtId="37" fontId="4" fillId="0" borderId="48" xfId="0" applyFont="1" applyFill="1" applyBorder="1" applyAlignment="1">
      <alignment horizontal="centerContinuous"/>
    </xf>
    <xf numFmtId="37" fontId="4" fillId="0" borderId="35" xfId="0" applyFont="1" applyFill="1" applyBorder="1" applyAlignment="1">
      <alignment horizontal="centerContinuous" vertical="center"/>
    </xf>
    <xf numFmtId="37" fontId="4" fillId="3" borderId="3" xfId="0" applyFont="1" applyFill="1" applyBorder="1" applyAlignment="1">
      <alignment horizontal="centerContinuous"/>
    </xf>
    <xf numFmtId="37" fontId="4" fillId="10" borderId="5" xfId="0" applyNumberFormat="1" applyFont="1" applyFill="1" applyBorder="1" applyAlignment="1" applyProtection="1">
      <alignment horizontal="center"/>
    </xf>
    <xf numFmtId="37" fontId="4" fillId="6" borderId="6" xfId="0" applyFont="1" applyFill="1" applyBorder="1" applyAlignment="1">
      <alignment horizontal="center"/>
    </xf>
    <xf numFmtId="49" fontId="4" fillId="0" borderId="35" xfId="0" applyNumberFormat="1" applyFont="1" applyBorder="1"/>
    <xf numFmtId="49" fontId="4" fillId="0" borderId="37" xfId="0" applyNumberFormat="1" applyFont="1" applyBorder="1"/>
    <xf numFmtId="0" fontId="4" fillId="0" borderId="35" xfId="6" applyFont="1" applyBorder="1"/>
    <xf numFmtId="49" fontId="4" fillId="5" borderId="9" xfId="6" applyNumberFormat="1" applyFont="1" applyFill="1" applyBorder="1" applyAlignment="1">
      <alignment horizontal="center"/>
    </xf>
    <xf numFmtId="0" fontId="4" fillId="5" borderId="9" xfId="6" applyNumberFormat="1" applyFont="1" applyFill="1" applyBorder="1" applyAlignment="1">
      <alignment horizontal="center" vertical="center" wrapText="1"/>
    </xf>
    <xf numFmtId="37" fontId="4" fillId="7" borderId="2" xfId="0" applyFont="1" applyFill="1" applyBorder="1" applyAlignment="1"/>
    <xf numFmtId="0" fontId="4" fillId="5" borderId="9" xfId="0" applyNumberFormat="1" applyFont="1" applyFill="1" applyBorder="1" applyAlignment="1">
      <alignment horizontal="center"/>
    </xf>
    <xf numFmtId="0" fontId="4" fillId="5" borderId="9" xfId="0" quotePrefix="1" applyNumberFormat="1" applyFont="1" applyFill="1" applyBorder="1" applyAlignment="1">
      <alignment horizontal="center"/>
    </xf>
    <xf numFmtId="37" fontId="27" fillId="0" borderId="0" xfId="0" applyFont="1" applyAlignment="1">
      <alignment horizontal="right"/>
    </xf>
    <xf numFmtId="37" fontId="7" fillId="0" borderId="0" xfId="0" applyFont="1" applyBorder="1" applyAlignment="1"/>
    <xf numFmtId="49" fontId="7" fillId="6" borderId="1" xfId="0" quotePrefix="1" applyNumberFormat="1" applyFont="1" applyFill="1" applyBorder="1" applyAlignment="1">
      <alignment horizontal="left"/>
    </xf>
    <xf numFmtId="37" fontId="4" fillId="3" borderId="13" xfId="0" applyFont="1" applyFill="1" applyBorder="1" applyAlignment="1">
      <alignment horizontal="right" vertical="center"/>
    </xf>
    <xf numFmtId="49" fontId="7" fillId="0" borderId="0" xfId="0" applyNumberFormat="1" applyFont="1" applyBorder="1" applyAlignment="1">
      <alignment horizontal="left"/>
    </xf>
    <xf numFmtId="37" fontId="7" fillId="0" borderId="0" xfId="0" applyFont="1" applyAlignment="1">
      <alignment horizontal="center" wrapText="1"/>
    </xf>
    <xf numFmtId="174" fontId="7" fillId="0" borderId="1" xfId="0" quotePrefix="1" applyNumberFormat="1" applyFont="1" applyBorder="1" applyAlignment="1">
      <alignment horizontal="right" vertical="center"/>
    </xf>
    <xf numFmtId="37" fontId="0" fillId="0" borderId="0" xfId="0"/>
    <xf numFmtId="174" fontId="7" fillId="6" borderId="1" xfId="0" applyNumberFormat="1" applyFont="1" applyFill="1" applyBorder="1" applyAlignment="1">
      <alignment horizontal="right" vertical="center"/>
    </xf>
    <xf numFmtId="174" fontId="4" fillId="6" borderId="19" xfId="0" applyNumberFormat="1" applyFont="1" applyFill="1" applyBorder="1" applyAlignment="1">
      <alignment horizontal="right" vertical="center"/>
    </xf>
    <xf numFmtId="172" fontId="7" fillId="0" borderId="0" xfId="0" applyNumberFormat="1" applyFont="1" applyProtection="1"/>
    <xf numFmtId="37" fontId="29" fillId="6" borderId="36" xfId="0" quotePrefix="1" applyFont="1" applyFill="1" applyBorder="1" applyAlignment="1" applyProtection="1">
      <alignment horizontal="center"/>
    </xf>
    <xf numFmtId="37" fontId="0" fillId="0" borderId="0" xfId="0"/>
    <xf numFmtId="37" fontId="15" fillId="7" borderId="0" xfId="9" applyFont="1" applyFill="1"/>
    <xf numFmtId="37" fontId="24" fillId="0" borderId="0" xfId="9"/>
    <xf numFmtId="37" fontId="20" fillId="7" borderId="0" xfId="9" quotePrefix="1" applyFont="1" applyFill="1" applyAlignment="1">
      <alignment horizontal="center"/>
    </xf>
    <xf numFmtId="37" fontId="15" fillId="7" borderId="0" xfId="9" applyFont="1" applyFill="1" applyAlignment="1"/>
    <xf numFmtId="37" fontId="15" fillId="7" borderId="0" xfId="9" applyFont="1" applyFill="1" applyAlignment="1">
      <alignment horizontal="left" vertical="top" wrapText="1"/>
    </xf>
    <xf numFmtId="37" fontId="15" fillId="7" borderId="0" xfId="9" applyFont="1" applyFill="1" applyAlignment="1">
      <alignment wrapText="1"/>
    </xf>
    <xf numFmtId="37" fontId="7" fillId="0" borderId="0" xfId="0" quotePrefix="1" applyFont="1" applyAlignment="1">
      <alignment horizontal="left" vertical="top" wrapText="1"/>
    </xf>
    <xf numFmtId="37" fontId="4" fillId="3" borderId="57" xfId="0" quotePrefix="1" applyFont="1" applyFill="1" applyBorder="1" applyAlignment="1">
      <alignment horizontal="center" wrapText="1"/>
    </xf>
    <xf numFmtId="37" fontId="4" fillId="3" borderId="63" xfId="0" applyFont="1" applyFill="1" applyBorder="1" applyAlignment="1">
      <alignment horizontal="center" wrapText="1"/>
    </xf>
    <xf numFmtId="37" fontId="4" fillId="3" borderId="4" xfId="0" quotePrefix="1" applyFont="1" applyFill="1" applyBorder="1" applyAlignment="1">
      <alignment horizontal="center" wrapText="1"/>
    </xf>
    <xf numFmtId="37" fontId="4" fillId="3" borderId="1" xfId="0" applyFont="1" applyFill="1" applyBorder="1" applyAlignment="1">
      <alignment horizontal="center" wrapText="1"/>
    </xf>
    <xf numFmtId="37" fontId="4" fillId="3" borderId="9" xfId="0" applyFont="1" applyFill="1" applyBorder="1" applyAlignment="1">
      <alignment horizontal="center" wrapText="1"/>
    </xf>
    <xf numFmtId="0" fontId="4" fillId="3" borderId="4" xfId="0" quotePrefix="1" applyNumberFormat="1" applyFont="1" applyFill="1" applyBorder="1" applyAlignment="1">
      <alignment horizontal="center" wrapText="1"/>
    </xf>
    <xf numFmtId="0" fontId="4" fillId="3" borderId="1" xfId="0" applyNumberFormat="1" applyFont="1" applyFill="1" applyBorder="1" applyAlignment="1">
      <alignment horizontal="center" wrapText="1"/>
    </xf>
    <xf numFmtId="0" fontId="4" fillId="3" borderId="9" xfId="0" applyNumberFormat="1" applyFont="1" applyFill="1" applyBorder="1" applyAlignment="1">
      <alignment horizontal="center" wrapText="1"/>
    </xf>
    <xf numFmtId="37" fontId="4" fillId="3" borderId="1" xfId="0" quotePrefix="1" applyFont="1" applyFill="1" applyBorder="1" applyAlignment="1">
      <alignment horizontal="center" wrapText="1"/>
    </xf>
    <xf numFmtId="37" fontId="4" fillId="3" borderId="9" xfId="0" quotePrefix="1" applyFont="1" applyFill="1" applyBorder="1" applyAlignment="1">
      <alignment horizontal="center" wrapText="1"/>
    </xf>
    <xf numFmtId="37" fontId="4" fillId="3" borderId="12" xfId="0" quotePrefix="1" applyFont="1" applyFill="1" applyBorder="1" applyAlignment="1">
      <alignment horizontal="center" vertical="center"/>
    </xf>
    <xf numFmtId="37" fontId="4" fillId="3" borderId="12" xfId="0" applyFont="1" applyFill="1" applyBorder="1" applyAlignment="1">
      <alignment horizontal="center" vertical="center"/>
    </xf>
    <xf numFmtId="37" fontId="4" fillId="3" borderId="11" xfId="0" applyFont="1" applyFill="1" applyBorder="1" applyAlignment="1">
      <alignment horizontal="center" vertical="center"/>
    </xf>
    <xf numFmtId="0" fontId="7" fillId="0" borderId="12" xfId="0" quotePrefix="1" applyNumberFormat="1" applyFont="1" applyBorder="1" applyAlignment="1">
      <alignment horizontal="left" wrapText="1"/>
    </xf>
    <xf numFmtId="0" fontId="7" fillId="0" borderId="0" xfId="0" quotePrefix="1" applyNumberFormat="1" applyFont="1" applyAlignment="1">
      <alignment horizontal="left" wrapText="1"/>
    </xf>
    <xf numFmtId="37" fontId="4" fillId="0" borderId="57" xfId="0" quotePrefix="1" applyFont="1" applyBorder="1" applyAlignment="1" applyProtection="1">
      <alignment horizontal="center" vertical="center" wrapText="1"/>
    </xf>
    <xf numFmtId="37" fontId="4" fillId="0" borderId="63" xfId="0" quotePrefix="1" applyFont="1" applyBorder="1" applyAlignment="1" applyProtection="1">
      <alignment horizontal="center" vertical="center" wrapText="1"/>
    </xf>
    <xf numFmtId="37" fontId="4" fillId="0" borderId="64" xfId="0" quotePrefix="1" applyFont="1" applyBorder="1" applyAlignment="1" applyProtection="1">
      <alignment horizontal="center" vertical="center" wrapText="1"/>
    </xf>
    <xf numFmtId="37" fontId="4" fillId="0" borderId="42" xfId="0" quotePrefix="1" applyFont="1" applyBorder="1" applyAlignment="1" applyProtection="1">
      <alignment horizontal="center" vertical="center" wrapText="1"/>
    </xf>
    <xf numFmtId="37" fontId="4" fillId="0" borderId="65" xfId="0" quotePrefix="1" applyFont="1" applyBorder="1" applyAlignment="1" applyProtection="1">
      <alignment horizontal="center" vertical="center" wrapText="1"/>
    </xf>
    <xf numFmtId="37" fontId="4" fillId="0" borderId="29" xfId="0" quotePrefix="1" applyFont="1" applyBorder="1" applyAlignment="1" applyProtection="1">
      <alignment horizontal="center" vertical="center" wrapText="1"/>
    </xf>
    <xf numFmtId="37" fontId="4" fillId="0" borderId="4" xfId="0" quotePrefix="1" applyFont="1" applyBorder="1" applyAlignment="1" applyProtection="1">
      <alignment horizontal="center" vertical="center" wrapText="1"/>
    </xf>
    <xf numFmtId="37" fontId="4" fillId="0" borderId="9" xfId="0" quotePrefix="1" applyFont="1" applyBorder="1" applyAlignment="1" applyProtection="1">
      <alignment horizontal="center" vertical="center" wrapText="1"/>
    </xf>
    <xf numFmtId="37" fontId="4" fillId="3" borderId="4" xfId="0" applyFont="1" applyFill="1" applyBorder="1" applyAlignment="1">
      <alignment horizontal="center" wrapText="1"/>
    </xf>
    <xf numFmtId="37" fontId="4" fillId="3" borderId="66" xfId="0" quotePrefix="1" applyFont="1" applyFill="1" applyBorder="1" applyAlignment="1">
      <alignment horizontal="center" wrapText="1"/>
    </xf>
    <xf numFmtId="37" fontId="7" fillId="0" borderId="12" xfId="0" quotePrefix="1" applyFont="1" applyBorder="1" applyAlignment="1">
      <alignment horizontal="left" wrapText="1"/>
    </xf>
    <xf numFmtId="37" fontId="7" fillId="0" borderId="0" xfId="0" quotePrefix="1" applyFont="1" applyAlignment="1">
      <alignment horizontal="left" wrapText="1"/>
    </xf>
    <xf numFmtId="37" fontId="4" fillId="3" borderId="60" xfId="0" quotePrefix="1" applyFont="1" applyFill="1" applyBorder="1" applyAlignment="1">
      <alignment horizontal="center" wrapText="1"/>
    </xf>
    <xf numFmtId="37" fontId="4" fillId="3" borderId="67" xfId="0" quotePrefix="1" applyFont="1" applyFill="1" applyBorder="1" applyAlignment="1">
      <alignment horizontal="center" wrapText="1"/>
    </xf>
    <xf numFmtId="37" fontId="4" fillId="3" borderId="61" xfId="0" quotePrefix="1" applyFont="1" applyFill="1" applyBorder="1" applyAlignment="1">
      <alignment horizontal="center" wrapText="1"/>
    </xf>
    <xf numFmtId="49" fontId="4" fillId="0" borderId="39" xfId="0" quotePrefix="1" applyNumberFormat="1" applyFont="1" applyBorder="1" applyAlignment="1">
      <alignment horizontal="center" vertical="center"/>
    </xf>
    <xf numFmtId="49" fontId="4" fillId="0" borderId="13" xfId="0" quotePrefix="1" applyNumberFormat="1" applyFont="1" applyBorder="1" applyAlignment="1">
      <alignment horizontal="center" vertical="center"/>
    </xf>
    <xf numFmtId="49" fontId="4" fillId="0" borderId="51" xfId="0" quotePrefix="1" applyNumberFormat="1" applyFont="1" applyBorder="1" applyAlignment="1">
      <alignment horizontal="center" vertical="center"/>
    </xf>
    <xf numFmtId="37" fontId="4" fillId="3" borderId="59" xfId="0" quotePrefix="1" applyFont="1" applyFill="1" applyBorder="1" applyAlignment="1">
      <alignment horizontal="center" wrapText="1"/>
    </xf>
    <xf numFmtId="37" fontId="4" fillId="3" borderId="60" xfId="0" applyFont="1" applyFill="1" applyBorder="1" applyAlignment="1">
      <alignment horizontal="center" wrapText="1"/>
    </xf>
    <xf numFmtId="37" fontId="4" fillId="3" borderId="57" xfId="0" quotePrefix="1" applyFont="1" applyFill="1" applyBorder="1" applyAlignment="1">
      <alignment horizontal="right" wrapText="1"/>
    </xf>
    <xf numFmtId="37" fontId="4" fillId="3" borderId="63" xfId="0" quotePrefix="1" applyFont="1" applyFill="1" applyBorder="1" applyAlignment="1">
      <alignment horizontal="right" wrapText="1"/>
    </xf>
    <xf numFmtId="37" fontId="4" fillId="0" borderId="20" xfId="0" applyFont="1" applyBorder="1" applyAlignment="1">
      <alignment horizontal="center"/>
    </xf>
    <xf numFmtId="37" fontId="4" fillId="0" borderId="10" xfId="0" applyFont="1" applyBorder="1" applyAlignment="1">
      <alignment horizontal="center"/>
    </xf>
    <xf numFmtId="49" fontId="15" fillId="0" borderId="16" xfId="0" applyNumberFormat="1" applyFont="1" applyBorder="1" applyAlignment="1">
      <alignment horizontal="center" vertical="top" textRotation="180"/>
    </xf>
    <xf numFmtId="37" fontId="4" fillId="6" borderId="4" xfId="0" quotePrefix="1" applyFont="1" applyFill="1" applyBorder="1" applyAlignment="1">
      <alignment horizontal="center" wrapText="1"/>
    </xf>
    <xf numFmtId="37" fontId="4" fillId="6" borderId="9" xfId="0" applyFont="1" applyFill="1" applyBorder="1" applyAlignment="1">
      <alignment horizontal="center" wrapText="1"/>
    </xf>
    <xf numFmtId="37" fontId="4" fillId="6" borderId="4" xfId="0" applyFont="1" applyFill="1" applyBorder="1" applyAlignment="1">
      <alignment horizontal="center" wrapText="1"/>
    </xf>
    <xf numFmtId="37" fontId="4" fillId="6" borderId="58" xfId="0" applyFont="1" applyFill="1" applyBorder="1" applyAlignment="1">
      <alignment horizontal="center" wrapText="1"/>
    </xf>
    <xf numFmtId="37" fontId="4" fillId="6" borderId="68" xfId="0" applyFont="1" applyFill="1" applyBorder="1" applyAlignment="1">
      <alignment horizontal="center" wrapText="1"/>
    </xf>
    <xf numFmtId="37" fontId="4" fillId="6" borderId="7" xfId="0" applyFont="1" applyFill="1" applyBorder="1" applyAlignment="1">
      <alignment horizontal="center" wrapText="1"/>
    </xf>
    <xf numFmtId="37" fontId="4" fillId="6" borderId="8" xfId="0" applyFont="1" applyFill="1" applyBorder="1" applyAlignment="1">
      <alignment horizontal="center" wrapText="1"/>
    </xf>
    <xf numFmtId="49" fontId="15" fillId="0" borderId="15" xfId="0" applyNumberFormat="1" applyFont="1" applyBorder="1" applyAlignment="1">
      <alignment horizontal="right" vertical="center" textRotation="180"/>
    </xf>
    <xf numFmtId="37" fontId="15" fillId="0" borderId="15" xfId="0" applyFont="1" applyBorder="1" applyAlignment="1">
      <alignment horizontal="right" vertical="center" textRotation="180"/>
    </xf>
    <xf numFmtId="37" fontId="4" fillId="6" borderId="14" xfId="0" quotePrefix="1" applyFont="1" applyFill="1" applyBorder="1" applyAlignment="1">
      <alignment horizontal="center" wrapText="1"/>
    </xf>
    <xf numFmtId="37" fontId="4" fillId="6" borderId="5" xfId="0" applyFont="1" applyFill="1" applyBorder="1" applyAlignment="1">
      <alignment horizontal="center" wrapText="1"/>
    </xf>
    <xf numFmtId="37" fontId="4" fillId="6" borderId="20" xfId="0" applyFont="1" applyFill="1" applyBorder="1" applyAlignment="1">
      <alignment horizontal="center" wrapText="1"/>
    </xf>
    <xf numFmtId="37" fontId="4" fillId="6" borderId="10" xfId="0" applyFont="1" applyFill="1" applyBorder="1" applyAlignment="1">
      <alignment horizontal="center" wrapText="1"/>
    </xf>
    <xf numFmtId="37" fontId="4" fillId="6" borderId="14" xfId="0" applyFont="1" applyFill="1" applyBorder="1" applyAlignment="1">
      <alignment horizontal="center" wrapText="1"/>
    </xf>
    <xf numFmtId="37" fontId="4" fillId="6" borderId="20" xfId="0" applyFont="1" applyFill="1" applyBorder="1" applyAlignment="1">
      <alignment horizontal="center"/>
    </xf>
    <xf numFmtId="37" fontId="4" fillId="6" borderId="10" xfId="0" applyFont="1" applyFill="1" applyBorder="1" applyAlignment="1">
      <alignment horizontal="center"/>
    </xf>
    <xf numFmtId="37" fontId="4" fillId="6" borderId="3" xfId="0" applyFont="1" applyFill="1" applyBorder="1" applyAlignment="1">
      <alignment horizontal="center"/>
    </xf>
    <xf numFmtId="37" fontId="4" fillId="6" borderId="2" xfId="0" applyFont="1" applyFill="1" applyBorder="1" applyAlignment="1">
      <alignment horizontal="center" wrapText="1"/>
    </xf>
    <xf numFmtId="37" fontId="4" fillId="6" borderId="3" xfId="0" applyFont="1" applyFill="1" applyBorder="1" applyAlignment="1">
      <alignment horizontal="center" wrapText="1"/>
    </xf>
    <xf numFmtId="37" fontId="4" fillId="6" borderId="17" xfId="0" applyFont="1" applyFill="1" applyBorder="1" applyAlignment="1" applyProtection="1">
      <alignment horizontal="center"/>
    </xf>
    <xf numFmtId="37" fontId="4" fillId="6" borderId="13" xfId="0" applyFont="1" applyFill="1" applyBorder="1" applyAlignment="1" applyProtection="1">
      <alignment horizontal="center"/>
    </xf>
    <xf numFmtId="37" fontId="4" fillId="6" borderId="18" xfId="0" applyFont="1" applyFill="1" applyBorder="1" applyAlignment="1" applyProtection="1">
      <alignment horizontal="center"/>
    </xf>
    <xf numFmtId="37" fontId="4" fillId="3" borderId="22" xfId="0" quotePrefix="1" applyFont="1" applyFill="1" applyBorder="1" applyAlignment="1" applyProtection="1">
      <alignment horizontal="center" wrapText="1"/>
    </xf>
    <xf numFmtId="37" fontId="4" fillId="3" borderId="42" xfId="0" quotePrefix="1" applyFont="1" applyFill="1" applyBorder="1" applyAlignment="1" applyProtection="1">
      <alignment horizontal="center" wrapText="1"/>
    </xf>
    <xf numFmtId="37" fontId="4" fillId="3" borderId="65" xfId="0" quotePrefix="1" applyFont="1" applyFill="1" applyBorder="1" applyAlignment="1" applyProtection="1">
      <alignment horizontal="center" wrapText="1"/>
    </xf>
    <xf numFmtId="37" fontId="4" fillId="3" borderId="28" xfId="0" quotePrefix="1" applyFont="1" applyFill="1" applyBorder="1" applyAlignment="1" applyProtection="1">
      <alignment horizontal="center" wrapText="1"/>
    </xf>
    <xf numFmtId="37" fontId="4" fillId="3" borderId="29" xfId="0" quotePrefix="1" applyFont="1" applyFill="1" applyBorder="1" applyAlignment="1" applyProtection="1">
      <alignment horizontal="center" wrapText="1"/>
    </xf>
    <xf numFmtId="37" fontId="4" fillId="3" borderId="17" xfId="0" applyFont="1" applyFill="1" applyBorder="1" applyAlignment="1" applyProtection="1">
      <alignment horizontal="center"/>
    </xf>
    <xf numFmtId="37" fontId="4" fillId="3" borderId="13" xfId="0" applyFont="1" applyFill="1" applyBorder="1" applyAlignment="1" applyProtection="1">
      <alignment horizontal="center"/>
    </xf>
    <xf numFmtId="37" fontId="4" fillId="3" borderId="18" xfId="0" applyFont="1" applyFill="1" applyBorder="1" applyAlignment="1" applyProtection="1">
      <alignment horizontal="center"/>
    </xf>
    <xf numFmtId="37" fontId="4" fillId="0" borderId="4" xfId="0" quotePrefix="1" applyFont="1" applyBorder="1" applyAlignment="1" applyProtection="1">
      <alignment horizontal="center" wrapText="1"/>
    </xf>
    <xf numFmtId="37" fontId="4" fillId="0" borderId="9" xfId="0" quotePrefix="1" applyFont="1" applyBorder="1" applyAlignment="1" applyProtection="1">
      <alignment horizontal="center" wrapText="1"/>
    </xf>
    <xf numFmtId="0" fontId="7" fillId="0" borderId="12" xfId="0" quotePrefix="1" applyNumberFormat="1" applyFont="1" applyBorder="1" applyAlignment="1">
      <alignment horizontal="left" vertical="top" wrapText="1"/>
    </xf>
    <xf numFmtId="0" fontId="7" fillId="0" borderId="0" xfId="0" quotePrefix="1" applyNumberFormat="1" applyFont="1" applyBorder="1" applyAlignment="1">
      <alignment horizontal="left" vertical="top" wrapText="1"/>
    </xf>
    <xf numFmtId="37" fontId="4" fillId="6" borderId="69" xfId="0" applyFont="1" applyFill="1" applyBorder="1" applyAlignment="1">
      <alignment horizontal="center" wrapText="1"/>
    </xf>
    <xf numFmtId="37" fontId="4" fillId="6" borderId="70" xfId="0" applyFont="1" applyFill="1" applyBorder="1" applyAlignment="1">
      <alignment horizontal="center" wrapText="1"/>
    </xf>
    <xf numFmtId="37" fontId="4" fillId="6" borderId="35" xfId="0" quotePrefix="1" applyFont="1" applyFill="1" applyBorder="1" applyAlignment="1">
      <alignment horizontal="center" wrapText="1"/>
    </xf>
    <xf numFmtId="37" fontId="4" fillId="6" borderId="36" xfId="0" applyFont="1" applyFill="1" applyBorder="1" applyAlignment="1">
      <alignment horizontal="center" wrapText="1"/>
    </xf>
    <xf numFmtId="37" fontId="4" fillId="6" borderId="37" xfId="0" applyFont="1" applyFill="1" applyBorder="1" applyAlignment="1">
      <alignment horizontal="center" wrapText="1"/>
    </xf>
    <xf numFmtId="37" fontId="4" fillId="6" borderId="38" xfId="0" applyFont="1" applyFill="1" applyBorder="1" applyAlignment="1">
      <alignment horizontal="center" wrapText="1"/>
    </xf>
    <xf numFmtId="37" fontId="4" fillId="6" borderId="12" xfId="0" applyFont="1" applyFill="1" applyBorder="1" applyAlignment="1">
      <alignment horizontal="center" wrapText="1"/>
    </xf>
    <xf numFmtId="37" fontId="4" fillId="6" borderId="11" xfId="0" applyFont="1" applyFill="1" applyBorder="1" applyAlignment="1">
      <alignment horizontal="center" wrapText="1"/>
    </xf>
    <xf numFmtId="37" fontId="4" fillId="6" borderId="48" xfId="0" applyFont="1" applyFill="1" applyBorder="1" applyAlignment="1">
      <alignment horizontal="center" wrapText="1"/>
    </xf>
    <xf numFmtId="37" fontId="4" fillId="6" borderId="44" xfId="0" applyFont="1" applyFill="1" applyBorder="1" applyAlignment="1">
      <alignment horizontal="center" wrapText="1"/>
    </xf>
    <xf numFmtId="37" fontId="4" fillId="10" borderId="71" xfId="0" quotePrefix="1" applyFont="1" applyFill="1" applyBorder="1" applyAlignment="1">
      <alignment horizontal="center" wrapText="1"/>
    </xf>
    <xf numFmtId="37" fontId="4" fillId="10" borderId="12" xfId="0" applyFont="1" applyFill="1" applyBorder="1" applyAlignment="1">
      <alignment horizontal="center" wrapText="1"/>
    </xf>
    <xf numFmtId="37" fontId="4" fillId="10" borderId="48" xfId="0" applyFont="1" applyFill="1" applyBorder="1" applyAlignment="1">
      <alignment horizontal="center" wrapText="1"/>
    </xf>
    <xf numFmtId="37" fontId="4" fillId="10" borderId="20" xfId="0" applyFont="1" applyFill="1" applyBorder="1" applyAlignment="1">
      <alignment horizontal="center" wrapText="1"/>
    </xf>
    <xf numFmtId="37" fontId="4" fillId="10" borderId="3" xfId="0" applyFont="1" applyFill="1" applyBorder="1" applyAlignment="1">
      <alignment horizontal="center" wrapText="1"/>
    </xf>
    <xf numFmtId="37" fontId="4" fillId="10" borderId="10" xfId="0" applyFont="1" applyFill="1" applyBorder="1" applyAlignment="1">
      <alignment horizontal="center" wrapText="1"/>
    </xf>
    <xf numFmtId="37" fontId="4" fillId="6" borderId="15" xfId="0" applyFont="1" applyFill="1" applyBorder="1" applyAlignment="1">
      <alignment horizontal="center" wrapText="1"/>
    </xf>
    <xf numFmtId="37" fontId="4" fillId="6" borderId="31" xfId="0" applyFont="1" applyFill="1" applyBorder="1" applyAlignment="1">
      <alignment horizontal="center" wrapText="1"/>
    </xf>
    <xf numFmtId="37" fontId="4" fillId="6" borderId="0" xfId="0" applyFont="1" applyFill="1" applyBorder="1" applyAlignment="1">
      <alignment horizontal="center" wrapText="1"/>
    </xf>
    <xf numFmtId="37" fontId="4" fillId="6" borderId="6" xfId="0" applyFont="1" applyFill="1" applyBorder="1" applyAlignment="1">
      <alignment horizontal="center" wrapText="1"/>
    </xf>
    <xf numFmtId="37" fontId="4" fillId="6" borderId="16" xfId="0" applyFont="1" applyFill="1" applyBorder="1" applyAlignment="1">
      <alignment horizontal="center" wrapText="1"/>
    </xf>
    <xf numFmtId="37" fontId="4" fillId="6" borderId="44" xfId="0" applyFont="1" applyFill="1" applyBorder="1" applyAlignment="1">
      <alignment horizontal="center"/>
    </xf>
    <xf numFmtId="37" fontId="4" fillId="6" borderId="72" xfId="0" quotePrefix="1" applyFont="1" applyFill="1" applyBorder="1" applyAlignment="1">
      <alignment horizontal="center" wrapText="1"/>
    </xf>
    <xf numFmtId="37" fontId="4" fillId="6" borderId="14" xfId="0" applyFont="1" applyFill="1" applyBorder="1" applyAlignment="1">
      <alignment horizontal="center"/>
    </xf>
    <xf numFmtId="37" fontId="4" fillId="6" borderId="2" xfId="0" applyFont="1" applyFill="1" applyBorder="1" applyAlignment="1">
      <alignment horizontal="center"/>
    </xf>
    <xf numFmtId="37" fontId="4" fillId="6" borderId="5" xfId="0" applyFont="1" applyFill="1" applyBorder="1" applyAlignment="1">
      <alignment horizontal="center"/>
    </xf>
    <xf numFmtId="37" fontId="4" fillId="6" borderId="36" xfId="0" quotePrefix="1" applyFont="1" applyFill="1" applyBorder="1" applyAlignment="1">
      <alignment horizontal="center" wrapText="1"/>
    </xf>
    <xf numFmtId="37" fontId="4" fillId="6" borderId="37" xfId="0" quotePrefix="1" applyFont="1" applyFill="1" applyBorder="1" applyAlignment="1">
      <alignment horizontal="center" wrapText="1"/>
    </xf>
    <xf numFmtId="37" fontId="4" fillId="6" borderId="38" xfId="0" quotePrefix="1" applyFont="1" applyFill="1" applyBorder="1" applyAlignment="1">
      <alignment horizontal="center" wrapText="1"/>
    </xf>
    <xf numFmtId="37" fontId="4" fillId="0" borderId="4" xfId="0" quotePrefix="1" applyFont="1" applyBorder="1" applyAlignment="1">
      <alignment horizontal="center" wrapText="1"/>
    </xf>
    <xf numFmtId="37" fontId="4" fillId="0" borderId="9" xfId="0" applyFont="1" applyBorder="1" applyAlignment="1">
      <alignment horizontal="center" wrapText="1"/>
    </xf>
    <xf numFmtId="37" fontId="4" fillId="0" borderId="4" xfId="0" applyFont="1" applyBorder="1" applyAlignment="1">
      <alignment horizontal="center" wrapText="1"/>
    </xf>
    <xf numFmtId="37" fontId="4" fillId="9" borderId="20" xfId="0" applyFont="1" applyFill="1" applyBorder="1" applyAlignment="1">
      <alignment horizontal="center"/>
    </xf>
    <xf numFmtId="37" fontId="4" fillId="9" borderId="3" xfId="0" applyFont="1" applyFill="1" applyBorder="1" applyAlignment="1">
      <alignment horizontal="center"/>
    </xf>
    <xf numFmtId="37" fontId="4" fillId="9" borderId="10" xfId="0" applyFont="1" applyFill="1" applyBorder="1" applyAlignment="1">
      <alignment horizontal="center"/>
    </xf>
    <xf numFmtId="37" fontId="4" fillId="9" borderId="14" xfId="0" quotePrefix="1" applyFont="1" applyFill="1" applyBorder="1" applyAlignment="1">
      <alignment horizontal="center" wrapText="1"/>
    </xf>
    <xf numFmtId="37" fontId="4" fillId="9" borderId="5" xfId="0" applyFont="1" applyFill="1" applyBorder="1" applyAlignment="1">
      <alignment horizontal="center" wrapText="1"/>
    </xf>
    <xf numFmtId="37" fontId="4" fillId="9" borderId="20" xfId="0" applyFont="1" applyFill="1" applyBorder="1" applyAlignment="1">
      <alignment horizontal="center" wrapText="1"/>
    </xf>
    <xf numFmtId="37" fontId="4" fillId="9" borderId="10" xfId="0" applyFont="1" applyFill="1" applyBorder="1" applyAlignment="1">
      <alignment horizontal="center" wrapText="1"/>
    </xf>
    <xf numFmtId="37" fontId="4" fillId="6" borderId="17" xfId="0" applyFont="1" applyFill="1" applyBorder="1" applyAlignment="1">
      <alignment horizontal="center"/>
    </xf>
    <xf numFmtId="37" fontId="4" fillId="6" borderId="13" xfId="0" applyFont="1" applyFill="1" applyBorder="1" applyAlignment="1">
      <alignment horizontal="center"/>
    </xf>
    <xf numFmtId="37" fontId="4" fillId="6" borderId="18" xfId="0" applyFont="1" applyFill="1" applyBorder="1" applyAlignment="1">
      <alignment horizontal="center"/>
    </xf>
    <xf numFmtId="37" fontId="4" fillId="6" borderId="37" xfId="0" applyFont="1" applyFill="1" applyBorder="1" applyAlignment="1">
      <alignment horizontal="center"/>
    </xf>
    <xf numFmtId="37" fontId="4" fillId="6" borderId="11" xfId="0" applyFont="1" applyFill="1" applyBorder="1" applyAlignment="1">
      <alignment horizontal="center"/>
    </xf>
    <xf numFmtId="37" fontId="4" fillId="6" borderId="38" xfId="0" applyFont="1" applyFill="1" applyBorder="1" applyAlignment="1">
      <alignment horizontal="center"/>
    </xf>
    <xf numFmtId="37" fontId="4" fillId="6" borderId="1" xfId="0" applyFont="1" applyFill="1" applyBorder="1" applyAlignment="1">
      <alignment horizontal="center" wrapText="1"/>
    </xf>
    <xf numFmtId="37" fontId="4" fillId="0" borderId="24" xfId="0" quotePrefix="1" applyFont="1" applyFill="1" applyBorder="1" applyAlignment="1">
      <alignment horizontal="center" wrapText="1"/>
    </xf>
    <xf numFmtId="37" fontId="4" fillId="0" borderId="24" xfId="0" applyFont="1" applyFill="1" applyBorder="1" applyAlignment="1">
      <alignment horizontal="center" wrapText="1"/>
    </xf>
    <xf numFmtId="37" fontId="4" fillId="0" borderId="8" xfId="0" applyFont="1" applyFill="1" applyBorder="1" applyAlignment="1">
      <alignment horizontal="center" wrapText="1"/>
    </xf>
    <xf numFmtId="49" fontId="7" fillId="0" borderId="0" xfId="0" quotePrefix="1" applyNumberFormat="1" applyFont="1" applyFill="1" applyAlignment="1">
      <alignment horizontal="left" wrapText="1"/>
    </xf>
    <xf numFmtId="37" fontId="4" fillId="6" borderId="73" xfId="0" applyFont="1" applyFill="1" applyBorder="1" applyAlignment="1">
      <alignment horizontal="center" vertical="center"/>
    </xf>
    <xf numFmtId="37" fontId="4" fillId="6" borderId="30" xfId="0" applyFont="1" applyFill="1" applyBorder="1" applyAlignment="1">
      <alignment horizontal="center" vertical="center"/>
    </xf>
    <xf numFmtId="37" fontId="4" fillId="6" borderId="74" xfId="0" applyFont="1" applyFill="1" applyBorder="1" applyAlignment="1">
      <alignment horizontal="center" vertical="center"/>
    </xf>
    <xf numFmtId="37" fontId="4" fillId="6" borderId="17" xfId="0" applyFont="1" applyFill="1" applyBorder="1" applyAlignment="1">
      <alignment horizontal="center" vertical="center"/>
    </xf>
    <xf numFmtId="37" fontId="4" fillId="6" borderId="13" xfId="0" applyFont="1" applyFill="1" applyBorder="1" applyAlignment="1">
      <alignment horizontal="center" vertical="center"/>
    </xf>
    <xf numFmtId="37" fontId="4" fillId="6" borderId="18" xfId="0" applyFont="1" applyFill="1" applyBorder="1" applyAlignment="1">
      <alignment horizontal="center" vertical="center"/>
    </xf>
    <xf numFmtId="37" fontId="4" fillId="0" borderId="15" xfId="0" applyFont="1" applyFill="1" applyBorder="1" applyAlignment="1">
      <alignment horizontal="center" wrapText="1"/>
    </xf>
    <xf numFmtId="37" fontId="4" fillId="0" borderId="37" xfId="0" applyFont="1" applyFill="1" applyBorder="1" applyAlignment="1">
      <alignment horizontal="center" wrapText="1"/>
    </xf>
    <xf numFmtId="37" fontId="4" fillId="0" borderId="7" xfId="0" quotePrefix="1" applyFont="1" applyBorder="1" applyAlignment="1">
      <alignment horizontal="center" wrapText="1"/>
    </xf>
    <xf numFmtId="37" fontId="4" fillId="0" borderId="24" xfId="0" applyFont="1" applyBorder="1" applyAlignment="1">
      <alignment horizontal="center" wrapText="1"/>
    </xf>
    <xf numFmtId="37" fontId="4" fillId="0" borderId="8" xfId="0" applyFont="1" applyBorder="1" applyAlignment="1">
      <alignment horizontal="center" wrapText="1"/>
    </xf>
    <xf numFmtId="37" fontId="4" fillId="0" borderId="8" xfId="0" quotePrefix="1" applyFont="1" applyFill="1" applyBorder="1" applyAlignment="1">
      <alignment horizontal="center" wrapText="1"/>
    </xf>
    <xf numFmtId="37" fontId="7" fillId="0" borderId="12" xfId="0" applyFont="1" applyBorder="1" applyAlignment="1">
      <alignment horizontal="left" wrapText="1"/>
    </xf>
    <xf numFmtId="37" fontId="7" fillId="0" borderId="0" xfId="0" applyFont="1" applyAlignment="1">
      <alignment horizontal="left" wrapText="1"/>
    </xf>
    <xf numFmtId="37" fontId="4" fillId="6" borderId="1" xfId="0" quotePrefix="1" applyFont="1" applyFill="1" applyBorder="1" applyAlignment="1">
      <alignment horizontal="center" wrapText="1"/>
    </xf>
    <xf numFmtId="37" fontId="4" fillId="6" borderId="9" xfId="0" quotePrefix="1" applyFont="1" applyFill="1" applyBorder="1" applyAlignment="1">
      <alignment horizontal="center" wrapText="1"/>
    </xf>
    <xf numFmtId="37" fontId="4" fillId="6" borderId="69" xfId="0" applyFont="1" applyFill="1" applyBorder="1" applyAlignment="1">
      <alignment horizontal="center"/>
    </xf>
    <xf numFmtId="37" fontId="4" fillId="6" borderId="24" xfId="0" applyFont="1" applyFill="1" applyBorder="1" applyAlignment="1">
      <alignment horizontal="center" wrapText="1"/>
    </xf>
    <xf numFmtId="37" fontId="4" fillId="0" borderId="12" xfId="0" applyFont="1" applyBorder="1" applyAlignment="1">
      <alignment horizontal="center" vertical="center"/>
    </xf>
    <xf numFmtId="37" fontId="4" fillId="0" borderId="11" xfId="0" applyFont="1" applyBorder="1" applyAlignment="1">
      <alignment horizontal="center" vertical="center"/>
    </xf>
    <xf numFmtId="37" fontId="4" fillId="6" borderId="24" xfId="0" quotePrefix="1" applyFont="1" applyFill="1" applyBorder="1" applyAlignment="1">
      <alignment horizontal="center" wrapText="1"/>
    </xf>
    <xf numFmtId="37" fontId="4" fillId="6" borderId="8" xfId="0" quotePrefix="1" applyFont="1" applyFill="1" applyBorder="1" applyAlignment="1">
      <alignment horizontal="center" wrapText="1"/>
    </xf>
    <xf numFmtId="37" fontId="4" fillId="6" borderId="75" xfId="0" quotePrefix="1" applyFont="1" applyFill="1" applyBorder="1" applyAlignment="1">
      <alignment horizontal="center" wrapText="1"/>
    </xf>
    <xf numFmtId="37" fontId="4" fillId="6" borderId="66" xfId="0" quotePrefix="1" applyFont="1" applyFill="1" applyBorder="1" applyAlignment="1">
      <alignment horizontal="center" wrapText="1"/>
    </xf>
    <xf numFmtId="37" fontId="4" fillId="0" borderId="12" xfId="0" quotePrefix="1" applyFont="1" applyBorder="1" applyAlignment="1">
      <alignment horizontal="center" vertical="center"/>
    </xf>
    <xf numFmtId="37" fontId="4" fillId="0" borderId="11" xfId="0" quotePrefix="1" applyFont="1" applyBorder="1" applyAlignment="1">
      <alignment horizontal="center" vertical="center"/>
    </xf>
    <xf numFmtId="37" fontId="4" fillId="6" borderId="62" xfId="0" quotePrefix="1" applyFont="1" applyFill="1" applyBorder="1" applyAlignment="1">
      <alignment horizontal="center" wrapText="1"/>
    </xf>
    <xf numFmtId="37" fontId="4" fillId="6" borderId="63" xfId="0" applyFont="1" applyFill="1" applyBorder="1" applyAlignment="1">
      <alignment horizontal="center" wrapText="1"/>
    </xf>
    <xf numFmtId="37" fontId="4" fillId="7" borderId="12" xfId="0" applyFont="1" applyFill="1" applyBorder="1" applyAlignment="1">
      <alignment horizontal="center"/>
    </xf>
    <xf numFmtId="37" fontId="4" fillId="7" borderId="48" xfId="0" applyFont="1" applyFill="1" applyBorder="1" applyAlignment="1">
      <alignment horizontal="center"/>
    </xf>
    <xf numFmtId="0" fontId="7" fillId="0" borderId="12" xfId="5" quotePrefix="1" applyFont="1" applyBorder="1" applyAlignment="1">
      <alignment horizontal="left" wrapText="1"/>
    </xf>
    <xf numFmtId="0" fontId="7" fillId="0" borderId="0" xfId="5" quotePrefix="1" applyFont="1" applyAlignment="1">
      <alignment horizontal="left" wrapText="1"/>
    </xf>
    <xf numFmtId="37" fontId="4" fillId="7" borderId="41" xfId="0" quotePrefix="1" applyFont="1" applyFill="1" applyBorder="1" applyAlignment="1">
      <alignment horizontal="center" wrapText="1"/>
    </xf>
    <xf numFmtId="37" fontId="4" fillId="7" borderId="22" xfId="0" quotePrefix="1" applyFont="1" applyFill="1" applyBorder="1" applyAlignment="1">
      <alignment horizontal="center" wrapText="1"/>
    </xf>
    <xf numFmtId="37" fontId="4" fillId="7" borderId="42" xfId="0" quotePrefix="1" applyFont="1" applyFill="1" applyBorder="1" applyAlignment="1">
      <alignment horizontal="center" wrapText="1"/>
    </xf>
    <xf numFmtId="37" fontId="4" fillId="9" borderId="1" xfId="0" quotePrefix="1" applyFont="1" applyFill="1" applyBorder="1" applyAlignment="1">
      <alignment horizontal="center" wrapText="1"/>
    </xf>
    <xf numFmtId="37" fontId="4" fillId="9" borderId="9" xfId="0" quotePrefix="1" applyFont="1" applyFill="1" applyBorder="1" applyAlignment="1">
      <alignment horizontal="center" wrapText="1"/>
    </xf>
    <xf numFmtId="37" fontId="4" fillId="9" borderId="28" xfId="0" quotePrefix="1" applyFont="1" applyFill="1" applyBorder="1" applyAlignment="1">
      <alignment horizontal="center" wrapText="1"/>
    </xf>
    <xf numFmtId="37" fontId="4" fillId="9" borderId="29" xfId="0" quotePrefix="1" applyFont="1" applyFill="1" applyBorder="1" applyAlignment="1">
      <alignment horizontal="center" wrapText="1"/>
    </xf>
    <xf numFmtId="49" fontId="7" fillId="0" borderId="0" xfId="5" quotePrefix="1" applyNumberFormat="1" applyFont="1" applyAlignment="1">
      <alignment horizontal="left" wrapText="1"/>
    </xf>
    <xf numFmtId="37" fontId="4" fillId="6" borderId="24" xfId="0" quotePrefix="1" applyFont="1" applyFill="1" applyBorder="1" applyAlignment="1">
      <alignment horizontal="center"/>
    </xf>
    <xf numFmtId="37" fontId="4" fillId="6" borderId="8" xfId="0" applyFont="1" applyFill="1" applyBorder="1" applyAlignment="1">
      <alignment horizontal="center"/>
    </xf>
    <xf numFmtId="37" fontId="4" fillId="3" borderId="14" xfId="0" quotePrefix="1" applyFont="1" applyFill="1" applyBorder="1" applyAlignment="1">
      <alignment horizontal="center"/>
    </xf>
    <xf numFmtId="37" fontId="4" fillId="3" borderId="2" xfId="0" quotePrefix="1" applyFont="1" applyFill="1" applyBorder="1" applyAlignment="1">
      <alignment horizontal="center"/>
    </xf>
    <xf numFmtId="37" fontId="4" fillId="3" borderId="5" xfId="0" quotePrefix="1" applyFont="1" applyFill="1" applyBorder="1" applyAlignment="1">
      <alignment horizontal="center"/>
    </xf>
    <xf numFmtId="37" fontId="4" fillId="6" borderId="7" xfId="0" quotePrefix="1" applyFont="1" applyFill="1" applyBorder="1" applyAlignment="1">
      <alignment horizontal="center" wrapText="1"/>
    </xf>
    <xf numFmtId="37" fontId="4" fillId="0" borderId="12" xfId="0" quotePrefix="1" applyFont="1" applyBorder="1" applyAlignment="1">
      <alignment horizontal="right" vertical="center"/>
    </xf>
    <xf numFmtId="0" fontId="4" fillId="9" borderId="1" xfId="5" quotePrefix="1" applyFont="1" applyFill="1" applyBorder="1" applyAlignment="1">
      <alignment horizontal="center" wrapText="1"/>
    </xf>
    <xf numFmtId="0" fontId="4" fillId="9" borderId="9" xfId="5" quotePrefix="1" applyFont="1" applyFill="1" applyBorder="1" applyAlignment="1">
      <alignment horizontal="center" wrapText="1"/>
    </xf>
    <xf numFmtId="37" fontId="4" fillId="9" borderId="46" xfId="0" quotePrefix="1" applyFont="1" applyFill="1" applyBorder="1" applyAlignment="1">
      <alignment horizontal="center" wrapText="1"/>
    </xf>
    <xf numFmtId="37" fontId="4" fillId="9" borderId="47" xfId="0" quotePrefix="1" applyFont="1" applyFill="1" applyBorder="1" applyAlignment="1">
      <alignment horizontal="center" wrapText="1"/>
    </xf>
    <xf numFmtId="37" fontId="4" fillId="9" borderId="76" xfId="0" quotePrefix="1" applyFont="1" applyFill="1" applyBorder="1" applyAlignment="1">
      <alignment horizontal="center" wrapText="1"/>
    </xf>
    <xf numFmtId="37" fontId="4" fillId="9" borderId="77" xfId="0" quotePrefix="1" applyFont="1" applyFill="1" applyBorder="1" applyAlignment="1">
      <alignment horizontal="center" wrapText="1"/>
    </xf>
    <xf numFmtId="37" fontId="4" fillId="9" borderId="24" xfId="0" quotePrefix="1" applyFont="1" applyFill="1" applyBorder="1" applyAlignment="1">
      <alignment horizontal="center" wrapText="1"/>
    </xf>
    <xf numFmtId="37" fontId="4" fillId="9" borderId="8" xfId="0" quotePrefix="1" applyFont="1" applyFill="1" applyBorder="1" applyAlignment="1">
      <alignment horizontal="center" wrapText="1"/>
    </xf>
    <xf numFmtId="37" fontId="4" fillId="10" borderId="6" xfId="0" quotePrefix="1" applyNumberFormat="1" applyFont="1" applyFill="1" applyBorder="1" applyAlignment="1" applyProtection="1">
      <alignment horizontal="center" wrapText="1"/>
    </xf>
    <xf numFmtId="37" fontId="4" fillId="10" borderId="10" xfId="0" quotePrefix="1" applyNumberFormat="1" applyFont="1" applyFill="1" applyBorder="1" applyAlignment="1" applyProtection="1">
      <alignment horizontal="center" wrapText="1"/>
    </xf>
    <xf numFmtId="37" fontId="4" fillId="10" borderId="7" xfId="0" quotePrefix="1" applyNumberFormat="1" applyFont="1" applyFill="1" applyBorder="1" applyAlignment="1" applyProtection="1">
      <alignment horizontal="center" wrapText="1"/>
    </xf>
    <xf numFmtId="37" fontId="4" fillId="10" borderId="24" xfId="0" quotePrefix="1" applyNumberFormat="1" applyFont="1" applyFill="1" applyBorder="1" applyAlignment="1" applyProtection="1">
      <alignment horizontal="center" wrapText="1"/>
    </xf>
    <xf numFmtId="37" fontId="4" fillId="10" borderId="8" xfId="0" quotePrefix="1" applyNumberFormat="1" applyFont="1" applyFill="1" applyBorder="1" applyAlignment="1" applyProtection="1">
      <alignment horizontal="center" wrapText="1"/>
    </xf>
    <xf numFmtId="37" fontId="4" fillId="6" borderId="4" xfId="0" quotePrefix="1" applyNumberFormat="1" applyFont="1" applyFill="1" applyBorder="1" applyAlignment="1" applyProtection="1">
      <alignment horizontal="center" wrapText="1"/>
    </xf>
    <xf numFmtId="37" fontId="4" fillId="6" borderId="1" xfId="0" applyNumberFormat="1" applyFont="1" applyFill="1" applyBorder="1" applyAlignment="1" applyProtection="1">
      <alignment horizontal="center" wrapText="1"/>
    </xf>
    <xf numFmtId="37" fontId="4" fillId="6" borderId="9" xfId="0" applyNumberFormat="1" applyFont="1" applyFill="1" applyBorder="1" applyAlignment="1" applyProtection="1">
      <alignment horizontal="center" wrapText="1"/>
    </xf>
    <xf numFmtId="37" fontId="4" fillId="10" borderId="1" xfId="0" quotePrefix="1" applyFont="1" applyFill="1" applyBorder="1" applyAlignment="1">
      <alignment horizontal="center" wrapText="1"/>
    </xf>
    <xf numFmtId="37" fontId="4" fillId="10" borderId="9" xfId="0" applyFont="1" applyFill="1" applyBorder="1" applyAlignment="1">
      <alignment horizontal="center" wrapText="1"/>
    </xf>
    <xf numFmtId="37" fontId="4" fillId="11" borderId="62" xfId="0" quotePrefix="1" applyFont="1" applyFill="1" applyBorder="1" applyAlignment="1">
      <alignment horizontal="center" wrapText="1"/>
    </xf>
    <xf numFmtId="37" fontId="4" fillId="11" borderId="63" xfId="0" applyFont="1" applyFill="1" applyBorder="1" applyAlignment="1">
      <alignment horizontal="center" wrapText="1"/>
    </xf>
    <xf numFmtId="0" fontId="7" fillId="0" borderId="0" xfId="0" quotePrefix="1" applyNumberFormat="1" applyFont="1" applyAlignment="1">
      <alignment horizontal="left" vertical="top" wrapText="1"/>
    </xf>
    <xf numFmtId="37" fontId="4" fillId="0" borderId="17" xfId="0" applyFont="1" applyBorder="1" applyAlignment="1">
      <alignment horizontal="center"/>
    </xf>
    <xf numFmtId="37" fontId="4" fillId="0" borderId="13" xfId="0" applyFont="1" applyBorder="1" applyAlignment="1">
      <alignment horizontal="center"/>
    </xf>
    <xf numFmtId="37" fontId="4" fillId="0" borderId="18" xfId="0" applyFont="1" applyBorder="1" applyAlignment="1">
      <alignment horizontal="center"/>
    </xf>
    <xf numFmtId="37" fontId="4" fillId="6" borderId="14" xfId="0" quotePrefix="1" applyFont="1" applyFill="1" applyBorder="1" applyAlignment="1">
      <alignment horizontal="center" vertical="center" wrapText="1"/>
    </xf>
    <xf numFmtId="37" fontId="4" fillId="6" borderId="2" xfId="0" applyFont="1" applyFill="1" applyBorder="1" applyAlignment="1">
      <alignment horizontal="center" vertical="center" wrapText="1"/>
    </xf>
    <xf numFmtId="37" fontId="4" fillId="6" borderId="5" xfId="0" applyFont="1" applyFill="1" applyBorder="1" applyAlignment="1">
      <alignment horizontal="center" vertical="center" wrapText="1"/>
    </xf>
    <xf numFmtId="37" fontId="4" fillId="6" borderId="20" xfId="0" applyFont="1" applyFill="1" applyBorder="1" applyAlignment="1">
      <alignment horizontal="center" vertical="center" wrapText="1"/>
    </xf>
    <xf numFmtId="37" fontId="4" fillId="6" borderId="3" xfId="0" applyFont="1" applyFill="1" applyBorder="1" applyAlignment="1">
      <alignment horizontal="center" vertical="center" wrapText="1"/>
    </xf>
    <xf numFmtId="37" fontId="4" fillId="6" borderId="10" xfId="0" applyFont="1" applyFill="1" applyBorder="1" applyAlignment="1">
      <alignment horizontal="center" vertical="center" wrapText="1"/>
    </xf>
    <xf numFmtId="37" fontId="4" fillId="0" borderId="4" xfId="0" applyFont="1" applyBorder="1" applyAlignment="1">
      <alignment horizontal="center" vertical="center" wrapText="1"/>
    </xf>
    <xf numFmtId="37" fontId="4" fillId="0" borderId="1" xfId="0" applyFont="1" applyBorder="1" applyAlignment="1">
      <alignment horizontal="center" vertical="center" wrapText="1"/>
    </xf>
    <xf numFmtId="37" fontId="4" fillId="0" borderId="9" xfId="0" applyFont="1" applyBorder="1" applyAlignment="1">
      <alignment horizontal="center" vertical="center" wrapText="1"/>
    </xf>
    <xf numFmtId="37" fontId="4" fillId="0" borderId="62" xfId="0" quotePrefix="1" applyFont="1" applyBorder="1" applyAlignment="1">
      <alignment horizontal="center" wrapText="1"/>
    </xf>
    <xf numFmtId="37" fontId="4" fillId="0" borderId="63" xfId="0" quotePrefix="1" applyFont="1" applyBorder="1" applyAlignment="1">
      <alignment horizontal="center" wrapText="1"/>
    </xf>
    <xf numFmtId="37" fontId="4" fillId="0" borderId="1" xfId="0" quotePrefix="1" applyFont="1" applyBorder="1" applyAlignment="1">
      <alignment horizontal="center" wrapText="1"/>
    </xf>
    <xf numFmtId="37" fontId="4" fillId="0" borderId="9" xfId="0" quotePrefix="1" applyFont="1" applyBorder="1" applyAlignment="1">
      <alignment horizontal="center" wrapText="1"/>
    </xf>
    <xf numFmtId="37" fontId="4" fillId="6" borderId="14" xfId="0" applyFont="1" applyFill="1" applyBorder="1" applyAlignment="1">
      <alignment horizontal="center" vertical="center" wrapText="1"/>
    </xf>
    <xf numFmtId="37" fontId="4" fillId="0" borderId="17" xfId="0" applyFont="1" applyBorder="1" applyAlignment="1">
      <alignment horizontal="center" vertical="center"/>
    </xf>
    <xf numFmtId="37" fontId="4" fillId="0" borderId="13" xfId="0" applyFont="1" applyBorder="1" applyAlignment="1">
      <alignment horizontal="center" vertical="center"/>
    </xf>
    <xf numFmtId="37" fontId="4" fillId="0" borderId="18" xfId="0" applyFont="1" applyBorder="1" applyAlignment="1">
      <alignment horizontal="center" vertical="center"/>
    </xf>
    <xf numFmtId="0" fontId="7" fillId="0" borderId="0" xfId="2" quotePrefix="1" applyNumberFormat="1" applyFont="1" applyAlignment="1">
      <alignment horizontal="left" wrapText="1"/>
    </xf>
    <xf numFmtId="37" fontId="4" fillId="0" borderId="62" xfId="0" applyFont="1" applyBorder="1" applyAlignment="1">
      <alignment horizontal="center"/>
    </xf>
    <xf numFmtId="37" fontId="4" fillId="0" borderId="63" xfId="0" applyFont="1" applyBorder="1" applyAlignment="1">
      <alignment horizontal="center"/>
    </xf>
    <xf numFmtId="37" fontId="4" fillId="0" borderId="24" xfId="0" quotePrefix="1" applyFont="1" applyBorder="1" applyAlignment="1">
      <alignment horizontal="center" wrapText="1"/>
    </xf>
    <xf numFmtId="37" fontId="4" fillId="0" borderId="8" xfId="0" quotePrefix="1" applyFont="1" applyBorder="1" applyAlignment="1">
      <alignment horizontal="center" wrapText="1"/>
    </xf>
    <xf numFmtId="37" fontId="4" fillId="0" borderId="57" xfId="0" quotePrefix="1" applyFont="1" applyBorder="1" applyAlignment="1">
      <alignment horizontal="center" wrapText="1"/>
    </xf>
    <xf numFmtId="37" fontId="4" fillId="0" borderId="14" xfId="0" applyFont="1" applyBorder="1" applyAlignment="1">
      <alignment horizontal="center" vertical="center"/>
    </xf>
    <xf numFmtId="37" fontId="4" fillId="0" borderId="2" xfId="0" applyFont="1" applyBorder="1" applyAlignment="1">
      <alignment horizontal="center" vertical="center"/>
    </xf>
    <xf numFmtId="37" fontId="4" fillId="0" borderId="5" xfId="0" applyFont="1" applyBorder="1" applyAlignment="1">
      <alignment horizontal="center" vertical="center"/>
    </xf>
    <xf numFmtId="49" fontId="7" fillId="0" borderId="0" xfId="0" quotePrefix="1" applyNumberFormat="1" applyFont="1" applyAlignment="1">
      <alignment horizontal="left" wrapText="1"/>
    </xf>
    <xf numFmtId="49" fontId="7" fillId="0" borderId="12" xfId="0" quotePrefix="1" applyNumberFormat="1" applyFont="1" applyBorder="1" applyAlignment="1">
      <alignment horizontal="left" wrapText="1"/>
    </xf>
    <xf numFmtId="37" fontId="4" fillId="0" borderId="1" xfId="0" applyFont="1" applyBorder="1" applyAlignment="1">
      <alignment horizontal="center" wrapText="1"/>
    </xf>
    <xf numFmtId="0" fontId="7" fillId="0" borderId="12" xfId="0" quotePrefix="1" applyNumberFormat="1" applyFont="1" applyBorder="1" applyAlignment="1">
      <alignment horizontal="left" vertical="center" wrapText="1"/>
    </xf>
    <xf numFmtId="0" fontId="7" fillId="0" borderId="0" xfId="0" quotePrefix="1" applyNumberFormat="1" applyFont="1" applyBorder="1" applyAlignment="1">
      <alignment horizontal="left" vertical="center" wrapText="1"/>
    </xf>
    <xf numFmtId="37" fontId="4" fillId="6" borderId="32" xfId="8" applyNumberFormat="1" applyFont="1" applyFill="1" applyBorder="1" applyAlignment="1">
      <alignment horizontal="center" vertical="center"/>
    </xf>
    <xf numFmtId="37" fontId="4" fillId="6" borderId="25" xfId="8" applyNumberFormat="1" applyFont="1" applyFill="1" applyBorder="1" applyAlignment="1">
      <alignment horizontal="center" vertical="center"/>
    </xf>
    <xf numFmtId="37" fontId="4" fillId="6" borderId="27" xfId="8" applyNumberFormat="1" applyFont="1" applyFill="1" applyBorder="1" applyAlignment="1">
      <alignment horizontal="center" vertical="center"/>
    </xf>
    <xf numFmtId="37" fontId="4" fillId="7" borderId="32" xfId="0" applyFont="1" applyFill="1" applyBorder="1" applyAlignment="1">
      <alignment horizontal="center" vertical="center"/>
    </xf>
    <xf numFmtId="37" fontId="4" fillId="7" borderId="25" xfId="0" applyFont="1" applyFill="1" applyBorder="1" applyAlignment="1">
      <alignment horizontal="center" vertical="center"/>
    </xf>
    <xf numFmtId="37" fontId="4" fillId="7" borderId="27" xfId="0" applyFont="1" applyFill="1" applyBorder="1" applyAlignment="1">
      <alignment horizontal="center" vertical="center"/>
    </xf>
    <xf numFmtId="0" fontId="7" fillId="0" borderId="0" xfId="0" quotePrefix="1" applyNumberFormat="1" applyFont="1" applyBorder="1" applyAlignment="1">
      <alignment horizontal="left" wrapText="1"/>
    </xf>
    <xf numFmtId="37" fontId="7" fillId="0" borderId="2" xfId="9" quotePrefix="1" applyFont="1" applyBorder="1" applyAlignment="1">
      <alignment horizontal="left" vertical="center" wrapText="1"/>
    </xf>
    <xf numFmtId="37" fontId="7" fillId="0" borderId="0" xfId="9" quotePrefix="1" applyFont="1" applyAlignment="1">
      <alignment horizontal="left" vertical="center" wrapText="1"/>
    </xf>
    <xf numFmtId="37" fontId="4" fillId="8" borderId="4" xfId="0" applyFont="1" applyFill="1" applyBorder="1" applyAlignment="1">
      <alignment horizontal="center" wrapText="1"/>
    </xf>
    <xf numFmtId="37" fontId="4" fillId="8" borderId="9" xfId="0" applyFont="1" applyFill="1" applyBorder="1" applyAlignment="1">
      <alignment horizontal="center" wrapText="1"/>
    </xf>
    <xf numFmtId="37" fontId="4" fillId="8" borderId="49" xfId="0" applyFont="1" applyFill="1" applyBorder="1" applyAlignment="1">
      <alignment horizontal="center" wrapText="1"/>
    </xf>
    <xf numFmtId="37" fontId="4" fillId="8" borderId="50" xfId="0" applyFont="1" applyFill="1" applyBorder="1" applyAlignment="1">
      <alignment horizontal="center" wrapText="1"/>
    </xf>
    <xf numFmtId="49" fontId="4" fillId="0" borderId="0" xfId="7" applyNumberFormat="1" applyFont="1" applyFill="1" applyBorder="1" applyAlignment="1" applyProtection="1">
      <alignment horizontal="center"/>
    </xf>
    <xf numFmtId="39" fontId="4" fillId="0" borderId="2" xfId="7" applyFont="1" applyBorder="1" applyAlignment="1">
      <alignment horizontal="center" vertical="center"/>
    </xf>
    <xf numFmtId="39" fontId="4" fillId="0" borderId="3" xfId="7" applyFont="1" applyBorder="1" applyAlignment="1">
      <alignment horizontal="center" vertical="center"/>
    </xf>
    <xf numFmtId="37" fontId="4" fillId="8" borderId="14" xfId="0" applyFont="1" applyFill="1" applyBorder="1" applyAlignment="1">
      <alignment horizontal="center" wrapText="1"/>
    </xf>
    <xf numFmtId="37" fontId="4" fillId="8" borderId="5" xfId="0" applyFont="1" applyFill="1" applyBorder="1" applyAlignment="1">
      <alignment horizontal="center" wrapText="1"/>
    </xf>
    <xf numFmtId="0" fontId="4" fillId="8" borderId="2" xfId="6" quotePrefix="1" applyFont="1" applyFill="1" applyBorder="1" applyAlignment="1">
      <alignment horizontal="center" wrapText="1"/>
    </xf>
    <xf numFmtId="0" fontId="4" fillId="8" borderId="5" xfId="6" applyFont="1" applyFill="1" applyBorder="1" applyAlignment="1">
      <alignment horizontal="center" wrapText="1"/>
    </xf>
    <xf numFmtId="0" fontId="4" fillId="8" borderId="0" xfId="6" applyFont="1" applyFill="1" applyBorder="1" applyAlignment="1">
      <alignment horizontal="center" wrapText="1"/>
    </xf>
    <xf numFmtId="0" fontId="4" fillId="8" borderId="6" xfId="6" applyFont="1" applyFill="1" applyBorder="1" applyAlignment="1">
      <alignment horizontal="center" wrapText="1"/>
    </xf>
    <xf numFmtId="0" fontId="4" fillId="8" borderId="3" xfId="6" applyFont="1" applyFill="1" applyBorder="1" applyAlignment="1">
      <alignment horizontal="center" wrapText="1"/>
    </xf>
    <xf numFmtId="0" fontId="4" fillId="8" borderId="10" xfId="6" applyFont="1" applyFill="1" applyBorder="1" applyAlignment="1">
      <alignment horizontal="center" wrapText="1"/>
    </xf>
    <xf numFmtId="0" fontId="4" fillId="8" borderId="35" xfId="6" quotePrefix="1" applyFont="1" applyFill="1" applyBorder="1" applyAlignment="1">
      <alignment horizontal="center" wrapText="1"/>
    </xf>
    <xf numFmtId="0" fontId="4" fillId="8" borderId="12" xfId="6" applyFont="1" applyFill="1" applyBorder="1" applyAlignment="1">
      <alignment horizontal="center" wrapText="1"/>
    </xf>
    <xf numFmtId="0" fontId="4" fillId="8" borderId="36" xfId="6" applyFont="1" applyFill="1" applyBorder="1" applyAlignment="1">
      <alignment horizontal="center" wrapText="1"/>
    </xf>
    <xf numFmtId="0" fontId="4" fillId="8" borderId="15" xfId="6" applyFont="1" applyFill="1" applyBorder="1" applyAlignment="1">
      <alignment horizontal="center" wrapText="1"/>
    </xf>
    <xf numFmtId="0" fontId="4" fillId="8" borderId="31" xfId="6" applyFont="1" applyFill="1" applyBorder="1" applyAlignment="1">
      <alignment horizontal="center" wrapText="1"/>
    </xf>
    <xf numFmtId="0" fontId="4" fillId="8" borderId="37" xfId="6" applyFont="1" applyFill="1" applyBorder="1" applyAlignment="1">
      <alignment horizontal="center" wrapText="1"/>
    </xf>
    <xf numFmtId="0" fontId="4" fillId="8" borderId="11" xfId="6" applyFont="1" applyFill="1" applyBorder="1" applyAlignment="1">
      <alignment horizontal="center" wrapText="1"/>
    </xf>
    <xf numFmtId="0" fontId="4" fillId="8" borderId="38" xfId="6" applyFont="1" applyFill="1" applyBorder="1" applyAlignment="1">
      <alignment horizontal="center" wrapText="1"/>
    </xf>
    <xf numFmtId="0" fontId="7" fillId="0" borderId="12" xfId="6" quotePrefix="1" applyFont="1" applyBorder="1" applyAlignment="1">
      <alignment horizontal="left" wrapText="1"/>
    </xf>
    <xf numFmtId="37" fontId="0" fillId="0" borderId="12" xfId="0" applyBorder="1" applyAlignment="1">
      <alignment horizontal="left"/>
    </xf>
    <xf numFmtId="37" fontId="0" fillId="0" borderId="0" xfId="0" applyAlignment="1">
      <alignment horizontal="left"/>
    </xf>
    <xf numFmtId="37" fontId="4" fillId="7" borderId="16" xfId="0" quotePrefix="1" applyFont="1" applyFill="1" applyBorder="1" applyAlignment="1">
      <alignment horizontal="center" wrapText="1"/>
    </xf>
    <xf numFmtId="37" fontId="4" fillId="7" borderId="6" xfId="0" applyFont="1" applyFill="1" applyBorder="1" applyAlignment="1">
      <alignment horizontal="center" wrapText="1"/>
    </xf>
    <xf numFmtId="37" fontId="4" fillId="7" borderId="20" xfId="0" applyFont="1" applyFill="1" applyBorder="1" applyAlignment="1">
      <alignment horizontal="center" wrapText="1"/>
    </xf>
    <xf numFmtId="37" fontId="4" fillId="7" borderId="10" xfId="0" applyFont="1" applyFill="1" applyBorder="1" applyAlignment="1">
      <alignment horizontal="center" wrapText="1"/>
    </xf>
    <xf numFmtId="37" fontId="4" fillId="7" borderId="14" xfId="0" quotePrefix="1" applyFont="1" applyFill="1" applyBorder="1" applyAlignment="1">
      <alignment horizontal="center" wrapText="1"/>
    </xf>
    <xf numFmtId="37" fontId="4" fillId="7" borderId="5" xfId="0" applyFont="1" applyFill="1" applyBorder="1" applyAlignment="1">
      <alignment horizontal="center" wrapText="1"/>
    </xf>
    <xf numFmtId="37" fontId="4" fillId="7" borderId="16" xfId="0" applyFont="1" applyFill="1" applyBorder="1" applyAlignment="1">
      <alignment horizontal="center" wrapText="1"/>
    </xf>
    <xf numFmtId="37" fontId="4" fillId="7" borderId="0" xfId="0" quotePrefix="1" applyFont="1" applyFill="1" applyBorder="1" applyAlignment="1">
      <alignment horizontal="center" wrapText="1"/>
    </xf>
    <xf numFmtId="37" fontId="4" fillId="7" borderId="3" xfId="0" applyFont="1" applyFill="1" applyBorder="1" applyAlignment="1">
      <alignment horizontal="center" wrapText="1"/>
    </xf>
    <xf numFmtId="37" fontId="4" fillId="7" borderId="35" xfId="0" quotePrefix="1" applyFont="1" applyFill="1" applyBorder="1" applyAlignment="1">
      <alignment horizontal="center" wrapText="1"/>
    </xf>
    <xf numFmtId="37" fontId="4" fillId="7" borderId="36" xfId="0" applyFont="1" applyFill="1" applyBorder="1" applyAlignment="1">
      <alignment horizontal="center" wrapText="1"/>
    </xf>
    <xf numFmtId="37" fontId="4" fillId="7" borderId="15" xfId="0" applyFont="1" applyFill="1" applyBorder="1" applyAlignment="1">
      <alignment horizontal="center" wrapText="1"/>
    </xf>
    <xf numFmtId="37" fontId="4" fillId="7" borderId="31" xfId="0" applyFont="1" applyFill="1" applyBorder="1" applyAlignment="1">
      <alignment horizontal="center" wrapText="1"/>
    </xf>
    <xf numFmtId="37" fontId="4" fillId="7" borderId="37" xfId="0" applyFont="1" applyFill="1" applyBorder="1" applyAlignment="1">
      <alignment horizontal="center" wrapText="1"/>
    </xf>
    <xf numFmtId="37" fontId="4" fillId="7" borderId="38" xfId="0" applyFont="1" applyFill="1" applyBorder="1" applyAlignment="1">
      <alignment horizontal="center" wrapText="1"/>
    </xf>
    <xf numFmtId="37" fontId="26" fillId="14" borderId="37" xfId="0" quotePrefix="1" applyFont="1" applyFill="1" applyBorder="1" applyAlignment="1">
      <alignment horizontal="center"/>
    </xf>
    <xf numFmtId="37" fontId="26" fillId="14" borderId="11" xfId="0" applyFont="1" applyFill="1" applyBorder="1" applyAlignment="1">
      <alignment horizontal="center"/>
    </xf>
    <xf numFmtId="37" fontId="26" fillId="14" borderId="38" xfId="0" applyFont="1" applyFill="1" applyBorder="1" applyAlignment="1">
      <alignment horizontal="center"/>
    </xf>
    <xf numFmtId="37" fontId="7" fillId="0" borderId="0" xfId="0" applyFont="1" applyAlignment="1">
      <alignment horizontal="center" wrapText="1"/>
    </xf>
  </cellXfs>
  <cellStyles count="10">
    <cellStyle name="BODY" xfId="1"/>
    <cellStyle name="Comma" xfId="2" builtinId="3"/>
    <cellStyle name="Comma_Direct Support" xfId="3"/>
    <cellStyle name="Hyperlink" xfId="4" builtinId="8"/>
    <cellStyle name="Normal" xfId="0" builtinId="0"/>
    <cellStyle name="Normal 2" xfId="9"/>
    <cellStyle name="Normal_06 07 new frame pages" xfId="5"/>
    <cellStyle name="Normal_Direct Support" xfId="6"/>
    <cellStyle name="Normal_Draft Personnel_ 10B" xfId="7"/>
    <cellStyle name="Percent" xfId="8" builtinId="5"/>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514350</xdr:colOff>
          <xdr:row>1</xdr:row>
          <xdr:rowOff>76200</xdr:rowOff>
        </xdr:from>
        <xdr:to>
          <xdr:col>4</xdr:col>
          <xdr:colOff>581025</xdr:colOff>
          <xdr:row>3</xdr:row>
          <xdr:rowOff>47625</xdr:rowOff>
        </xdr:to>
        <xdr:sp macro="" textlink="">
          <xdr:nvSpPr>
            <xdr:cNvPr id="225281" name="Button 1" hidden="1">
              <a:extLst>
                <a:ext uri="{63B3BB69-23CF-44E3-9099-C40C66FF867C}">
                  <a14:compatExt spid="_x0000_s22528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900" b="0" i="0" u="none" strike="noStrike" baseline="0">
                  <a:solidFill>
                    <a:srgbClr val="000000"/>
                  </a:solidFill>
                  <a:latin typeface="Times New Roman"/>
                  <a:cs typeface="Times New Roman"/>
                </a:rPr>
                <a:t>Insert Draft Only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xdr:row>
          <xdr:rowOff>85725</xdr:rowOff>
        </xdr:from>
        <xdr:to>
          <xdr:col>6</xdr:col>
          <xdr:colOff>95250</xdr:colOff>
          <xdr:row>3</xdr:row>
          <xdr:rowOff>47625</xdr:rowOff>
        </xdr:to>
        <xdr:sp macro="" textlink="">
          <xdr:nvSpPr>
            <xdr:cNvPr id="225282" name="Button 2" hidden="1">
              <a:extLst>
                <a:ext uri="{63B3BB69-23CF-44E3-9099-C40C66FF867C}">
                  <a14:compatExt spid="_x0000_s22528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900" b="0" i="0" u="none" strike="noStrike" baseline="0">
                  <a:solidFill>
                    <a:srgbClr val="000000"/>
                  </a:solidFill>
                  <a:latin typeface="Times New Roman"/>
                  <a:cs typeface="Times New Roman"/>
                </a:rPr>
                <a:t>Delete Draft Only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609600</xdr:colOff>
          <xdr:row>1</xdr:row>
          <xdr:rowOff>66675</xdr:rowOff>
        </xdr:from>
        <xdr:to>
          <xdr:col>8</xdr:col>
          <xdr:colOff>66675</xdr:colOff>
          <xdr:row>3</xdr:row>
          <xdr:rowOff>28575</xdr:rowOff>
        </xdr:to>
        <xdr:sp macro="" textlink="">
          <xdr:nvSpPr>
            <xdr:cNvPr id="225283" name="Button 3" hidden="1">
              <a:extLst>
                <a:ext uri="{63B3BB69-23CF-44E3-9099-C40C66FF867C}">
                  <a14:compatExt spid="_x0000_s22528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900" b="0" i="0" u="none" strike="noStrike" baseline="0">
                  <a:solidFill>
                    <a:srgbClr val="000000"/>
                  </a:solidFill>
                  <a:latin typeface="Times New Roman"/>
                  <a:cs typeface="Times New Roman"/>
                </a:rPr>
                <a:t>Go to A1 in each page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9-10%20FRAME%20Act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dusfb/Age%20and%20Area/Age%20and%20Area%202006-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dusfb/Internet%20Projects/Forms/_Web%20Site/FB115A_F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08-09%20FRAME%20Budg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 3 -"/>
      <sheetName val="- 4 -"/>
      <sheetName val="- 6 -"/>
      <sheetName val="- 7 -"/>
      <sheetName val="- 8 -"/>
      <sheetName val="- 9 -"/>
      <sheetName val="- 10 -"/>
      <sheetName val="- 12 -"/>
      <sheetName val="- 13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1 -"/>
      <sheetName val="- 42 -"/>
      <sheetName val="- 43 -"/>
      <sheetName val="- 44 -"/>
      <sheetName val="- 45 -"/>
      <sheetName val="- 46 -"/>
      <sheetName val="- 47 -"/>
      <sheetName val="- 48 -"/>
      <sheetName val="- 49 -"/>
      <sheetName val="- 50 -"/>
      <sheetName val="- 51 -"/>
      <sheetName val="- 52 -"/>
      <sheetName val="- 54 -"/>
      <sheetName val="- 55 - "/>
      <sheetName val="- 56 -"/>
      <sheetName val="- 58 -"/>
      <sheetName val="- 59 -"/>
      <sheetName val="- 60 -"/>
      <sheetName val="- 61 -"/>
      <sheetName val="- 62 -"/>
      <sheetName val="- 63 -"/>
      <sheetName val="- 64 -"/>
      <sheetName val="- 65 -"/>
      <sheetName val="- 66 -"/>
      <sheetName val="- 67 -"/>
      <sheetName val="Data"/>
    </sheetNames>
    <sheetDataSet>
      <sheetData sheetId="0"/>
      <sheetData sheetId="1">
        <row r="3">
          <cell r="A3" t="str">
            <v>OPERATING FUND 2009/2010 ACTUAL</v>
          </cell>
        </row>
      </sheetData>
      <sheetData sheetId="2"/>
      <sheetData sheetId="3">
        <row r="3">
          <cell r="B3" t="str">
            <v>ACTUAL SEPTEMBER 30, 2009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B1" t="str">
            <v>ANALYSIS OF OPERATING FUND REVENUE: 2009/2010 ACTUAL</v>
          </cell>
        </row>
      </sheetData>
      <sheetData sheetId="37"/>
      <sheetData sheetId="38"/>
      <sheetData sheetId="39"/>
      <sheetData sheetId="40"/>
      <sheetData sheetId="41"/>
      <sheetData sheetId="42"/>
      <sheetData sheetId="43"/>
      <sheetData sheetId="44"/>
      <sheetData sheetId="45"/>
      <sheetData sheetId="46">
        <row r="3">
          <cell r="B3" t="str">
            <v>FOR THE 2009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B4" t="str">
            <v>2008/09</v>
          </cell>
        </row>
        <row r="5">
          <cell r="B5" t="str">
            <v>2009/10</v>
          </cell>
        </row>
        <row r="6">
          <cell r="B6">
            <v>2009</v>
          </cell>
        </row>
        <row r="7">
          <cell r="B7" t="str">
            <v>2010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D"/>
      <sheetName val="Data"/>
      <sheetName val="Form"/>
      <sheetName val="WI"/>
      <sheetName val="List"/>
      <sheetName val="Decades"/>
      <sheetName val="TU's"/>
      <sheetName val="Summary"/>
      <sheetName val="Summary (2)"/>
      <sheetName val="Colony Form"/>
      <sheetName val="Rented Space"/>
    </sheetNames>
    <sheetDataSet>
      <sheetData sheetId="0"/>
      <sheetData sheetId="1">
        <row r="9">
          <cell r="A9" t="str">
            <v>BE</v>
          </cell>
        </row>
        <row r="10">
          <cell r="A10" t="str">
            <v>BE</v>
          </cell>
        </row>
        <row r="11">
          <cell r="A11" t="str">
            <v>BE</v>
          </cell>
        </row>
        <row r="12">
          <cell r="A12" t="str">
            <v>BE</v>
          </cell>
        </row>
        <row r="13">
          <cell r="A13" t="str">
            <v>BE</v>
          </cell>
        </row>
        <row r="14">
          <cell r="A14" t="str">
            <v>BE</v>
          </cell>
        </row>
        <row r="15">
          <cell r="A15" t="str">
            <v>BE</v>
          </cell>
        </row>
        <row r="16">
          <cell r="A16" t="str">
            <v>BE</v>
          </cell>
        </row>
        <row r="17">
          <cell r="A17" t="str">
            <v>BE</v>
          </cell>
        </row>
        <row r="18">
          <cell r="A18" t="str">
            <v>BE</v>
          </cell>
        </row>
        <row r="19">
          <cell r="A19" t="str">
            <v>BE</v>
          </cell>
        </row>
        <row r="20">
          <cell r="A20" t="str">
            <v>BE</v>
          </cell>
        </row>
        <row r="21">
          <cell r="A21" t="str">
            <v>BE</v>
          </cell>
        </row>
        <row r="22">
          <cell r="A22" t="str">
            <v>BE</v>
          </cell>
        </row>
        <row r="23">
          <cell r="A23" t="str">
            <v>BO</v>
          </cell>
        </row>
        <row r="24">
          <cell r="A24" t="str">
            <v>BO</v>
          </cell>
        </row>
        <row r="25">
          <cell r="A25" t="str">
            <v>BO</v>
          </cell>
        </row>
        <row r="26">
          <cell r="A26" t="str">
            <v>BO</v>
          </cell>
        </row>
        <row r="27">
          <cell r="A27" t="str">
            <v>BO</v>
          </cell>
        </row>
        <row r="28">
          <cell r="A28" t="str">
            <v>BO</v>
          </cell>
        </row>
        <row r="29">
          <cell r="A29" t="str">
            <v>BO</v>
          </cell>
        </row>
        <row r="30">
          <cell r="A30" t="str">
            <v>BO</v>
          </cell>
        </row>
        <row r="31">
          <cell r="A31" t="str">
            <v>BO</v>
          </cell>
        </row>
        <row r="32">
          <cell r="A32" t="str">
            <v>BO</v>
          </cell>
        </row>
        <row r="33">
          <cell r="A33" t="str">
            <v>BO</v>
          </cell>
        </row>
        <row r="34">
          <cell r="A34" t="str">
            <v>BO</v>
          </cell>
        </row>
        <row r="35">
          <cell r="A35" t="str">
            <v>BO</v>
          </cell>
        </row>
        <row r="36">
          <cell r="A36" t="str">
            <v>BO</v>
          </cell>
        </row>
        <row r="37">
          <cell r="A37" t="str">
            <v>BO</v>
          </cell>
        </row>
        <row r="38">
          <cell r="A38" t="str">
            <v>BR</v>
          </cell>
        </row>
        <row r="39">
          <cell r="A39" t="str">
            <v>BR</v>
          </cell>
        </row>
        <row r="40">
          <cell r="A40" t="str">
            <v>BR</v>
          </cell>
        </row>
        <row r="41">
          <cell r="A41" t="str">
            <v>BR</v>
          </cell>
        </row>
        <row r="42">
          <cell r="A42" t="str">
            <v>BR</v>
          </cell>
        </row>
        <row r="43">
          <cell r="A43" t="str">
            <v>BR</v>
          </cell>
        </row>
        <row r="44">
          <cell r="A44" t="str">
            <v>BR</v>
          </cell>
        </row>
        <row r="45">
          <cell r="A45" t="str">
            <v>BR</v>
          </cell>
        </row>
        <row r="46">
          <cell r="A46" t="str">
            <v>BR</v>
          </cell>
        </row>
        <row r="47">
          <cell r="A47" t="str">
            <v>BR</v>
          </cell>
        </row>
        <row r="48">
          <cell r="A48" t="str">
            <v>BR</v>
          </cell>
        </row>
        <row r="49">
          <cell r="A49" t="str">
            <v>BR</v>
          </cell>
        </row>
        <row r="50">
          <cell r="A50" t="str">
            <v>BR</v>
          </cell>
        </row>
        <row r="51">
          <cell r="A51" t="str">
            <v>BR</v>
          </cell>
        </row>
        <row r="52">
          <cell r="A52" t="str">
            <v>BR</v>
          </cell>
        </row>
        <row r="53">
          <cell r="A53" t="str">
            <v>BR</v>
          </cell>
        </row>
        <row r="54">
          <cell r="A54" t="str">
            <v>BR</v>
          </cell>
        </row>
        <row r="55">
          <cell r="A55" t="str">
            <v>BR</v>
          </cell>
        </row>
        <row r="57">
          <cell r="A57" t="str">
            <v>BR</v>
          </cell>
        </row>
        <row r="58">
          <cell r="A58" t="str">
            <v>BR</v>
          </cell>
        </row>
        <row r="59">
          <cell r="A59" t="str">
            <v>BR</v>
          </cell>
        </row>
        <row r="60">
          <cell r="A60" t="str">
            <v>DI</v>
          </cell>
        </row>
        <row r="61">
          <cell r="A61" t="str">
            <v>DI</v>
          </cell>
        </row>
        <row r="62">
          <cell r="A62" t="str">
            <v>DI</v>
          </cell>
        </row>
        <row r="64">
          <cell r="A64" t="str">
            <v>DI</v>
          </cell>
        </row>
        <row r="65">
          <cell r="A65" t="str">
            <v>DI</v>
          </cell>
        </row>
        <row r="66">
          <cell r="A66" t="str">
            <v>DI</v>
          </cell>
        </row>
        <row r="67">
          <cell r="A67" t="str">
            <v>DI</v>
          </cell>
        </row>
        <row r="68">
          <cell r="A68" t="str">
            <v>DI</v>
          </cell>
        </row>
        <row r="70">
          <cell r="A70" t="str">
            <v>DI</v>
          </cell>
        </row>
        <row r="71">
          <cell r="A71" t="str">
            <v>DI</v>
          </cell>
        </row>
        <row r="72">
          <cell r="A72" t="str">
            <v>DI</v>
          </cell>
        </row>
        <row r="73">
          <cell r="A73" t="str">
            <v>DI</v>
          </cell>
        </row>
        <row r="74">
          <cell r="A74" t="str">
            <v>DI</v>
          </cell>
        </row>
        <row r="75">
          <cell r="A75" t="str">
            <v>DI</v>
          </cell>
        </row>
        <row r="76">
          <cell r="A76" t="str">
            <v>DI</v>
          </cell>
        </row>
        <row r="77">
          <cell r="A77" t="str">
            <v>DI</v>
          </cell>
        </row>
        <row r="78">
          <cell r="A78" t="str">
            <v>DI</v>
          </cell>
        </row>
        <row r="79">
          <cell r="A79" t="str">
            <v>DI</v>
          </cell>
        </row>
        <row r="80">
          <cell r="A80" t="str">
            <v>DI</v>
          </cell>
        </row>
        <row r="81">
          <cell r="A81" t="str">
            <v>DI</v>
          </cell>
        </row>
        <row r="82">
          <cell r="A82" t="str">
            <v>EV</v>
          </cell>
        </row>
        <row r="83">
          <cell r="A83" t="str">
            <v>EV</v>
          </cell>
        </row>
        <row r="84">
          <cell r="A84" t="str">
            <v>EV</v>
          </cell>
        </row>
        <row r="85">
          <cell r="A85" t="str">
            <v>EV</v>
          </cell>
        </row>
        <row r="86">
          <cell r="A86" t="str">
            <v>EV</v>
          </cell>
        </row>
        <row r="88">
          <cell r="A88" t="str">
            <v>EV</v>
          </cell>
        </row>
        <row r="89">
          <cell r="A89" t="str">
            <v>EV</v>
          </cell>
        </row>
        <row r="90">
          <cell r="A90" t="str">
            <v>FL</v>
          </cell>
        </row>
        <row r="91">
          <cell r="A91" t="str">
            <v>FL</v>
          </cell>
        </row>
        <row r="92">
          <cell r="A92" t="str">
            <v>FL</v>
          </cell>
        </row>
        <row r="93">
          <cell r="A93" t="str">
            <v>FL</v>
          </cell>
        </row>
        <row r="94">
          <cell r="A94" t="str">
            <v>FO</v>
          </cell>
        </row>
        <row r="95">
          <cell r="A95" t="str">
            <v>FO</v>
          </cell>
        </row>
        <row r="96">
          <cell r="A96" t="str">
            <v>FO</v>
          </cell>
        </row>
        <row r="97">
          <cell r="A97" t="str">
            <v>FO</v>
          </cell>
        </row>
        <row r="98">
          <cell r="A98" t="str">
            <v>FO</v>
          </cell>
        </row>
        <row r="99">
          <cell r="A99" t="str">
            <v>FO</v>
          </cell>
        </row>
        <row r="100">
          <cell r="A100" t="str">
            <v>FO</v>
          </cell>
        </row>
        <row r="101">
          <cell r="A101" t="str">
            <v>FO</v>
          </cell>
        </row>
        <row r="102">
          <cell r="A102" t="str">
            <v>FO</v>
          </cell>
        </row>
        <row r="103">
          <cell r="A103" t="str">
            <v>FO</v>
          </cell>
        </row>
        <row r="104">
          <cell r="A104" t="str">
            <v>FO</v>
          </cell>
        </row>
        <row r="105">
          <cell r="A105" t="str">
            <v>FR</v>
          </cell>
        </row>
        <row r="106">
          <cell r="A106" t="str">
            <v>FR</v>
          </cell>
        </row>
        <row r="107">
          <cell r="A107" t="str">
            <v>FR</v>
          </cell>
        </row>
        <row r="108">
          <cell r="A108" t="str">
            <v>FR</v>
          </cell>
        </row>
        <row r="109">
          <cell r="A109" t="str">
            <v>FR</v>
          </cell>
        </row>
        <row r="110">
          <cell r="A110" t="str">
            <v>FR</v>
          </cell>
        </row>
        <row r="111">
          <cell r="A111" t="str">
            <v>FR</v>
          </cell>
        </row>
        <row r="112">
          <cell r="A112" t="str">
            <v>FR</v>
          </cell>
        </row>
        <row r="113">
          <cell r="A113" t="str">
            <v>FR</v>
          </cell>
        </row>
        <row r="114">
          <cell r="A114" t="str">
            <v>FR</v>
          </cell>
        </row>
        <row r="115">
          <cell r="A115" t="str">
            <v>FR</v>
          </cell>
        </row>
        <row r="116">
          <cell r="A116" t="str">
            <v>FR</v>
          </cell>
        </row>
        <row r="117">
          <cell r="A117" t="str">
            <v>FR</v>
          </cell>
        </row>
        <row r="118">
          <cell r="A118" t="str">
            <v>FR</v>
          </cell>
        </row>
        <row r="119">
          <cell r="A119" t="str">
            <v>FR</v>
          </cell>
        </row>
        <row r="120">
          <cell r="A120" t="str">
            <v>FR</v>
          </cell>
        </row>
        <row r="121">
          <cell r="A121" t="str">
            <v>FR</v>
          </cell>
        </row>
        <row r="122">
          <cell r="A122" t="str">
            <v>FR</v>
          </cell>
        </row>
        <row r="123">
          <cell r="A123" t="str">
            <v>FR</v>
          </cell>
        </row>
        <row r="124">
          <cell r="A124" t="str">
            <v>FR</v>
          </cell>
        </row>
        <row r="125">
          <cell r="A125" t="str">
            <v>FR</v>
          </cell>
        </row>
        <row r="126">
          <cell r="A126" t="str">
            <v>FR</v>
          </cell>
        </row>
        <row r="127">
          <cell r="A127" t="str">
            <v>FR</v>
          </cell>
        </row>
        <row r="128">
          <cell r="A128" t="str">
            <v>FR</v>
          </cell>
        </row>
        <row r="129">
          <cell r="A129" t="str">
            <v>FR</v>
          </cell>
        </row>
        <row r="130">
          <cell r="A130" t="str">
            <v>FR</v>
          </cell>
        </row>
        <row r="131">
          <cell r="A131" t="str">
            <v>FR</v>
          </cell>
        </row>
        <row r="132">
          <cell r="A132" t="str">
            <v>FR</v>
          </cell>
        </row>
        <row r="133">
          <cell r="A133" t="str">
            <v>FR</v>
          </cell>
        </row>
        <row r="134">
          <cell r="A134" t="str">
            <v>FR</v>
          </cell>
        </row>
        <row r="135">
          <cell r="A135" t="str">
            <v>FR</v>
          </cell>
        </row>
        <row r="136">
          <cell r="A136" t="str">
            <v>FR</v>
          </cell>
        </row>
        <row r="137">
          <cell r="A137" t="str">
            <v>FR</v>
          </cell>
        </row>
        <row r="138">
          <cell r="A138" t="str">
            <v>FR</v>
          </cell>
        </row>
        <row r="139">
          <cell r="A139" t="str">
            <v>FR</v>
          </cell>
        </row>
        <row r="140">
          <cell r="A140" t="str">
            <v>FR</v>
          </cell>
        </row>
        <row r="141">
          <cell r="A141" t="str">
            <v>FR</v>
          </cell>
        </row>
        <row r="142">
          <cell r="A142" t="str">
            <v>FR</v>
          </cell>
        </row>
        <row r="143">
          <cell r="A143" t="str">
            <v>FR</v>
          </cell>
        </row>
        <row r="144">
          <cell r="A144" t="str">
            <v>GA</v>
          </cell>
        </row>
        <row r="145">
          <cell r="A145" t="str">
            <v>GA</v>
          </cell>
        </row>
        <row r="146">
          <cell r="A146" t="str">
            <v>GA</v>
          </cell>
        </row>
        <row r="147">
          <cell r="A147" t="str">
            <v>GA</v>
          </cell>
        </row>
        <row r="148">
          <cell r="A148" t="str">
            <v>GA</v>
          </cell>
        </row>
        <row r="149">
          <cell r="A149" t="str">
            <v>GA</v>
          </cell>
        </row>
        <row r="150">
          <cell r="A150" t="str">
            <v>GA</v>
          </cell>
        </row>
        <row r="151">
          <cell r="A151" t="str">
            <v>GA</v>
          </cell>
        </row>
        <row r="152">
          <cell r="A152" t="str">
            <v>GA</v>
          </cell>
        </row>
        <row r="153">
          <cell r="A153" t="str">
            <v>GA</v>
          </cell>
        </row>
        <row r="154">
          <cell r="A154" t="str">
            <v>HA</v>
          </cell>
        </row>
        <row r="155">
          <cell r="A155" t="str">
            <v>HA</v>
          </cell>
        </row>
        <row r="156">
          <cell r="A156" t="str">
            <v>HA</v>
          </cell>
        </row>
        <row r="157">
          <cell r="A157" t="str">
            <v>HA</v>
          </cell>
        </row>
        <row r="158">
          <cell r="A158" t="str">
            <v>HA</v>
          </cell>
        </row>
        <row r="159">
          <cell r="A159" t="str">
            <v>HA</v>
          </cell>
        </row>
        <row r="160">
          <cell r="A160" t="str">
            <v>HA</v>
          </cell>
        </row>
        <row r="161">
          <cell r="A161" t="str">
            <v>HA</v>
          </cell>
        </row>
        <row r="162">
          <cell r="A162" t="str">
            <v>HA</v>
          </cell>
        </row>
        <row r="163">
          <cell r="A163" t="str">
            <v>HA</v>
          </cell>
        </row>
        <row r="164">
          <cell r="A164" t="str">
            <v>HA</v>
          </cell>
        </row>
        <row r="165">
          <cell r="A165" t="str">
            <v>HA</v>
          </cell>
        </row>
        <row r="166">
          <cell r="A166" t="str">
            <v>HA</v>
          </cell>
        </row>
        <row r="167">
          <cell r="A167" t="str">
            <v>HA</v>
          </cell>
        </row>
        <row r="168">
          <cell r="A168" t="str">
            <v>HA</v>
          </cell>
        </row>
        <row r="169">
          <cell r="A169" t="str">
            <v>HA</v>
          </cell>
        </row>
        <row r="170">
          <cell r="A170" t="str">
            <v>HA</v>
          </cell>
        </row>
        <row r="171">
          <cell r="A171" t="str">
            <v>IN</v>
          </cell>
        </row>
        <row r="172">
          <cell r="A172" t="str">
            <v>IN</v>
          </cell>
        </row>
        <row r="173">
          <cell r="A173" t="str">
            <v>IN</v>
          </cell>
        </row>
        <row r="174">
          <cell r="A174" t="str">
            <v>IN</v>
          </cell>
        </row>
        <row r="175">
          <cell r="A175" t="str">
            <v>IN</v>
          </cell>
        </row>
        <row r="176">
          <cell r="A176" t="str">
            <v>IN</v>
          </cell>
        </row>
        <row r="177">
          <cell r="A177" t="str">
            <v>IN</v>
          </cell>
        </row>
        <row r="178">
          <cell r="A178" t="str">
            <v>IN</v>
          </cell>
        </row>
        <row r="179">
          <cell r="A179" t="str">
            <v>IN</v>
          </cell>
        </row>
        <row r="180">
          <cell r="A180" t="str">
            <v>IN</v>
          </cell>
        </row>
        <row r="181">
          <cell r="A181" t="str">
            <v>IN</v>
          </cell>
        </row>
        <row r="182">
          <cell r="A182" t="str">
            <v>IN</v>
          </cell>
        </row>
        <row r="183">
          <cell r="A183" t="str">
            <v>IN</v>
          </cell>
        </row>
        <row r="184">
          <cell r="A184" t="str">
            <v>IN</v>
          </cell>
        </row>
        <row r="185">
          <cell r="A185" t="str">
            <v>IN</v>
          </cell>
        </row>
        <row r="186">
          <cell r="A186" t="str">
            <v>IN</v>
          </cell>
        </row>
        <row r="187">
          <cell r="A187" t="str">
            <v>IN</v>
          </cell>
        </row>
        <row r="188">
          <cell r="A188" t="str">
            <v>IN</v>
          </cell>
        </row>
        <row r="189">
          <cell r="A189" t="str">
            <v>IN</v>
          </cell>
        </row>
        <row r="190">
          <cell r="A190" t="str">
            <v>IN</v>
          </cell>
        </row>
        <row r="191">
          <cell r="A191" t="str">
            <v>IN</v>
          </cell>
        </row>
        <row r="192">
          <cell r="A192" t="str">
            <v>KE</v>
          </cell>
        </row>
        <row r="193">
          <cell r="A193" t="str">
            <v>KE</v>
          </cell>
        </row>
        <row r="194">
          <cell r="A194" t="str">
            <v>KE</v>
          </cell>
        </row>
        <row r="195">
          <cell r="A195" t="str">
            <v>KE</v>
          </cell>
        </row>
        <row r="196">
          <cell r="A196" t="str">
            <v>KE</v>
          </cell>
        </row>
        <row r="197">
          <cell r="A197" t="str">
            <v>LA</v>
          </cell>
        </row>
        <row r="198">
          <cell r="A198" t="str">
            <v>LA</v>
          </cell>
        </row>
        <row r="200">
          <cell r="A200" t="str">
            <v>LA</v>
          </cell>
        </row>
        <row r="201">
          <cell r="A201" t="str">
            <v>LA</v>
          </cell>
        </row>
        <row r="202">
          <cell r="A202" t="str">
            <v>LA</v>
          </cell>
        </row>
        <row r="203">
          <cell r="A203" t="str">
            <v>LA</v>
          </cell>
        </row>
        <row r="204">
          <cell r="A204" t="str">
            <v>LA</v>
          </cell>
        </row>
        <row r="205">
          <cell r="A205" t="str">
            <v>LA</v>
          </cell>
        </row>
        <row r="206">
          <cell r="A206" t="str">
            <v>LA</v>
          </cell>
        </row>
        <row r="207">
          <cell r="A207" t="str">
            <v>LO</v>
          </cell>
        </row>
        <row r="208">
          <cell r="A208" t="str">
            <v>LO</v>
          </cell>
        </row>
        <row r="210">
          <cell r="A210" t="str">
            <v>LO</v>
          </cell>
        </row>
        <row r="211">
          <cell r="A211" t="str">
            <v>LO</v>
          </cell>
        </row>
        <row r="212">
          <cell r="A212" t="str">
            <v>LO</v>
          </cell>
        </row>
        <row r="213">
          <cell r="A213" t="str">
            <v>LO</v>
          </cell>
        </row>
        <row r="214">
          <cell r="A214" t="str">
            <v>LO</v>
          </cell>
        </row>
        <row r="215">
          <cell r="A215" t="str">
            <v>LO</v>
          </cell>
        </row>
        <row r="216">
          <cell r="A216" t="str">
            <v>LO</v>
          </cell>
        </row>
        <row r="217">
          <cell r="A217" t="str">
            <v>LO</v>
          </cell>
        </row>
        <row r="218">
          <cell r="A218" t="str">
            <v>LO</v>
          </cell>
        </row>
        <row r="219">
          <cell r="A219" t="str">
            <v>LO</v>
          </cell>
        </row>
        <row r="220">
          <cell r="A220" t="str">
            <v>LO</v>
          </cell>
        </row>
        <row r="221">
          <cell r="A221" t="str">
            <v>LR</v>
          </cell>
        </row>
        <row r="222">
          <cell r="A222" t="str">
            <v>LR</v>
          </cell>
        </row>
        <row r="223">
          <cell r="A223" t="str">
            <v>LR</v>
          </cell>
        </row>
        <row r="224">
          <cell r="A224" t="str">
            <v>LR</v>
          </cell>
        </row>
        <row r="225">
          <cell r="A225" t="str">
            <v>LR</v>
          </cell>
        </row>
        <row r="226">
          <cell r="A226" t="str">
            <v>LR</v>
          </cell>
        </row>
        <row r="227">
          <cell r="A227" t="str">
            <v>LR</v>
          </cell>
        </row>
        <row r="228">
          <cell r="A228" t="str">
            <v>LR</v>
          </cell>
        </row>
        <row r="229">
          <cell r="A229" t="str">
            <v>LR</v>
          </cell>
        </row>
        <row r="230">
          <cell r="A230" t="str">
            <v>LR</v>
          </cell>
        </row>
        <row r="231">
          <cell r="A231" t="str">
            <v>LR</v>
          </cell>
        </row>
        <row r="232">
          <cell r="A232" t="str">
            <v>LR</v>
          </cell>
        </row>
        <row r="233">
          <cell r="A233" t="str">
            <v>LR</v>
          </cell>
        </row>
        <row r="234">
          <cell r="A234" t="str">
            <v>LR</v>
          </cell>
        </row>
        <row r="235">
          <cell r="A235" t="str">
            <v>LR</v>
          </cell>
        </row>
        <row r="236">
          <cell r="A236" t="str">
            <v>LR</v>
          </cell>
        </row>
        <row r="237">
          <cell r="A237" t="str">
            <v>LR</v>
          </cell>
        </row>
        <row r="238">
          <cell r="A238" t="str">
            <v>LR</v>
          </cell>
        </row>
        <row r="239">
          <cell r="A239" t="str">
            <v>LR</v>
          </cell>
        </row>
        <row r="240">
          <cell r="A240" t="str">
            <v>LR</v>
          </cell>
        </row>
        <row r="241">
          <cell r="A241" t="str">
            <v>LR</v>
          </cell>
        </row>
        <row r="242">
          <cell r="A242" t="str">
            <v>LR</v>
          </cell>
        </row>
        <row r="243">
          <cell r="A243" t="str">
            <v>LR</v>
          </cell>
        </row>
        <row r="244">
          <cell r="A244" t="str">
            <v>LR</v>
          </cell>
        </row>
        <row r="245">
          <cell r="A245" t="str">
            <v>LR</v>
          </cell>
        </row>
        <row r="246">
          <cell r="A246" t="str">
            <v>LR</v>
          </cell>
        </row>
        <row r="247">
          <cell r="A247" t="str">
            <v>LR</v>
          </cell>
        </row>
        <row r="248">
          <cell r="A248" t="str">
            <v>LR</v>
          </cell>
        </row>
        <row r="249">
          <cell r="A249" t="str">
            <v>LR</v>
          </cell>
        </row>
        <row r="250">
          <cell r="A250" t="str">
            <v>LR</v>
          </cell>
        </row>
        <row r="251">
          <cell r="A251" t="str">
            <v>LR</v>
          </cell>
        </row>
        <row r="252">
          <cell r="A252" t="str">
            <v>LR</v>
          </cell>
        </row>
        <row r="253">
          <cell r="A253" t="str">
            <v>LR</v>
          </cell>
        </row>
        <row r="254">
          <cell r="A254" t="str">
            <v>LR</v>
          </cell>
        </row>
        <row r="255">
          <cell r="A255" t="str">
            <v>LR</v>
          </cell>
        </row>
        <row r="256">
          <cell r="A256" t="str">
            <v>LR</v>
          </cell>
        </row>
        <row r="257">
          <cell r="A257" t="str">
            <v>LR</v>
          </cell>
        </row>
        <row r="258">
          <cell r="A258" t="str">
            <v>LR</v>
          </cell>
        </row>
        <row r="259">
          <cell r="A259" t="str">
            <v>LR</v>
          </cell>
        </row>
        <row r="260">
          <cell r="A260" t="str">
            <v>MO</v>
          </cell>
        </row>
        <row r="261">
          <cell r="A261" t="str">
            <v>MO</v>
          </cell>
        </row>
        <row r="262">
          <cell r="A262" t="str">
            <v>MO</v>
          </cell>
        </row>
        <row r="263">
          <cell r="A263" t="str">
            <v>MO</v>
          </cell>
        </row>
        <row r="264">
          <cell r="A264" t="str">
            <v>MO</v>
          </cell>
        </row>
        <row r="265">
          <cell r="A265" t="str">
            <v>MO</v>
          </cell>
        </row>
        <row r="266">
          <cell r="A266" t="str">
            <v>MO</v>
          </cell>
        </row>
        <row r="267">
          <cell r="A267" t="str">
            <v>MO</v>
          </cell>
        </row>
        <row r="268">
          <cell r="A268" t="str">
            <v>MO</v>
          </cell>
        </row>
        <row r="269">
          <cell r="A269" t="str">
            <v>MO</v>
          </cell>
        </row>
        <row r="270">
          <cell r="A270" t="str">
            <v>MO</v>
          </cell>
        </row>
        <row r="271">
          <cell r="A271" t="str">
            <v>MO</v>
          </cell>
        </row>
        <row r="272">
          <cell r="A272" t="str">
            <v>MO</v>
          </cell>
        </row>
        <row r="273">
          <cell r="A273" t="str">
            <v>MO</v>
          </cell>
        </row>
        <row r="274">
          <cell r="A274" t="str">
            <v>MO</v>
          </cell>
        </row>
        <row r="275">
          <cell r="A275" t="str">
            <v>MO</v>
          </cell>
        </row>
        <row r="276">
          <cell r="A276" t="str">
            <v>MY</v>
          </cell>
        </row>
        <row r="277">
          <cell r="A277" t="str">
            <v>MY</v>
          </cell>
        </row>
        <row r="278">
          <cell r="A278" t="str">
            <v>MY</v>
          </cell>
        </row>
        <row r="279">
          <cell r="A279" t="str">
            <v>MY</v>
          </cell>
        </row>
        <row r="280">
          <cell r="A280" t="str">
            <v>MY</v>
          </cell>
        </row>
        <row r="281">
          <cell r="A281" t="str">
            <v>MY</v>
          </cell>
        </row>
        <row r="282">
          <cell r="A282" t="str">
            <v>MY</v>
          </cell>
        </row>
        <row r="283">
          <cell r="A283" t="str">
            <v>PA</v>
          </cell>
        </row>
        <row r="284">
          <cell r="A284" t="str">
            <v>PA</v>
          </cell>
        </row>
        <row r="285">
          <cell r="A285" t="str">
            <v>PA</v>
          </cell>
        </row>
        <row r="286">
          <cell r="A286" t="str">
            <v>PA</v>
          </cell>
        </row>
        <row r="287">
          <cell r="A287" t="str">
            <v>PA</v>
          </cell>
        </row>
        <row r="288">
          <cell r="A288" t="str">
            <v>PA</v>
          </cell>
        </row>
        <row r="289">
          <cell r="A289" t="str">
            <v>PA</v>
          </cell>
        </row>
        <row r="290">
          <cell r="A290" t="str">
            <v>PA</v>
          </cell>
        </row>
        <row r="291">
          <cell r="A291" t="str">
            <v>PA</v>
          </cell>
        </row>
        <row r="292">
          <cell r="A292" t="str">
            <v>PA</v>
          </cell>
        </row>
        <row r="293">
          <cell r="A293" t="str">
            <v>PA</v>
          </cell>
        </row>
        <row r="294">
          <cell r="A294" t="str">
            <v>PA</v>
          </cell>
        </row>
        <row r="295">
          <cell r="A295" t="str">
            <v>PA</v>
          </cell>
        </row>
        <row r="296">
          <cell r="A296" t="str">
            <v>PA</v>
          </cell>
        </row>
        <row r="297">
          <cell r="A297" t="str">
            <v>PE</v>
          </cell>
        </row>
        <row r="298">
          <cell r="A298" t="str">
            <v>PE</v>
          </cell>
        </row>
        <row r="299">
          <cell r="A299" t="str">
            <v>PE</v>
          </cell>
        </row>
        <row r="300">
          <cell r="A300" t="str">
            <v>PE</v>
          </cell>
        </row>
        <row r="301">
          <cell r="A301" t="str">
            <v>PE</v>
          </cell>
        </row>
        <row r="302">
          <cell r="A302" t="str">
            <v>PE</v>
          </cell>
        </row>
        <row r="303">
          <cell r="A303" t="str">
            <v>PE</v>
          </cell>
        </row>
        <row r="304">
          <cell r="A304" t="str">
            <v>PE</v>
          </cell>
        </row>
        <row r="305">
          <cell r="A305" t="str">
            <v>PE</v>
          </cell>
        </row>
        <row r="306">
          <cell r="A306" t="str">
            <v>PE</v>
          </cell>
        </row>
        <row r="307">
          <cell r="A307" t="str">
            <v>PE</v>
          </cell>
        </row>
        <row r="308">
          <cell r="A308" t="str">
            <v>PE</v>
          </cell>
        </row>
        <row r="309">
          <cell r="A309" t="str">
            <v>PE</v>
          </cell>
        </row>
        <row r="310">
          <cell r="A310" t="str">
            <v>PE</v>
          </cell>
        </row>
        <row r="311">
          <cell r="A311" t="str">
            <v>PE</v>
          </cell>
        </row>
        <row r="312">
          <cell r="A312" t="str">
            <v>PE</v>
          </cell>
        </row>
        <row r="313">
          <cell r="A313" t="str">
            <v>PE</v>
          </cell>
        </row>
        <row r="314">
          <cell r="A314" t="str">
            <v>PE</v>
          </cell>
        </row>
        <row r="315">
          <cell r="A315" t="str">
            <v>PE</v>
          </cell>
        </row>
        <row r="316">
          <cell r="A316" t="str">
            <v>PE</v>
          </cell>
        </row>
        <row r="317">
          <cell r="A317" t="str">
            <v>PE</v>
          </cell>
        </row>
        <row r="318">
          <cell r="A318" t="str">
            <v>PE</v>
          </cell>
        </row>
        <row r="319">
          <cell r="A319" t="str">
            <v>PE</v>
          </cell>
        </row>
        <row r="320">
          <cell r="A320" t="str">
            <v>PE</v>
          </cell>
        </row>
        <row r="321">
          <cell r="A321" t="str">
            <v>PE</v>
          </cell>
        </row>
        <row r="322">
          <cell r="A322" t="str">
            <v>PE</v>
          </cell>
        </row>
        <row r="323">
          <cell r="A323" t="str">
            <v>PE</v>
          </cell>
        </row>
        <row r="324">
          <cell r="A324" t="str">
            <v>PE</v>
          </cell>
        </row>
        <row r="325">
          <cell r="A325" t="str">
            <v>PE</v>
          </cell>
        </row>
        <row r="326">
          <cell r="A326" t="str">
            <v>PE</v>
          </cell>
        </row>
        <row r="327">
          <cell r="A327" t="str">
            <v>PE</v>
          </cell>
        </row>
        <row r="328">
          <cell r="A328" t="str">
            <v>PE</v>
          </cell>
        </row>
        <row r="329">
          <cell r="A329" t="str">
            <v>PE</v>
          </cell>
        </row>
        <row r="330">
          <cell r="A330" t="str">
            <v>PI</v>
          </cell>
        </row>
        <row r="331">
          <cell r="A331" t="str">
            <v>PI</v>
          </cell>
        </row>
        <row r="332">
          <cell r="A332" t="str">
            <v>PI</v>
          </cell>
        </row>
        <row r="333">
          <cell r="A333" t="str">
            <v>PI</v>
          </cell>
        </row>
        <row r="334">
          <cell r="A334" t="str">
            <v>PI</v>
          </cell>
        </row>
        <row r="335">
          <cell r="A335" t="str">
            <v>PI</v>
          </cell>
        </row>
        <row r="336">
          <cell r="A336" t="str">
            <v>PI</v>
          </cell>
        </row>
        <row r="337">
          <cell r="A337" t="str">
            <v>PI</v>
          </cell>
        </row>
        <row r="338">
          <cell r="A338" t="str">
            <v>PI</v>
          </cell>
        </row>
        <row r="339">
          <cell r="A339" t="str">
            <v>PI</v>
          </cell>
        </row>
        <row r="340">
          <cell r="A340" t="str">
            <v>PI</v>
          </cell>
        </row>
        <row r="341">
          <cell r="A341" t="str">
            <v>PI</v>
          </cell>
        </row>
        <row r="342">
          <cell r="A342" t="str">
            <v>PI</v>
          </cell>
        </row>
        <row r="343">
          <cell r="A343" t="str">
            <v>PO</v>
          </cell>
        </row>
        <row r="344">
          <cell r="A344" t="str">
            <v>PO</v>
          </cell>
        </row>
        <row r="345">
          <cell r="A345" t="str">
            <v>PO</v>
          </cell>
        </row>
        <row r="346">
          <cell r="A346" t="str">
            <v>PO</v>
          </cell>
        </row>
        <row r="347">
          <cell r="A347" t="str">
            <v>PO</v>
          </cell>
        </row>
        <row r="348">
          <cell r="A348" t="str">
            <v>PO</v>
          </cell>
        </row>
        <row r="349">
          <cell r="A349" t="str">
            <v>PO</v>
          </cell>
        </row>
        <row r="350">
          <cell r="A350" t="str">
            <v>PO</v>
          </cell>
        </row>
        <row r="351">
          <cell r="A351" t="str">
            <v>PO</v>
          </cell>
        </row>
        <row r="352">
          <cell r="A352" t="str">
            <v>PO</v>
          </cell>
        </row>
        <row r="353">
          <cell r="A353" t="str">
            <v>PO</v>
          </cell>
        </row>
        <row r="354">
          <cell r="A354" t="str">
            <v>PO</v>
          </cell>
        </row>
        <row r="355">
          <cell r="A355" t="str">
            <v>PO</v>
          </cell>
        </row>
        <row r="356">
          <cell r="A356" t="str">
            <v>PO</v>
          </cell>
        </row>
        <row r="357">
          <cell r="A357" t="str">
            <v>PO</v>
          </cell>
        </row>
        <row r="358">
          <cell r="A358" t="str">
            <v>PO</v>
          </cell>
        </row>
        <row r="359">
          <cell r="A359" t="str">
            <v>PO</v>
          </cell>
        </row>
        <row r="360">
          <cell r="A360" t="str">
            <v>PO</v>
          </cell>
        </row>
        <row r="361">
          <cell r="A361" t="str">
            <v>PO</v>
          </cell>
        </row>
        <row r="362">
          <cell r="A362" t="str">
            <v>PO</v>
          </cell>
        </row>
        <row r="363">
          <cell r="A363" t="str">
            <v>PR</v>
          </cell>
        </row>
        <row r="364">
          <cell r="A364" t="str">
            <v>PR</v>
          </cell>
        </row>
        <row r="365">
          <cell r="A365" t="str">
            <v>PR</v>
          </cell>
        </row>
        <row r="366">
          <cell r="A366" t="str">
            <v>PR</v>
          </cell>
        </row>
        <row r="367">
          <cell r="A367" t="str">
            <v>PR</v>
          </cell>
        </row>
        <row r="368">
          <cell r="A368" t="str">
            <v>PR</v>
          </cell>
        </row>
        <row r="369">
          <cell r="A369" t="str">
            <v>PR</v>
          </cell>
        </row>
        <row r="370">
          <cell r="A370" t="str">
            <v>PR</v>
          </cell>
        </row>
        <row r="371">
          <cell r="A371" t="str">
            <v>PR</v>
          </cell>
        </row>
        <row r="372">
          <cell r="A372" t="str">
            <v>PR</v>
          </cell>
        </row>
        <row r="373">
          <cell r="A373" t="str">
            <v>PR</v>
          </cell>
        </row>
        <row r="374">
          <cell r="A374" t="str">
            <v>PR</v>
          </cell>
        </row>
        <row r="375">
          <cell r="A375" t="str">
            <v>PR</v>
          </cell>
        </row>
        <row r="376">
          <cell r="A376" t="str">
            <v>PR</v>
          </cell>
        </row>
        <row r="377">
          <cell r="A377" t="str">
            <v>PR</v>
          </cell>
        </row>
        <row r="378">
          <cell r="A378" t="str">
            <v>PR</v>
          </cell>
        </row>
        <row r="379">
          <cell r="A379" t="str">
            <v>PR</v>
          </cell>
        </row>
        <row r="380">
          <cell r="A380" t="str">
            <v>PR</v>
          </cell>
        </row>
        <row r="381">
          <cell r="A381" t="str">
            <v>PR</v>
          </cell>
        </row>
        <row r="382">
          <cell r="A382" t="str">
            <v>PR</v>
          </cell>
        </row>
        <row r="383">
          <cell r="A383" t="str">
            <v>PR</v>
          </cell>
        </row>
        <row r="384">
          <cell r="A384" t="str">
            <v>PR</v>
          </cell>
        </row>
        <row r="385">
          <cell r="A385" t="str">
            <v>PR</v>
          </cell>
        </row>
        <row r="386">
          <cell r="A386" t="str">
            <v>PR</v>
          </cell>
        </row>
        <row r="387">
          <cell r="A387" t="str">
            <v>PR</v>
          </cell>
        </row>
        <row r="388">
          <cell r="A388" t="str">
            <v>PS</v>
          </cell>
        </row>
        <row r="389">
          <cell r="A389" t="str">
            <v>PS</v>
          </cell>
        </row>
        <row r="390">
          <cell r="A390" t="str">
            <v>PS</v>
          </cell>
        </row>
        <row r="391">
          <cell r="A391" t="str">
            <v>PS</v>
          </cell>
        </row>
        <row r="392">
          <cell r="A392" t="str">
            <v>PS</v>
          </cell>
        </row>
        <row r="393">
          <cell r="A393" t="str">
            <v>PS</v>
          </cell>
        </row>
        <row r="394">
          <cell r="A394" t="str">
            <v>PS</v>
          </cell>
        </row>
        <row r="395">
          <cell r="A395" t="str">
            <v>PS</v>
          </cell>
        </row>
        <row r="396">
          <cell r="A396" t="str">
            <v>PS</v>
          </cell>
        </row>
        <row r="397">
          <cell r="A397" t="str">
            <v>PS</v>
          </cell>
        </row>
        <row r="398">
          <cell r="A398" t="str">
            <v>PS</v>
          </cell>
        </row>
        <row r="399">
          <cell r="A399" t="str">
            <v>PS</v>
          </cell>
        </row>
        <row r="400">
          <cell r="A400" t="str">
            <v>PS</v>
          </cell>
        </row>
        <row r="401">
          <cell r="A401" t="str">
            <v>PS</v>
          </cell>
        </row>
        <row r="402">
          <cell r="A402" t="str">
            <v>PS</v>
          </cell>
        </row>
        <row r="403">
          <cell r="A403" t="str">
            <v>PS</v>
          </cell>
        </row>
        <row r="404">
          <cell r="A404" t="str">
            <v>PS</v>
          </cell>
        </row>
        <row r="405">
          <cell r="A405" t="str">
            <v>PS</v>
          </cell>
        </row>
        <row r="406">
          <cell r="A406" t="str">
            <v>PS</v>
          </cell>
        </row>
        <row r="408">
          <cell r="A408" t="str">
            <v>PS</v>
          </cell>
        </row>
        <row r="409">
          <cell r="A409" t="str">
            <v>PS</v>
          </cell>
        </row>
        <row r="410">
          <cell r="A410" t="str">
            <v>PS</v>
          </cell>
        </row>
        <row r="411">
          <cell r="A411" t="str">
            <v>PS</v>
          </cell>
        </row>
        <row r="412">
          <cell r="A412" t="str">
            <v>PS</v>
          </cell>
        </row>
        <row r="413">
          <cell r="A413" t="str">
            <v>PS</v>
          </cell>
        </row>
        <row r="414">
          <cell r="A414" t="str">
            <v>PS</v>
          </cell>
        </row>
        <row r="415">
          <cell r="A415" t="str">
            <v>PS</v>
          </cell>
        </row>
        <row r="416">
          <cell r="A416" t="str">
            <v>PS</v>
          </cell>
        </row>
        <row r="417">
          <cell r="A417" t="str">
            <v>RE</v>
          </cell>
        </row>
        <row r="418">
          <cell r="A418" t="str">
            <v>RE</v>
          </cell>
        </row>
        <row r="420">
          <cell r="A420" t="str">
            <v>RE</v>
          </cell>
        </row>
        <row r="421">
          <cell r="A421" t="str">
            <v>RE</v>
          </cell>
        </row>
        <row r="422">
          <cell r="A422" t="str">
            <v>RE</v>
          </cell>
        </row>
        <row r="423">
          <cell r="A423" t="str">
            <v>RE</v>
          </cell>
        </row>
        <row r="424">
          <cell r="A424" t="str">
            <v>RE</v>
          </cell>
        </row>
        <row r="425">
          <cell r="A425" t="str">
            <v>RE</v>
          </cell>
        </row>
        <row r="426">
          <cell r="A426" t="str">
            <v>RE</v>
          </cell>
        </row>
        <row r="427">
          <cell r="A427" t="str">
            <v>RE</v>
          </cell>
        </row>
        <row r="428">
          <cell r="A428" t="str">
            <v>RE</v>
          </cell>
        </row>
        <row r="429">
          <cell r="A429" t="str">
            <v>RE</v>
          </cell>
        </row>
        <row r="430">
          <cell r="A430" t="str">
            <v>RE</v>
          </cell>
        </row>
        <row r="431">
          <cell r="A431" t="str">
            <v>RE</v>
          </cell>
        </row>
        <row r="432">
          <cell r="A432" t="str">
            <v>RI</v>
          </cell>
        </row>
        <row r="433">
          <cell r="A433" t="str">
            <v>RI</v>
          </cell>
        </row>
        <row r="434">
          <cell r="A434" t="str">
            <v>RI</v>
          </cell>
        </row>
        <row r="435">
          <cell r="A435" t="str">
            <v>RI</v>
          </cell>
        </row>
        <row r="436">
          <cell r="A436" t="str">
            <v>RI</v>
          </cell>
        </row>
        <row r="437">
          <cell r="A437" t="str">
            <v>RI</v>
          </cell>
        </row>
        <row r="438">
          <cell r="A438" t="str">
            <v>RI</v>
          </cell>
        </row>
        <row r="439">
          <cell r="A439" t="str">
            <v>RI</v>
          </cell>
        </row>
        <row r="440">
          <cell r="A440" t="str">
            <v>RI</v>
          </cell>
        </row>
        <row r="441">
          <cell r="A441" t="str">
            <v>RI</v>
          </cell>
        </row>
        <row r="442">
          <cell r="A442" t="str">
            <v>RI</v>
          </cell>
        </row>
        <row r="443">
          <cell r="A443" t="str">
            <v>RI</v>
          </cell>
        </row>
        <row r="444">
          <cell r="A444" t="str">
            <v>RI</v>
          </cell>
        </row>
        <row r="445">
          <cell r="A445" t="str">
            <v>RI</v>
          </cell>
        </row>
        <row r="446">
          <cell r="A446" t="str">
            <v>RI</v>
          </cell>
        </row>
        <row r="447">
          <cell r="A447" t="str">
            <v>RI</v>
          </cell>
        </row>
        <row r="448">
          <cell r="A448" t="str">
            <v>RI</v>
          </cell>
        </row>
        <row r="449">
          <cell r="A449" t="str">
            <v>RI</v>
          </cell>
        </row>
        <row r="450">
          <cell r="A450" t="str">
            <v>RI</v>
          </cell>
        </row>
        <row r="451">
          <cell r="A451" t="str">
            <v>RI</v>
          </cell>
        </row>
        <row r="452">
          <cell r="A452" t="str">
            <v>RI</v>
          </cell>
        </row>
        <row r="453">
          <cell r="A453" t="str">
            <v>RI</v>
          </cell>
        </row>
        <row r="454">
          <cell r="A454" t="str">
            <v>RI</v>
          </cell>
        </row>
        <row r="455">
          <cell r="A455" t="str">
            <v>RI</v>
          </cell>
        </row>
        <row r="456">
          <cell r="A456" t="str">
            <v>RI</v>
          </cell>
        </row>
        <row r="457">
          <cell r="A457" t="str">
            <v>RI</v>
          </cell>
        </row>
        <row r="458">
          <cell r="A458" t="str">
            <v>RI</v>
          </cell>
        </row>
        <row r="459">
          <cell r="A459" t="str">
            <v>RI</v>
          </cell>
        </row>
        <row r="460">
          <cell r="A460" t="str">
            <v>RI</v>
          </cell>
        </row>
        <row r="461">
          <cell r="A461" t="str">
            <v>RI</v>
          </cell>
        </row>
        <row r="462">
          <cell r="A462" t="str">
            <v>RI</v>
          </cell>
        </row>
        <row r="463">
          <cell r="A463" t="str">
            <v>RI</v>
          </cell>
        </row>
        <row r="464">
          <cell r="A464" t="str">
            <v>RI</v>
          </cell>
        </row>
        <row r="465">
          <cell r="A465" t="str">
            <v>RI</v>
          </cell>
        </row>
        <row r="466">
          <cell r="A466" t="str">
            <v>RI</v>
          </cell>
        </row>
        <row r="467">
          <cell r="A467" t="str">
            <v>RI</v>
          </cell>
        </row>
        <row r="468">
          <cell r="A468" t="str">
            <v>RI</v>
          </cell>
        </row>
        <row r="469">
          <cell r="A469" t="str">
            <v>RI</v>
          </cell>
        </row>
        <row r="470">
          <cell r="A470" t="str">
            <v>RI</v>
          </cell>
        </row>
        <row r="471">
          <cell r="A471" t="str">
            <v>RI</v>
          </cell>
        </row>
        <row r="472">
          <cell r="A472" t="str">
            <v>RI</v>
          </cell>
        </row>
        <row r="473">
          <cell r="A473" t="str">
            <v>RI</v>
          </cell>
        </row>
        <row r="474">
          <cell r="A474" t="str">
            <v>RO</v>
          </cell>
        </row>
        <row r="475">
          <cell r="A475" t="str">
            <v>RO</v>
          </cell>
        </row>
        <row r="476">
          <cell r="A476" t="str">
            <v>RO</v>
          </cell>
        </row>
        <row r="477">
          <cell r="A477" t="str">
            <v>RO</v>
          </cell>
        </row>
        <row r="478">
          <cell r="A478" t="str">
            <v>RO</v>
          </cell>
        </row>
        <row r="479">
          <cell r="A479" t="str">
            <v>RO</v>
          </cell>
        </row>
        <row r="480">
          <cell r="A480" t="str">
            <v>RO</v>
          </cell>
        </row>
        <row r="481">
          <cell r="A481" t="str">
            <v>RO</v>
          </cell>
        </row>
        <row r="482">
          <cell r="A482" t="str">
            <v>RO</v>
          </cell>
        </row>
        <row r="483">
          <cell r="A483" t="str">
            <v>RO</v>
          </cell>
        </row>
        <row r="484">
          <cell r="A484" t="str">
            <v>RO</v>
          </cell>
        </row>
        <row r="485">
          <cell r="A485" t="str">
            <v>RO</v>
          </cell>
        </row>
        <row r="486">
          <cell r="A486" t="str">
            <v>RO</v>
          </cell>
        </row>
        <row r="487">
          <cell r="A487" t="str">
            <v>RO</v>
          </cell>
        </row>
        <row r="488">
          <cell r="A488" t="str">
            <v>RO</v>
          </cell>
        </row>
        <row r="489">
          <cell r="A489" t="str">
            <v>RO</v>
          </cell>
        </row>
        <row r="490">
          <cell r="A490" t="str">
            <v>SE</v>
          </cell>
        </row>
        <row r="491">
          <cell r="A491" t="str">
            <v>SE</v>
          </cell>
        </row>
        <row r="492">
          <cell r="A492" t="str">
            <v>SE</v>
          </cell>
        </row>
        <row r="493">
          <cell r="A493" t="str">
            <v>SE</v>
          </cell>
        </row>
        <row r="494">
          <cell r="A494" t="str">
            <v>SE</v>
          </cell>
        </row>
        <row r="495">
          <cell r="A495" t="str">
            <v>SE</v>
          </cell>
        </row>
        <row r="496">
          <cell r="A496" t="str">
            <v>SE</v>
          </cell>
        </row>
        <row r="498">
          <cell r="A498" t="str">
            <v>SE</v>
          </cell>
        </row>
        <row r="499">
          <cell r="A499" t="str">
            <v>SE</v>
          </cell>
        </row>
        <row r="500">
          <cell r="A500" t="str">
            <v>SE</v>
          </cell>
        </row>
        <row r="501">
          <cell r="A501" t="str">
            <v>SE</v>
          </cell>
        </row>
        <row r="502">
          <cell r="A502" t="str">
            <v>SE</v>
          </cell>
        </row>
        <row r="503">
          <cell r="A503" t="str">
            <v>SE</v>
          </cell>
        </row>
        <row r="504">
          <cell r="A504" t="str">
            <v>SE</v>
          </cell>
        </row>
        <row r="505">
          <cell r="A505" t="str">
            <v>SO</v>
          </cell>
        </row>
        <row r="506">
          <cell r="A506" t="str">
            <v>SO</v>
          </cell>
        </row>
        <row r="507">
          <cell r="A507" t="str">
            <v>SO</v>
          </cell>
        </row>
        <row r="508">
          <cell r="A508" t="str">
            <v>SO</v>
          </cell>
        </row>
        <row r="509">
          <cell r="A509" t="str">
            <v>SO</v>
          </cell>
        </row>
        <row r="510">
          <cell r="A510" t="str">
            <v>SO</v>
          </cell>
        </row>
        <row r="511">
          <cell r="A511" t="str">
            <v>SO</v>
          </cell>
        </row>
        <row r="512">
          <cell r="A512" t="str">
            <v>SO</v>
          </cell>
        </row>
        <row r="513">
          <cell r="A513" t="str">
            <v>SO</v>
          </cell>
        </row>
        <row r="514">
          <cell r="A514" t="str">
            <v>SO</v>
          </cell>
        </row>
        <row r="515">
          <cell r="A515" t="str">
            <v>SO</v>
          </cell>
        </row>
        <row r="516">
          <cell r="A516" t="str">
            <v>SO</v>
          </cell>
        </row>
        <row r="517">
          <cell r="A517" t="str">
            <v>SO</v>
          </cell>
        </row>
        <row r="518">
          <cell r="A518" t="str">
            <v>SO</v>
          </cell>
        </row>
        <row r="519">
          <cell r="A519" t="str">
            <v>SO</v>
          </cell>
        </row>
        <row r="520">
          <cell r="A520" t="str">
            <v>SO</v>
          </cell>
        </row>
        <row r="521">
          <cell r="A521" t="str">
            <v>SO</v>
          </cell>
        </row>
        <row r="522">
          <cell r="A522" t="str">
            <v>SO</v>
          </cell>
        </row>
        <row r="523">
          <cell r="A523" t="str">
            <v>SO</v>
          </cell>
        </row>
        <row r="524">
          <cell r="A524" t="str">
            <v>SO</v>
          </cell>
        </row>
        <row r="525">
          <cell r="A525" t="str">
            <v>SR</v>
          </cell>
        </row>
        <row r="526">
          <cell r="A526" t="str">
            <v>SR</v>
          </cell>
        </row>
        <row r="527">
          <cell r="A527" t="str">
            <v>SR</v>
          </cell>
        </row>
        <row r="528">
          <cell r="A528" t="str">
            <v>SR</v>
          </cell>
        </row>
        <row r="529">
          <cell r="A529" t="str">
            <v>SR</v>
          </cell>
        </row>
        <row r="530">
          <cell r="A530" t="str">
            <v>SR</v>
          </cell>
        </row>
        <row r="531">
          <cell r="A531" t="str">
            <v>SR</v>
          </cell>
        </row>
        <row r="532">
          <cell r="A532" t="str">
            <v>SR</v>
          </cell>
        </row>
        <row r="533">
          <cell r="A533" t="str">
            <v>SR</v>
          </cell>
        </row>
        <row r="534">
          <cell r="A534" t="str">
            <v>SR</v>
          </cell>
        </row>
        <row r="535">
          <cell r="A535" t="str">
            <v>SR</v>
          </cell>
        </row>
        <row r="536">
          <cell r="A536" t="str">
            <v>SR</v>
          </cell>
        </row>
        <row r="537">
          <cell r="A537" t="str">
            <v>SR</v>
          </cell>
        </row>
        <row r="538">
          <cell r="A538" t="str">
            <v>ST</v>
          </cell>
        </row>
        <row r="539">
          <cell r="A539" t="str">
            <v>ST</v>
          </cell>
        </row>
        <row r="540">
          <cell r="A540" t="str">
            <v>ST</v>
          </cell>
        </row>
        <row r="541">
          <cell r="A541" t="str">
            <v>ST</v>
          </cell>
        </row>
        <row r="542">
          <cell r="A542" t="str">
            <v>ST</v>
          </cell>
        </row>
        <row r="543">
          <cell r="A543" t="str">
            <v>ST</v>
          </cell>
        </row>
        <row r="544">
          <cell r="A544" t="str">
            <v>ST</v>
          </cell>
        </row>
        <row r="545">
          <cell r="A545" t="str">
            <v>ST</v>
          </cell>
        </row>
        <row r="547">
          <cell r="A547" t="str">
            <v>ST</v>
          </cell>
        </row>
        <row r="548">
          <cell r="A548" t="str">
            <v>ST</v>
          </cell>
        </row>
        <row r="549">
          <cell r="A549" t="str">
            <v>ST</v>
          </cell>
        </row>
        <row r="550">
          <cell r="A550" t="str">
            <v>ST</v>
          </cell>
        </row>
        <row r="551">
          <cell r="A551" t="str">
            <v>ST</v>
          </cell>
        </row>
        <row r="552">
          <cell r="A552" t="str">
            <v>ST</v>
          </cell>
        </row>
        <row r="553">
          <cell r="A553" t="str">
            <v>ST</v>
          </cell>
        </row>
        <row r="554">
          <cell r="A554" t="str">
            <v>ST</v>
          </cell>
        </row>
        <row r="555">
          <cell r="A555" t="str">
            <v>ST</v>
          </cell>
        </row>
        <row r="556">
          <cell r="A556" t="str">
            <v>ST</v>
          </cell>
        </row>
        <row r="557">
          <cell r="A557" t="str">
            <v>ST</v>
          </cell>
        </row>
        <row r="558">
          <cell r="A558" t="str">
            <v>ST</v>
          </cell>
        </row>
        <row r="559">
          <cell r="A559" t="str">
            <v>ST</v>
          </cell>
        </row>
        <row r="560">
          <cell r="A560" t="str">
            <v>ST</v>
          </cell>
        </row>
        <row r="561">
          <cell r="A561" t="str">
            <v>ST</v>
          </cell>
        </row>
        <row r="562">
          <cell r="A562" t="str">
            <v>ST</v>
          </cell>
        </row>
        <row r="563">
          <cell r="A563" t="str">
            <v>ST</v>
          </cell>
        </row>
        <row r="564">
          <cell r="A564" t="str">
            <v>SU</v>
          </cell>
        </row>
        <row r="565">
          <cell r="A565" t="str">
            <v>SU</v>
          </cell>
        </row>
        <row r="566">
          <cell r="A566" t="str">
            <v>SU</v>
          </cell>
        </row>
        <row r="567">
          <cell r="A567" t="str">
            <v>SU</v>
          </cell>
        </row>
        <row r="568">
          <cell r="A568" t="str">
            <v>SU</v>
          </cell>
        </row>
        <row r="569">
          <cell r="A569" t="str">
            <v>SU</v>
          </cell>
        </row>
        <row r="570">
          <cell r="A570" t="str">
            <v>SU</v>
          </cell>
        </row>
        <row r="571">
          <cell r="A571" t="str">
            <v>SU</v>
          </cell>
        </row>
        <row r="572">
          <cell r="A572" t="str">
            <v>SU</v>
          </cell>
        </row>
        <row r="573">
          <cell r="A573" t="str">
            <v>SU</v>
          </cell>
        </row>
        <row r="574">
          <cell r="A574" t="str">
            <v>SU</v>
          </cell>
        </row>
        <row r="575">
          <cell r="A575" t="str">
            <v>SU</v>
          </cell>
        </row>
        <row r="576">
          <cell r="A576" t="str">
            <v>SU</v>
          </cell>
        </row>
        <row r="577">
          <cell r="A577" t="str">
            <v>SU</v>
          </cell>
        </row>
        <row r="578">
          <cell r="A578" t="str">
            <v>SU</v>
          </cell>
        </row>
        <row r="579">
          <cell r="A579" t="str">
            <v>SU</v>
          </cell>
        </row>
        <row r="580">
          <cell r="A580" t="str">
            <v>SU</v>
          </cell>
        </row>
        <row r="581">
          <cell r="A581" t="str">
            <v>SU</v>
          </cell>
        </row>
        <row r="582">
          <cell r="A582" t="str">
            <v>SU</v>
          </cell>
        </row>
        <row r="583">
          <cell r="A583" t="str">
            <v>SU</v>
          </cell>
        </row>
        <row r="584">
          <cell r="A584" t="str">
            <v>SU</v>
          </cell>
        </row>
        <row r="585">
          <cell r="A585" t="str">
            <v>SW</v>
          </cell>
        </row>
        <row r="586">
          <cell r="A586" t="str">
            <v>SW</v>
          </cell>
        </row>
        <row r="587">
          <cell r="A587" t="str">
            <v>SW</v>
          </cell>
        </row>
        <row r="588">
          <cell r="A588" t="str">
            <v>SW</v>
          </cell>
        </row>
        <row r="589">
          <cell r="A589" t="str">
            <v>SW</v>
          </cell>
        </row>
        <row r="590">
          <cell r="A590" t="str">
            <v>SW</v>
          </cell>
        </row>
        <row r="591">
          <cell r="A591" t="str">
            <v>SW</v>
          </cell>
        </row>
        <row r="592">
          <cell r="A592" t="str">
            <v>SW</v>
          </cell>
        </row>
        <row r="593">
          <cell r="A593" t="str">
            <v>SW</v>
          </cell>
        </row>
        <row r="594">
          <cell r="A594" t="str">
            <v>TM</v>
          </cell>
        </row>
        <row r="596">
          <cell r="A596" t="str">
            <v>TM</v>
          </cell>
        </row>
        <row r="597">
          <cell r="A597" t="str">
            <v>TM</v>
          </cell>
        </row>
        <row r="598">
          <cell r="A598" t="str">
            <v>TM</v>
          </cell>
        </row>
        <row r="599">
          <cell r="A599" t="str">
            <v>TM</v>
          </cell>
        </row>
        <row r="600">
          <cell r="A600" t="str">
            <v>TM</v>
          </cell>
        </row>
        <row r="601">
          <cell r="A601" t="str">
            <v>TM</v>
          </cell>
        </row>
        <row r="602">
          <cell r="A602" t="str">
            <v>TR</v>
          </cell>
        </row>
        <row r="603">
          <cell r="A603" t="str">
            <v>TR</v>
          </cell>
        </row>
        <row r="604">
          <cell r="A604" t="str">
            <v>TR</v>
          </cell>
        </row>
        <row r="605">
          <cell r="A605" t="str">
            <v>TR</v>
          </cell>
        </row>
        <row r="606">
          <cell r="A606" t="str">
            <v>TR</v>
          </cell>
        </row>
        <row r="607">
          <cell r="A607" t="str">
            <v>TR</v>
          </cell>
        </row>
        <row r="608">
          <cell r="A608" t="str">
            <v>TR</v>
          </cell>
        </row>
        <row r="609">
          <cell r="A609" t="str">
            <v>WE</v>
          </cell>
        </row>
        <row r="610">
          <cell r="A610" t="str">
            <v>WE</v>
          </cell>
        </row>
        <row r="611">
          <cell r="A611" t="str">
            <v>WE</v>
          </cell>
        </row>
        <row r="612">
          <cell r="A612" t="str">
            <v>WE</v>
          </cell>
        </row>
        <row r="613">
          <cell r="A613" t="str">
            <v>WI</v>
          </cell>
        </row>
        <row r="614">
          <cell r="A614" t="str">
            <v>WI</v>
          </cell>
        </row>
        <row r="615">
          <cell r="A615" t="str">
            <v>WI</v>
          </cell>
        </row>
        <row r="616">
          <cell r="A616" t="str">
            <v>WI</v>
          </cell>
        </row>
        <row r="617">
          <cell r="A617" t="str">
            <v>WI</v>
          </cell>
        </row>
        <row r="618">
          <cell r="A618" t="str">
            <v>WI</v>
          </cell>
        </row>
        <row r="619">
          <cell r="A619" t="str">
            <v>WI</v>
          </cell>
        </row>
        <row r="620">
          <cell r="A620" t="str">
            <v>WI</v>
          </cell>
        </row>
        <row r="621">
          <cell r="A621" t="str">
            <v>WI</v>
          </cell>
        </row>
        <row r="623">
          <cell r="A623" t="str">
            <v>WI</v>
          </cell>
        </row>
        <row r="624">
          <cell r="A624" t="str">
            <v>WI</v>
          </cell>
        </row>
        <row r="625">
          <cell r="A625" t="str">
            <v>WI</v>
          </cell>
        </row>
        <row r="626">
          <cell r="A626" t="str">
            <v>WI</v>
          </cell>
        </row>
        <row r="627">
          <cell r="A627" t="str">
            <v>WI</v>
          </cell>
        </row>
        <row r="628">
          <cell r="A628" t="str">
            <v>WI</v>
          </cell>
        </row>
        <row r="629">
          <cell r="A629" t="str">
            <v>WI</v>
          </cell>
        </row>
        <row r="630">
          <cell r="A630" t="str">
            <v>WI</v>
          </cell>
        </row>
        <row r="631">
          <cell r="A631" t="str">
            <v>WI</v>
          </cell>
        </row>
        <row r="632">
          <cell r="A632" t="str">
            <v>WI</v>
          </cell>
        </row>
        <row r="633">
          <cell r="A633" t="str">
            <v>WI</v>
          </cell>
        </row>
        <row r="634">
          <cell r="A634" t="str">
            <v>WI</v>
          </cell>
        </row>
        <row r="635">
          <cell r="A635" t="str">
            <v>WI</v>
          </cell>
        </row>
        <row r="636">
          <cell r="A636" t="str">
            <v>WI</v>
          </cell>
        </row>
        <row r="637">
          <cell r="A637" t="str">
            <v>WI</v>
          </cell>
        </row>
        <row r="638">
          <cell r="A638" t="str">
            <v>WI</v>
          </cell>
        </row>
        <row r="639">
          <cell r="A639" t="str">
            <v>WI</v>
          </cell>
        </row>
        <row r="640">
          <cell r="A640" t="str">
            <v>WI</v>
          </cell>
        </row>
        <row r="641">
          <cell r="A641" t="str">
            <v>WI</v>
          </cell>
        </row>
        <row r="642">
          <cell r="A642" t="str">
            <v>WI</v>
          </cell>
        </row>
        <row r="643">
          <cell r="A643" t="str">
            <v>WI</v>
          </cell>
        </row>
        <row r="644">
          <cell r="A644" t="str">
            <v>WI</v>
          </cell>
        </row>
        <row r="646">
          <cell r="A646" t="str">
            <v>WI</v>
          </cell>
        </row>
        <row r="647">
          <cell r="A647" t="str">
            <v>WI</v>
          </cell>
        </row>
        <row r="648">
          <cell r="A648" t="str">
            <v>WI</v>
          </cell>
        </row>
        <row r="649">
          <cell r="A649" t="str">
            <v>WI</v>
          </cell>
        </row>
        <row r="650">
          <cell r="A650" t="str">
            <v>WI</v>
          </cell>
        </row>
        <row r="651">
          <cell r="A651" t="str">
            <v>WI</v>
          </cell>
        </row>
        <row r="652">
          <cell r="A652" t="str">
            <v>WI</v>
          </cell>
        </row>
        <row r="653">
          <cell r="A653" t="str">
            <v>WI</v>
          </cell>
        </row>
        <row r="654">
          <cell r="A654" t="str">
            <v>WI</v>
          </cell>
        </row>
        <row r="655">
          <cell r="A655" t="str">
            <v>WI</v>
          </cell>
        </row>
        <row r="656">
          <cell r="A656" t="str">
            <v>WI</v>
          </cell>
        </row>
        <row r="657">
          <cell r="A657" t="str">
            <v>WI</v>
          </cell>
        </row>
        <row r="658">
          <cell r="A658" t="str">
            <v>WI</v>
          </cell>
        </row>
        <row r="659">
          <cell r="A659" t="str">
            <v>WI</v>
          </cell>
        </row>
        <row r="661">
          <cell r="A661" t="str">
            <v>WI</v>
          </cell>
        </row>
        <row r="662">
          <cell r="A662" t="str">
            <v>WI</v>
          </cell>
        </row>
        <row r="663">
          <cell r="A663" t="str">
            <v>WI</v>
          </cell>
        </row>
        <row r="664">
          <cell r="A664" t="str">
            <v>WI</v>
          </cell>
        </row>
        <row r="665">
          <cell r="A665" t="str">
            <v>WI</v>
          </cell>
        </row>
        <row r="666">
          <cell r="A666" t="str">
            <v>WI</v>
          </cell>
        </row>
        <row r="667">
          <cell r="A667" t="str">
            <v>WI</v>
          </cell>
        </row>
        <row r="668">
          <cell r="A668" t="str">
            <v>WI</v>
          </cell>
        </row>
        <row r="669">
          <cell r="A669" t="str">
            <v>WI</v>
          </cell>
        </row>
        <row r="670">
          <cell r="A670" t="str">
            <v>WI</v>
          </cell>
        </row>
        <row r="671">
          <cell r="A671" t="str">
            <v>WI</v>
          </cell>
        </row>
        <row r="672">
          <cell r="A672" t="str">
            <v>WI</v>
          </cell>
        </row>
        <row r="673">
          <cell r="A673" t="str">
            <v>WI</v>
          </cell>
        </row>
        <row r="674">
          <cell r="A674" t="str">
            <v>WI</v>
          </cell>
        </row>
        <row r="675">
          <cell r="A675" t="str">
            <v>WI</v>
          </cell>
        </row>
        <row r="676">
          <cell r="A676" t="str">
            <v>WI</v>
          </cell>
        </row>
        <row r="677">
          <cell r="A677" t="str">
            <v>WI</v>
          </cell>
        </row>
        <row r="678">
          <cell r="A678" t="str">
            <v>WI</v>
          </cell>
        </row>
        <row r="679">
          <cell r="A679" t="str">
            <v>WI</v>
          </cell>
        </row>
        <row r="680">
          <cell r="A680" t="str">
            <v>WI</v>
          </cell>
        </row>
        <row r="681">
          <cell r="A681" t="str">
            <v>WI</v>
          </cell>
        </row>
        <row r="682">
          <cell r="A682" t="str">
            <v>WI</v>
          </cell>
        </row>
        <row r="683">
          <cell r="A683" t="str">
            <v>WI</v>
          </cell>
        </row>
        <row r="684">
          <cell r="A684" t="str">
            <v>WI</v>
          </cell>
        </row>
        <row r="685">
          <cell r="A685" t="str">
            <v>WI</v>
          </cell>
        </row>
        <row r="686">
          <cell r="A686" t="str">
            <v>WI</v>
          </cell>
        </row>
        <row r="687">
          <cell r="A687" t="str">
            <v>WI</v>
          </cell>
        </row>
        <row r="688">
          <cell r="A688" t="str">
            <v>WI</v>
          </cell>
        </row>
        <row r="689">
          <cell r="A689" t="str">
            <v>WI</v>
          </cell>
        </row>
        <row r="690">
          <cell r="A690" t="str">
            <v>WI</v>
          </cell>
        </row>
        <row r="691">
          <cell r="A691" t="str">
            <v>WI</v>
          </cell>
        </row>
        <row r="692">
          <cell r="A692" t="str">
            <v>XW</v>
          </cell>
        </row>
        <row r="693">
          <cell r="A693" t="str">
            <v>XW</v>
          </cell>
        </row>
        <row r="694">
          <cell r="A694" t="str">
            <v>FR</v>
          </cell>
        </row>
      </sheetData>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115A 2nd Semester"/>
      <sheetName val="DATA"/>
      <sheetName val="FB115A_Feb"/>
    </sheetNames>
    <sheetDataSet>
      <sheetData sheetId="0" refreshError="1"/>
      <sheetData sheetId="1" refreshError="1"/>
      <sheetData sheetId="2">
        <row r="1">
          <cell r="B1">
            <v>1</v>
          </cell>
          <cell r="D1" t="str">
            <v>Press arrow for your School Division Name -&gt;</v>
          </cell>
        </row>
        <row r="2">
          <cell r="D2" t="str">
            <v>BEAUTIFUL PLAINS</v>
          </cell>
        </row>
        <row r="3">
          <cell r="D3" t="str">
            <v>BORDER LAND</v>
          </cell>
        </row>
        <row r="4">
          <cell r="D4" t="str">
            <v>BRANDON</v>
          </cell>
        </row>
        <row r="5">
          <cell r="D5" t="str">
            <v>EVERGREEN</v>
          </cell>
        </row>
        <row r="6">
          <cell r="D6" t="str">
            <v>FLIN FLON</v>
          </cell>
        </row>
        <row r="7">
          <cell r="D7" t="str">
            <v>FORT LA BOSSE</v>
          </cell>
        </row>
        <row r="8">
          <cell r="D8" t="str">
            <v>FRONTIER</v>
          </cell>
        </row>
        <row r="9">
          <cell r="D9" t="str">
            <v>GARDEN VALLEY</v>
          </cell>
        </row>
        <row r="10">
          <cell r="D10" t="str">
            <v>HANOVER</v>
          </cell>
        </row>
        <row r="11">
          <cell r="D11" t="str">
            <v>INTERLAKE</v>
          </cell>
        </row>
        <row r="12">
          <cell r="D12" t="str">
            <v>KELSEY</v>
          </cell>
        </row>
        <row r="13">
          <cell r="D13" t="str">
            <v>LAKESHORE</v>
          </cell>
        </row>
        <row r="14">
          <cell r="D14" t="str">
            <v>LORD SELKIRK</v>
          </cell>
        </row>
        <row r="15">
          <cell r="D15" t="str">
            <v>LOUIS RIEL</v>
          </cell>
        </row>
        <row r="16">
          <cell r="D16" t="str">
            <v>MOUNTAIN VIEW</v>
          </cell>
        </row>
        <row r="17">
          <cell r="D17" t="str">
            <v>MYSTERY LAKE</v>
          </cell>
        </row>
        <row r="18">
          <cell r="D18" t="str">
            <v>PARK WEST</v>
          </cell>
        </row>
        <row r="19">
          <cell r="D19" t="str">
            <v>PEMBINA TRAILS</v>
          </cell>
        </row>
        <row r="20">
          <cell r="D20" t="str">
            <v>PINE CREEK</v>
          </cell>
        </row>
        <row r="21">
          <cell r="D21" t="str">
            <v>PINE FALLS</v>
          </cell>
        </row>
        <row r="22">
          <cell r="D22" t="str">
            <v>PORTAGE LA PRAIRIE</v>
          </cell>
        </row>
        <row r="23">
          <cell r="D23" t="str">
            <v>PRAIRIE ROSE</v>
          </cell>
        </row>
        <row r="24">
          <cell r="D24" t="str">
            <v>PRAIRIE SPIRIT</v>
          </cell>
        </row>
        <row r="25">
          <cell r="D25" t="str">
            <v>RED RIVER VALLEY</v>
          </cell>
        </row>
        <row r="26">
          <cell r="D26" t="str">
            <v>RIVER EAST TRANSCONA</v>
          </cell>
        </row>
        <row r="27">
          <cell r="D27" t="str">
            <v>ROLLING RIVER</v>
          </cell>
        </row>
        <row r="28">
          <cell r="D28" t="str">
            <v>SEINE RIVER</v>
          </cell>
        </row>
        <row r="29">
          <cell r="D29" t="str">
            <v>SEVEN OAKS</v>
          </cell>
        </row>
        <row r="30">
          <cell r="D30" t="str">
            <v>SOUTHWEST HORIZON</v>
          </cell>
        </row>
        <row r="31">
          <cell r="D31" t="str">
            <v>ST. JAMES-ASSINIBOIA</v>
          </cell>
        </row>
        <row r="32">
          <cell r="D32" t="str">
            <v>SUNRISE</v>
          </cell>
        </row>
        <row r="33">
          <cell r="D33" t="str">
            <v>SWAN VALLEY</v>
          </cell>
        </row>
        <row r="34">
          <cell r="D34" t="str">
            <v>TURTLE MOUNTAIN</v>
          </cell>
        </row>
        <row r="35">
          <cell r="D35" t="str">
            <v>TURTLE RIVER</v>
          </cell>
        </row>
        <row r="36">
          <cell r="D36" t="str">
            <v>WESTERN</v>
          </cell>
        </row>
        <row r="37">
          <cell r="D37" t="str">
            <v>WHITESHELL</v>
          </cell>
        </row>
        <row r="38">
          <cell r="D38" t="str">
            <v>WINNIPEG</v>
          </cell>
        </row>
        <row r="39">
          <cell r="D39" t="str">
            <v>WINNIPEG TECHNICAL COLLEGE</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 1 -"/>
      <sheetName val="- 2 -"/>
      <sheetName val="- 3 -"/>
      <sheetName val="- 4 -"/>
      <sheetName val="- 5 -"/>
      <sheetName val="- 6 -"/>
      <sheetName val="- 7 -"/>
      <sheetName val="- 8 -"/>
      <sheetName val="- 9 -"/>
      <sheetName val="- 10 -"/>
      <sheetName val="- 11 -"/>
      <sheetName val="- 12 -"/>
      <sheetName val="- 13 -"/>
      <sheetName val="- 14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0 -"/>
      <sheetName val="- 41 -"/>
      <sheetName val="- 42 -"/>
      <sheetName val="- 43 -"/>
      <sheetName val="- 44 -"/>
      <sheetName val="- 45 -"/>
      <sheetName val="- 46 -"/>
      <sheetName val="- 47 -"/>
      <sheetName val="- 48 -"/>
      <sheetName val="- 49 -"/>
      <sheetName val="- 50 - "/>
      <sheetName val="- 51 -"/>
      <sheetName val="- 52 -"/>
      <sheetName val="- 53 -"/>
      <sheetName val="- 54 -"/>
      <sheetName val="- 55 -"/>
      <sheetName val="- 56 -"/>
      <sheetName val="- 57 -"/>
      <sheetName val="- 58 -"/>
      <sheetName val="- 59 -"/>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
          <cell r="B3" t="str">
            <v>FOR THE 2008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www.edu.gov.mb.ca/k12/finance/frame_manual/index.html"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K19"/>
  <sheetViews>
    <sheetView showRowColHeaders="0" tabSelected="1" workbookViewId="0"/>
  </sheetViews>
  <sheetFormatPr defaultColWidth="0" defaultRowHeight="12" customHeight="1" zeroHeight="1" x14ac:dyDescent="0.2"/>
  <cols>
    <col min="1" max="1" width="9.33203125" style="588" customWidth="1"/>
    <col min="2" max="2" width="133.5" style="588" customWidth="1"/>
    <col min="3" max="3" width="9.33203125" style="588" customWidth="1"/>
    <col min="4" max="256" width="0" style="588" hidden="1"/>
    <col min="257" max="257" width="9.33203125" style="588" hidden="1" customWidth="1"/>
    <col min="258" max="258" width="133.5" style="588" hidden="1" customWidth="1"/>
    <col min="259" max="259" width="9.33203125" style="588" hidden="1" customWidth="1"/>
    <col min="260" max="512" width="0" style="588" hidden="1"/>
    <col min="513" max="513" width="9.33203125" style="588" hidden="1" customWidth="1"/>
    <col min="514" max="514" width="133.5" style="588" hidden="1" customWidth="1"/>
    <col min="515" max="515" width="9.33203125" style="588" hidden="1" customWidth="1"/>
    <col min="516" max="768" width="0" style="588" hidden="1"/>
    <col min="769" max="769" width="9.33203125" style="588" hidden="1" customWidth="1"/>
    <col min="770" max="770" width="133.5" style="588" hidden="1" customWidth="1"/>
    <col min="771" max="771" width="9.33203125" style="588" hidden="1" customWidth="1"/>
    <col min="772" max="1024" width="0" style="588" hidden="1"/>
    <col min="1025" max="1025" width="9.33203125" style="588" hidden="1" customWidth="1"/>
    <col min="1026" max="1026" width="133.5" style="588" hidden="1" customWidth="1"/>
    <col min="1027" max="1027" width="9.33203125" style="588" hidden="1" customWidth="1"/>
    <col min="1028" max="1280" width="0" style="588" hidden="1"/>
    <col min="1281" max="1281" width="9.33203125" style="588" hidden="1" customWidth="1"/>
    <col min="1282" max="1282" width="133.5" style="588" hidden="1" customWidth="1"/>
    <col min="1283" max="1283" width="9.33203125" style="588" hidden="1" customWidth="1"/>
    <col min="1284" max="1536" width="0" style="588" hidden="1"/>
    <col min="1537" max="1537" width="9.33203125" style="588" hidden="1" customWidth="1"/>
    <col min="1538" max="1538" width="133.5" style="588" hidden="1" customWidth="1"/>
    <col min="1539" max="1539" width="9.33203125" style="588" hidden="1" customWidth="1"/>
    <col min="1540" max="1792" width="0" style="588" hidden="1"/>
    <col min="1793" max="1793" width="9.33203125" style="588" hidden="1" customWidth="1"/>
    <col min="1794" max="1794" width="133.5" style="588" hidden="1" customWidth="1"/>
    <col min="1795" max="1795" width="9.33203125" style="588" hidden="1" customWidth="1"/>
    <col min="1796" max="2048" width="0" style="588" hidden="1"/>
    <col min="2049" max="2049" width="9.33203125" style="588" hidden="1" customWidth="1"/>
    <col min="2050" max="2050" width="133.5" style="588" hidden="1" customWidth="1"/>
    <col min="2051" max="2051" width="9.33203125" style="588" hidden="1" customWidth="1"/>
    <col min="2052" max="2304" width="0" style="588" hidden="1"/>
    <col min="2305" max="2305" width="9.33203125" style="588" hidden="1" customWidth="1"/>
    <col min="2306" max="2306" width="133.5" style="588" hidden="1" customWidth="1"/>
    <col min="2307" max="2307" width="9.33203125" style="588" hidden="1" customWidth="1"/>
    <col min="2308" max="2560" width="0" style="588" hidden="1"/>
    <col min="2561" max="2561" width="9.33203125" style="588" hidden="1" customWidth="1"/>
    <col min="2562" max="2562" width="133.5" style="588" hidden="1" customWidth="1"/>
    <col min="2563" max="2563" width="9.33203125" style="588" hidden="1" customWidth="1"/>
    <col min="2564" max="2816" width="0" style="588" hidden="1"/>
    <col min="2817" max="2817" width="9.33203125" style="588" hidden="1" customWidth="1"/>
    <col min="2818" max="2818" width="133.5" style="588" hidden="1" customWidth="1"/>
    <col min="2819" max="2819" width="9.33203125" style="588" hidden="1" customWidth="1"/>
    <col min="2820" max="3072" width="0" style="588" hidden="1"/>
    <col min="3073" max="3073" width="9.33203125" style="588" hidden="1" customWidth="1"/>
    <col min="3074" max="3074" width="133.5" style="588" hidden="1" customWidth="1"/>
    <col min="3075" max="3075" width="9.33203125" style="588" hidden="1" customWidth="1"/>
    <col min="3076" max="3328" width="0" style="588" hidden="1"/>
    <col min="3329" max="3329" width="9.33203125" style="588" hidden="1" customWidth="1"/>
    <col min="3330" max="3330" width="133.5" style="588" hidden="1" customWidth="1"/>
    <col min="3331" max="3331" width="9.33203125" style="588" hidden="1" customWidth="1"/>
    <col min="3332" max="3584" width="0" style="588" hidden="1"/>
    <col min="3585" max="3585" width="9.33203125" style="588" hidden="1" customWidth="1"/>
    <col min="3586" max="3586" width="133.5" style="588" hidden="1" customWidth="1"/>
    <col min="3587" max="3587" width="9.33203125" style="588" hidden="1" customWidth="1"/>
    <col min="3588" max="3840" width="0" style="588" hidden="1"/>
    <col min="3841" max="3841" width="9.33203125" style="588" hidden="1" customWidth="1"/>
    <col min="3842" max="3842" width="133.5" style="588" hidden="1" customWidth="1"/>
    <col min="3843" max="3843" width="9.33203125" style="588" hidden="1" customWidth="1"/>
    <col min="3844" max="4096" width="0" style="588" hidden="1"/>
    <col min="4097" max="4097" width="9.33203125" style="588" hidden="1" customWidth="1"/>
    <col min="4098" max="4098" width="133.5" style="588" hidden="1" customWidth="1"/>
    <col min="4099" max="4099" width="9.33203125" style="588" hidden="1" customWidth="1"/>
    <col min="4100" max="4352" width="0" style="588" hidden="1"/>
    <col min="4353" max="4353" width="9.33203125" style="588" hidden="1" customWidth="1"/>
    <col min="4354" max="4354" width="133.5" style="588" hidden="1" customWidth="1"/>
    <col min="4355" max="4355" width="9.33203125" style="588" hidden="1" customWidth="1"/>
    <col min="4356" max="4608" width="0" style="588" hidden="1"/>
    <col min="4609" max="4609" width="9.33203125" style="588" hidden="1" customWidth="1"/>
    <col min="4610" max="4610" width="133.5" style="588" hidden="1" customWidth="1"/>
    <col min="4611" max="4611" width="9.33203125" style="588" hidden="1" customWidth="1"/>
    <col min="4612" max="4864" width="0" style="588" hidden="1"/>
    <col min="4865" max="4865" width="9.33203125" style="588" hidden="1" customWidth="1"/>
    <col min="4866" max="4866" width="133.5" style="588" hidden="1" customWidth="1"/>
    <col min="4867" max="4867" width="9.33203125" style="588" hidden="1" customWidth="1"/>
    <col min="4868" max="5120" width="0" style="588" hidden="1"/>
    <col min="5121" max="5121" width="9.33203125" style="588" hidden="1" customWidth="1"/>
    <col min="5122" max="5122" width="133.5" style="588" hidden="1" customWidth="1"/>
    <col min="5123" max="5123" width="9.33203125" style="588" hidden="1" customWidth="1"/>
    <col min="5124" max="5376" width="0" style="588" hidden="1"/>
    <col min="5377" max="5377" width="9.33203125" style="588" hidden="1" customWidth="1"/>
    <col min="5378" max="5378" width="133.5" style="588" hidden="1" customWidth="1"/>
    <col min="5379" max="5379" width="9.33203125" style="588" hidden="1" customWidth="1"/>
    <col min="5380" max="5632" width="0" style="588" hidden="1"/>
    <col min="5633" max="5633" width="9.33203125" style="588" hidden="1" customWidth="1"/>
    <col min="5634" max="5634" width="133.5" style="588" hidden="1" customWidth="1"/>
    <col min="5635" max="5635" width="9.33203125" style="588" hidden="1" customWidth="1"/>
    <col min="5636" max="5888" width="0" style="588" hidden="1"/>
    <col min="5889" max="5889" width="9.33203125" style="588" hidden="1" customWidth="1"/>
    <col min="5890" max="5890" width="133.5" style="588" hidden="1" customWidth="1"/>
    <col min="5891" max="5891" width="9.33203125" style="588" hidden="1" customWidth="1"/>
    <col min="5892" max="6144" width="0" style="588" hidden="1"/>
    <col min="6145" max="6145" width="9.33203125" style="588" hidden="1" customWidth="1"/>
    <col min="6146" max="6146" width="133.5" style="588" hidden="1" customWidth="1"/>
    <col min="6147" max="6147" width="9.33203125" style="588" hidden="1" customWidth="1"/>
    <col min="6148" max="6400" width="0" style="588" hidden="1"/>
    <col min="6401" max="6401" width="9.33203125" style="588" hidden="1" customWidth="1"/>
    <col min="6402" max="6402" width="133.5" style="588" hidden="1" customWidth="1"/>
    <col min="6403" max="6403" width="9.33203125" style="588" hidden="1" customWidth="1"/>
    <col min="6404" max="6656" width="0" style="588" hidden="1"/>
    <col min="6657" max="6657" width="9.33203125" style="588" hidden="1" customWidth="1"/>
    <col min="6658" max="6658" width="133.5" style="588" hidden="1" customWidth="1"/>
    <col min="6659" max="6659" width="9.33203125" style="588" hidden="1" customWidth="1"/>
    <col min="6660" max="6912" width="0" style="588" hidden="1"/>
    <col min="6913" max="6913" width="9.33203125" style="588" hidden="1" customWidth="1"/>
    <col min="6914" max="6914" width="133.5" style="588" hidden="1" customWidth="1"/>
    <col min="6915" max="6915" width="9.33203125" style="588" hidden="1" customWidth="1"/>
    <col min="6916" max="7168" width="0" style="588" hidden="1"/>
    <col min="7169" max="7169" width="9.33203125" style="588" hidden="1" customWidth="1"/>
    <col min="7170" max="7170" width="133.5" style="588" hidden="1" customWidth="1"/>
    <col min="7171" max="7171" width="9.33203125" style="588" hidden="1" customWidth="1"/>
    <col min="7172" max="7424" width="0" style="588" hidden="1"/>
    <col min="7425" max="7425" width="9.33203125" style="588" hidden="1" customWidth="1"/>
    <col min="7426" max="7426" width="133.5" style="588" hidden="1" customWidth="1"/>
    <col min="7427" max="7427" width="9.33203125" style="588" hidden="1" customWidth="1"/>
    <col min="7428" max="7680" width="0" style="588" hidden="1"/>
    <col min="7681" max="7681" width="9.33203125" style="588" hidden="1" customWidth="1"/>
    <col min="7682" max="7682" width="133.5" style="588" hidden="1" customWidth="1"/>
    <col min="7683" max="7683" width="9.33203125" style="588" hidden="1" customWidth="1"/>
    <col min="7684" max="7936" width="0" style="588" hidden="1"/>
    <col min="7937" max="7937" width="9.33203125" style="588" hidden="1" customWidth="1"/>
    <col min="7938" max="7938" width="133.5" style="588" hidden="1" customWidth="1"/>
    <col min="7939" max="7939" width="9.33203125" style="588" hidden="1" customWidth="1"/>
    <col min="7940" max="8192" width="0" style="588" hidden="1"/>
    <col min="8193" max="8193" width="9.33203125" style="588" hidden="1" customWidth="1"/>
    <col min="8194" max="8194" width="133.5" style="588" hidden="1" customWidth="1"/>
    <col min="8195" max="8195" width="9.33203125" style="588" hidden="1" customWidth="1"/>
    <col min="8196" max="8448" width="0" style="588" hidden="1"/>
    <col min="8449" max="8449" width="9.33203125" style="588" hidden="1" customWidth="1"/>
    <col min="8450" max="8450" width="133.5" style="588" hidden="1" customWidth="1"/>
    <col min="8451" max="8451" width="9.33203125" style="588" hidden="1" customWidth="1"/>
    <col min="8452" max="8704" width="0" style="588" hidden="1"/>
    <col min="8705" max="8705" width="9.33203125" style="588" hidden="1" customWidth="1"/>
    <col min="8706" max="8706" width="133.5" style="588" hidden="1" customWidth="1"/>
    <col min="8707" max="8707" width="9.33203125" style="588" hidden="1" customWidth="1"/>
    <col min="8708" max="8960" width="0" style="588" hidden="1"/>
    <col min="8961" max="8961" width="9.33203125" style="588" hidden="1" customWidth="1"/>
    <col min="8962" max="8962" width="133.5" style="588" hidden="1" customWidth="1"/>
    <col min="8963" max="8963" width="9.33203125" style="588" hidden="1" customWidth="1"/>
    <col min="8964" max="9216" width="0" style="588" hidden="1"/>
    <col min="9217" max="9217" width="9.33203125" style="588" hidden="1" customWidth="1"/>
    <col min="9218" max="9218" width="133.5" style="588" hidden="1" customWidth="1"/>
    <col min="9219" max="9219" width="9.33203125" style="588" hidden="1" customWidth="1"/>
    <col min="9220" max="9472" width="0" style="588" hidden="1"/>
    <col min="9473" max="9473" width="9.33203125" style="588" hidden="1" customWidth="1"/>
    <col min="9474" max="9474" width="133.5" style="588" hidden="1" customWidth="1"/>
    <col min="9475" max="9475" width="9.33203125" style="588" hidden="1" customWidth="1"/>
    <col min="9476" max="9728" width="0" style="588" hidden="1"/>
    <col min="9729" max="9729" width="9.33203125" style="588" hidden="1" customWidth="1"/>
    <col min="9730" max="9730" width="133.5" style="588" hidden="1" customWidth="1"/>
    <col min="9731" max="9731" width="9.33203125" style="588" hidden="1" customWidth="1"/>
    <col min="9732" max="9984" width="0" style="588" hidden="1"/>
    <col min="9985" max="9985" width="9.33203125" style="588" hidden="1" customWidth="1"/>
    <col min="9986" max="9986" width="133.5" style="588" hidden="1" customWidth="1"/>
    <col min="9987" max="9987" width="9.33203125" style="588" hidden="1" customWidth="1"/>
    <col min="9988" max="10240" width="0" style="588" hidden="1"/>
    <col min="10241" max="10241" width="9.33203125" style="588" hidden="1" customWidth="1"/>
    <col min="10242" max="10242" width="133.5" style="588" hidden="1" customWidth="1"/>
    <col min="10243" max="10243" width="9.33203125" style="588" hidden="1" customWidth="1"/>
    <col min="10244" max="10496" width="0" style="588" hidden="1"/>
    <col min="10497" max="10497" width="9.33203125" style="588" hidden="1" customWidth="1"/>
    <col min="10498" max="10498" width="133.5" style="588" hidden="1" customWidth="1"/>
    <col min="10499" max="10499" width="9.33203125" style="588" hidden="1" customWidth="1"/>
    <col min="10500" max="10752" width="0" style="588" hidden="1"/>
    <col min="10753" max="10753" width="9.33203125" style="588" hidden="1" customWidth="1"/>
    <col min="10754" max="10754" width="133.5" style="588" hidden="1" customWidth="1"/>
    <col min="10755" max="10755" width="9.33203125" style="588" hidden="1" customWidth="1"/>
    <col min="10756" max="11008" width="0" style="588" hidden="1"/>
    <col min="11009" max="11009" width="9.33203125" style="588" hidden="1" customWidth="1"/>
    <col min="11010" max="11010" width="133.5" style="588" hidden="1" customWidth="1"/>
    <col min="11011" max="11011" width="9.33203125" style="588" hidden="1" customWidth="1"/>
    <col min="11012" max="11264" width="0" style="588" hidden="1"/>
    <col min="11265" max="11265" width="9.33203125" style="588" hidden="1" customWidth="1"/>
    <col min="11266" max="11266" width="133.5" style="588" hidden="1" customWidth="1"/>
    <col min="11267" max="11267" width="9.33203125" style="588" hidden="1" customWidth="1"/>
    <col min="11268" max="11520" width="0" style="588" hidden="1"/>
    <col min="11521" max="11521" width="9.33203125" style="588" hidden="1" customWidth="1"/>
    <col min="11522" max="11522" width="133.5" style="588" hidden="1" customWidth="1"/>
    <col min="11523" max="11523" width="9.33203125" style="588" hidden="1" customWidth="1"/>
    <col min="11524" max="11776" width="0" style="588" hidden="1"/>
    <col min="11777" max="11777" width="9.33203125" style="588" hidden="1" customWidth="1"/>
    <col min="11778" max="11778" width="133.5" style="588" hidden="1" customWidth="1"/>
    <col min="11779" max="11779" width="9.33203125" style="588" hidden="1" customWidth="1"/>
    <col min="11780" max="12032" width="0" style="588" hidden="1"/>
    <col min="12033" max="12033" width="9.33203125" style="588" hidden="1" customWidth="1"/>
    <col min="12034" max="12034" width="133.5" style="588" hidden="1" customWidth="1"/>
    <col min="12035" max="12035" width="9.33203125" style="588" hidden="1" customWidth="1"/>
    <col min="12036" max="12288" width="0" style="588" hidden="1"/>
    <col min="12289" max="12289" width="9.33203125" style="588" hidden="1" customWidth="1"/>
    <col min="12290" max="12290" width="133.5" style="588" hidden="1" customWidth="1"/>
    <col min="12291" max="12291" width="9.33203125" style="588" hidden="1" customWidth="1"/>
    <col min="12292" max="12544" width="0" style="588" hidden="1"/>
    <col min="12545" max="12545" width="9.33203125" style="588" hidden="1" customWidth="1"/>
    <col min="12546" max="12546" width="133.5" style="588" hidden="1" customWidth="1"/>
    <col min="12547" max="12547" width="9.33203125" style="588" hidden="1" customWidth="1"/>
    <col min="12548" max="12800" width="0" style="588" hidden="1"/>
    <col min="12801" max="12801" width="9.33203125" style="588" hidden="1" customWidth="1"/>
    <col min="12802" max="12802" width="133.5" style="588" hidden="1" customWidth="1"/>
    <col min="12803" max="12803" width="9.33203125" style="588" hidden="1" customWidth="1"/>
    <col min="12804" max="13056" width="0" style="588" hidden="1"/>
    <col min="13057" max="13057" width="9.33203125" style="588" hidden="1" customWidth="1"/>
    <col min="13058" max="13058" width="133.5" style="588" hidden="1" customWidth="1"/>
    <col min="13059" max="13059" width="9.33203125" style="588" hidden="1" customWidth="1"/>
    <col min="13060" max="13312" width="0" style="588" hidden="1"/>
    <col min="13313" max="13313" width="9.33203125" style="588" hidden="1" customWidth="1"/>
    <col min="13314" max="13314" width="133.5" style="588" hidden="1" customWidth="1"/>
    <col min="13315" max="13315" width="9.33203125" style="588" hidden="1" customWidth="1"/>
    <col min="13316" max="13568" width="0" style="588" hidden="1"/>
    <col min="13569" max="13569" width="9.33203125" style="588" hidden="1" customWidth="1"/>
    <col min="13570" max="13570" width="133.5" style="588" hidden="1" customWidth="1"/>
    <col min="13571" max="13571" width="9.33203125" style="588" hidden="1" customWidth="1"/>
    <col min="13572" max="13824" width="0" style="588" hidden="1"/>
    <col min="13825" max="13825" width="9.33203125" style="588" hidden="1" customWidth="1"/>
    <col min="13826" max="13826" width="133.5" style="588" hidden="1" customWidth="1"/>
    <col min="13827" max="13827" width="9.33203125" style="588" hidden="1" customWidth="1"/>
    <col min="13828" max="14080" width="0" style="588" hidden="1"/>
    <col min="14081" max="14081" width="9.33203125" style="588" hidden="1" customWidth="1"/>
    <col min="14082" max="14082" width="133.5" style="588" hidden="1" customWidth="1"/>
    <col min="14083" max="14083" width="9.33203125" style="588" hidden="1" customWidth="1"/>
    <col min="14084" max="14336" width="0" style="588" hidden="1"/>
    <col min="14337" max="14337" width="9.33203125" style="588" hidden="1" customWidth="1"/>
    <col min="14338" max="14338" width="133.5" style="588" hidden="1" customWidth="1"/>
    <col min="14339" max="14339" width="9.33203125" style="588" hidden="1" customWidth="1"/>
    <col min="14340" max="14592" width="0" style="588" hidden="1"/>
    <col min="14593" max="14593" width="9.33203125" style="588" hidden="1" customWidth="1"/>
    <col min="14594" max="14594" width="133.5" style="588" hidden="1" customWidth="1"/>
    <col min="14595" max="14595" width="9.33203125" style="588" hidden="1" customWidth="1"/>
    <col min="14596" max="14848" width="0" style="588" hidden="1"/>
    <col min="14849" max="14849" width="9.33203125" style="588" hidden="1" customWidth="1"/>
    <col min="14850" max="14850" width="133.5" style="588" hidden="1" customWidth="1"/>
    <col min="14851" max="14851" width="9.33203125" style="588" hidden="1" customWidth="1"/>
    <col min="14852" max="15104" width="0" style="588" hidden="1"/>
    <col min="15105" max="15105" width="9.33203125" style="588" hidden="1" customWidth="1"/>
    <col min="15106" max="15106" width="133.5" style="588" hidden="1" customWidth="1"/>
    <col min="15107" max="15107" width="9.33203125" style="588" hidden="1" customWidth="1"/>
    <col min="15108" max="15360" width="0" style="588" hidden="1"/>
    <col min="15361" max="15361" width="9.33203125" style="588" hidden="1" customWidth="1"/>
    <col min="15362" max="15362" width="133.5" style="588" hidden="1" customWidth="1"/>
    <col min="15363" max="15363" width="9.33203125" style="588" hidden="1" customWidth="1"/>
    <col min="15364" max="15616" width="0" style="588" hidden="1"/>
    <col min="15617" max="15617" width="9.33203125" style="588" hidden="1" customWidth="1"/>
    <col min="15618" max="15618" width="133.5" style="588" hidden="1" customWidth="1"/>
    <col min="15619" max="15619" width="9.33203125" style="588" hidden="1" customWidth="1"/>
    <col min="15620" max="15872" width="0" style="588" hidden="1"/>
    <col min="15873" max="15873" width="9.33203125" style="588" hidden="1" customWidth="1"/>
    <col min="15874" max="15874" width="133.5" style="588" hidden="1" customWidth="1"/>
    <col min="15875" max="15875" width="9.33203125" style="588" hidden="1" customWidth="1"/>
    <col min="15876" max="16128" width="0" style="588" hidden="1"/>
    <col min="16129" max="16129" width="9.33203125" style="588" hidden="1" customWidth="1"/>
    <col min="16130" max="16130" width="133.5" style="588" hidden="1" customWidth="1"/>
    <col min="16131" max="16131" width="9.33203125" style="588" hidden="1" customWidth="1"/>
    <col min="16132" max="16384" width="0" style="588" hidden="1"/>
  </cols>
  <sheetData>
    <row r="1" spans="1:3" ht="14.25" x14ac:dyDescent="0.2">
      <c r="A1" s="587"/>
      <c r="B1" s="587"/>
      <c r="C1" s="587"/>
    </row>
    <row r="2" spans="1:3" ht="15" x14ac:dyDescent="0.25">
      <c r="A2" s="587"/>
      <c r="B2" s="589" t="s">
        <v>655</v>
      </c>
      <c r="C2" s="587"/>
    </row>
    <row r="3" spans="1:3" ht="14.25" x14ac:dyDescent="0.2">
      <c r="A3" s="587"/>
      <c r="B3" s="587"/>
      <c r="C3" s="587"/>
    </row>
    <row r="4" spans="1:3" ht="14.25" x14ac:dyDescent="0.2">
      <c r="A4" s="587"/>
      <c r="B4" s="590" t="s">
        <v>650</v>
      </c>
      <c r="C4" s="590"/>
    </row>
    <row r="5" spans="1:3" ht="14.25" x14ac:dyDescent="0.2">
      <c r="A5" s="587"/>
      <c r="B5" s="587"/>
      <c r="C5" s="587"/>
    </row>
    <row r="6" spans="1:3" ht="14.25" x14ac:dyDescent="0.2">
      <c r="A6" s="587"/>
      <c r="B6" s="591" t="s">
        <v>651</v>
      </c>
      <c r="C6" s="587"/>
    </row>
    <row r="7" spans="1:3" ht="14.25" x14ac:dyDescent="0.2">
      <c r="A7" s="587"/>
      <c r="B7" s="591"/>
      <c r="C7" s="587"/>
    </row>
    <row r="8" spans="1:3" ht="14.25" x14ac:dyDescent="0.2">
      <c r="A8" s="587"/>
      <c r="B8" s="592" t="s">
        <v>652</v>
      </c>
      <c r="C8" s="587"/>
    </row>
    <row r="9" spans="1:3" ht="14.25" x14ac:dyDescent="0.2">
      <c r="A9" s="587"/>
      <c r="B9" s="592"/>
      <c r="C9" s="587"/>
    </row>
    <row r="10" spans="1:3" ht="14.25" x14ac:dyDescent="0.2">
      <c r="A10" s="587"/>
      <c r="B10" s="592"/>
      <c r="C10" s="587"/>
    </row>
    <row r="11" spans="1:3" ht="14.25" x14ac:dyDescent="0.2">
      <c r="A11" s="587"/>
      <c r="B11" s="587"/>
      <c r="C11" s="587"/>
    </row>
    <row r="12" spans="1:3" ht="14.25" x14ac:dyDescent="0.2">
      <c r="A12" s="587"/>
      <c r="B12" s="592" t="s">
        <v>653</v>
      </c>
      <c r="C12" s="587"/>
    </row>
    <row r="13" spans="1:3" ht="14.25" x14ac:dyDescent="0.2">
      <c r="A13" s="587"/>
      <c r="B13" s="592"/>
      <c r="C13" s="587"/>
    </row>
    <row r="14" spans="1:3" ht="14.25" x14ac:dyDescent="0.2">
      <c r="A14" s="587"/>
      <c r="B14" s="587"/>
      <c r="C14" s="587"/>
    </row>
    <row r="15" spans="1:3" ht="14.25" x14ac:dyDescent="0.2">
      <c r="A15" s="587"/>
      <c r="B15" s="592" t="s">
        <v>654</v>
      </c>
      <c r="C15" s="587"/>
    </row>
    <row r="16" spans="1:3" ht="14.25" x14ac:dyDescent="0.2">
      <c r="A16" s="587"/>
      <c r="B16" s="592"/>
      <c r="C16" s="587"/>
    </row>
    <row r="17" spans="1:3" ht="14.25" x14ac:dyDescent="0.2">
      <c r="A17" s="587"/>
      <c r="B17" s="592"/>
      <c r="C17" s="587"/>
    </row>
    <row r="18" spans="1:3" ht="40.5" customHeight="1" x14ac:dyDescent="0.2">
      <c r="A18" s="587"/>
      <c r="B18" s="590"/>
      <c r="C18" s="587"/>
    </row>
    <row r="19" spans="1:3" hidden="1" x14ac:dyDescent="0.2"/>
  </sheetData>
  <mergeCells count="4">
    <mergeCell ref="B6:B7"/>
    <mergeCell ref="B8:B10"/>
    <mergeCell ref="B12:B13"/>
    <mergeCell ref="B15:B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2:O54"/>
  <sheetViews>
    <sheetView showGridLines="0" showZeros="0" workbookViewId="0"/>
  </sheetViews>
  <sheetFormatPr defaultColWidth="14.83203125" defaultRowHeight="12" x14ac:dyDescent="0.2"/>
  <cols>
    <col min="1" max="1" width="48.83203125" style="2" customWidth="1"/>
    <col min="2" max="2" width="22.83203125" style="2" customWidth="1"/>
    <col min="3" max="3" width="7.83203125" style="2" customWidth="1"/>
    <col min="4" max="4" width="15.83203125" style="2" customWidth="1"/>
    <col min="5" max="5" width="7.83203125" style="2" customWidth="1"/>
    <col min="6" max="6" width="15.83203125" style="2" customWidth="1"/>
    <col min="7" max="7" width="7.83203125" style="2" customWidth="1"/>
    <col min="8" max="8" width="12.83203125" style="2" customWidth="1"/>
    <col min="9" max="9" width="7.83203125" style="2" customWidth="1"/>
    <col min="10" max="10" width="15.83203125" style="2" customWidth="1"/>
    <col min="11" max="11" width="8.83203125" style="2" customWidth="1"/>
    <col min="12" max="12" width="5.83203125" style="2" customWidth="1"/>
    <col min="13" max="13" width="45.6640625" style="2" hidden="1" customWidth="1"/>
    <col min="14" max="17" width="0" style="2" hidden="1" customWidth="1"/>
    <col min="18" max="16384" width="14.83203125" style="2"/>
  </cols>
  <sheetData>
    <row r="2" spans="1:14" x14ac:dyDescent="0.2">
      <c r="A2" s="39"/>
      <c r="B2" s="39"/>
      <c r="C2" s="40" t="str">
        <f>OPYEAR</f>
        <v>OPERATING FUND 2016/2017 ACTUAL</v>
      </c>
      <c r="D2" s="40"/>
      <c r="E2" s="40"/>
      <c r="F2" s="41"/>
      <c r="G2" s="41"/>
      <c r="H2" s="41"/>
      <c r="I2" s="41"/>
      <c r="J2" s="42"/>
      <c r="K2" s="111" t="s">
        <v>77</v>
      </c>
    </row>
    <row r="3" spans="1:14" ht="11.1" customHeight="1" x14ac:dyDescent="0.2">
      <c r="A3" s="538"/>
      <c r="J3" s="80"/>
      <c r="K3" s="80"/>
    </row>
    <row r="4" spans="1:14" ht="15.75" x14ac:dyDescent="0.25">
      <c r="B4" s="280" t="s">
        <v>258</v>
      </c>
      <c r="C4" s="80"/>
      <c r="D4" s="80"/>
      <c r="E4" s="80"/>
      <c r="F4" s="80"/>
      <c r="G4" s="80"/>
      <c r="H4" s="80"/>
      <c r="I4" s="80"/>
      <c r="J4" s="80"/>
      <c r="K4" s="80"/>
    </row>
    <row r="5" spans="1:14" ht="15.75" x14ac:dyDescent="0.25">
      <c r="B5" s="280" t="s">
        <v>259</v>
      </c>
      <c r="C5" s="80"/>
      <c r="D5" s="80"/>
      <c r="E5" s="80"/>
      <c r="F5" s="80"/>
      <c r="G5" s="80"/>
      <c r="H5" s="80"/>
      <c r="I5" s="80"/>
      <c r="J5" s="80"/>
      <c r="K5" s="80"/>
    </row>
    <row r="6" spans="1:14" ht="11.1" customHeight="1" x14ac:dyDescent="0.2"/>
    <row r="7" spans="1:14" x14ac:dyDescent="0.2">
      <c r="B7" s="112" t="s">
        <v>78</v>
      </c>
      <c r="C7" s="41"/>
      <c r="D7" s="41"/>
      <c r="E7" s="41"/>
      <c r="F7" s="41"/>
      <c r="G7" s="41"/>
      <c r="H7" s="41"/>
      <c r="I7" s="113"/>
    </row>
    <row r="8" spans="1:14" x14ac:dyDescent="0.2">
      <c r="A8" s="8"/>
      <c r="B8" s="647" t="s">
        <v>469</v>
      </c>
      <c r="C8" s="644"/>
      <c r="D8" s="647" t="s">
        <v>75</v>
      </c>
      <c r="E8" s="644"/>
      <c r="F8" s="647" t="s">
        <v>76</v>
      </c>
      <c r="G8" s="644"/>
      <c r="H8" s="311"/>
      <c r="I8" s="306"/>
      <c r="J8" s="316"/>
      <c r="K8" s="306"/>
    </row>
    <row r="9" spans="1:14" x14ac:dyDescent="0.2">
      <c r="A9" s="8"/>
      <c r="B9" s="645"/>
      <c r="C9" s="646"/>
      <c r="D9" s="645"/>
      <c r="E9" s="646"/>
      <c r="F9" s="645"/>
      <c r="G9" s="646"/>
      <c r="H9" s="648" t="s">
        <v>30</v>
      </c>
      <c r="I9" s="649"/>
      <c r="J9" s="648" t="s">
        <v>31</v>
      </c>
      <c r="K9" s="649"/>
    </row>
    <row r="10" spans="1:14" x14ac:dyDescent="0.2">
      <c r="A10" s="114" t="s">
        <v>71</v>
      </c>
      <c r="B10" s="115" t="s">
        <v>43</v>
      </c>
      <c r="C10" s="115" t="s">
        <v>44</v>
      </c>
      <c r="D10" s="115" t="s">
        <v>43</v>
      </c>
      <c r="E10" s="115" t="s">
        <v>44</v>
      </c>
      <c r="F10" s="115" t="s">
        <v>43</v>
      </c>
      <c r="G10" s="115" t="s">
        <v>44</v>
      </c>
      <c r="H10" s="115" t="s">
        <v>43</v>
      </c>
      <c r="I10" s="46" t="s">
        <v>44</v>
      </c>
      <c r="J10" s="115" t="s">
        <v>43</v>
      </c>
      <c r="K10" s="46" t="s">
        <v>44</v>
      </c>
    </row>
    <row r="11" spans="1:14" ht="5.0999999999999996" customHeight="1" x14ac:dyDescent="0.2"/>
    <row r="12" spans="1:14" x14ac:dyDescent="0.2">
      <c r="A12" s="313" t="s">
        <v>72</v>
      </c>
      <c r="B12" s="117"/>
      <c r="C12" s="118"/>
      <c r="D12" s="117"/>
      <c r="E12" s="118"/>
      <c r="F12" s="117"/>
      <c r="G12" s="118"/>
      <c r="H12" s="117"/>
      <c r="I12" s="118"/>
      <c r="J12" s="117"/>
      <c r="K12" s="118"/>
      <c r="M12" s="2" t="s">
        <v>72</v>
      </c>
      <c r="N12" s="131">
        <f>K21/100</f>
        <v>0.76730194715255562</v>
      </c>
    </row>
    <row r="13" spans="1:14" x14ac:dyDescent="0.2">
      <c r="A13" s="119" t="s">
        <v>190</v>
      </c>
      <c r="B13" s="120"/>
      <c r="C13" s="339"/>
      <c r="D13" s="120"/>
      <c r="E13" s="339"/>
      <c r="F13" s="120"/>
      <c r="G13" s="339"/>
      <c r="H13" s="120"/>
      <c r="I13" s="339"/>
      <c r="J13" s="120">
        <f>SUM(F13,D13,B13,'- 12 -'!J13,'- 12 -'!H13,'- 12 -'!F13,'- 12 -'!D13,'- 12 -'!B13)</f>
        <v>4026118</v>
      </c>
      <c r="K13" s="339">
        <f t="shared" ref="K13:K22" si="0">J13/$J$53*100</f>
        <v>0.17558206100570592</v>
      </c>
      <c r="M13" s="2" t="s">
        <v>89</v>
      </c>
      <c r="N13" s="131">
        <f>K22/100</f>
        <v>6.2790542438606198E-2</v>
      </c>
    </row>
    <row r="14" spans="1:14" x14ac:dyDescent="0.2">
      <c r="A14" s="119" t="s">
        <v>226</v>
      </c>
      <c r="B14" s="120">
        <v>3603977</v>
      </c>
      <c r="C14" s="339">
        <f>B14/$J$53*100</f>
        <v>0.15717217167434261</v>
      </c>
      <c r="D14" s="120">
        <v>3166066</v>
      </c>
      <c r="E14" s="339">
        <f>D14/$J$53*100</f>
        <v>0.13807454067667446</v>
      </c>
      <c r="F14" s="120">
        <v>5037850</v>
      </c>
      <c r="G14" s="339">
        <f>F14/$J$53*100</f>
        <v>0.21970446122979892</v>
      </c>
      <c r="H14" s="120"/>
      <c r="I14" s="339"/>
      <c r="J14" s="120">
        <f>SUM(F14,D14,B14,'- 12 -'!J14,'- 12 -'!H14,'- 12 -'!F14,'- 12 -'!D14,'- 12 -'!B14)</f>
        <v>135542745</v>
      </c>
      <c r="K14" s="339">
        <f t="shared" si="0"/>
        <v>5.9111219595329398</v>
      </c>
      <c r="M14" s="2" t="s">
        <v>67</v>
      </c>
      <c r="N14" s="131">
        <f>K39/100</f>
        <v>8.9599487776768336E-2</v>
      </c>
    </row>
    <row r="15" spans="1:14" x14ac:dyDescent="0.2">
      <c r="A15" s="119" t="s">
        <v>191</v>
      </c>
      <c r="B15" s="120">
        <v>26876488</v>
      </c>
      <c r="C15" s="339">
        <f>B15/$J$53*100</f>
        <v>1.1721040356082764</v>
      </c>
      <c r="D15" s="120"/>
      <c r="E15" s="339">
        <f>D15/$J$53*100</f>
        <v>0</v>
      </c>
      <c r="F15" s="120"/>
      <c r="G15" s="339">
        <f>F15/$J$53*100</f>
        <v>0</v>
      </c>
      <c r="H15" s="120"/>
      <c r="I15" s="339"/>
      <c r="J15" s="120">
        <f>SUM(F15,D15,B15,'- 12 -'!J15,'- 12 -'!H15,'- 12 -'!F15,'- 12 -'!D15,'- 12 -'!B15)</f>
        <v>1122614400</v>
      </c>
      <c r="K15" s="339">
        <f t="shared" si="0"/>
        <v>48.958065825861027</v>
      </c>
      <c r="M15" s="2" t="s">
        <v>90</v>
      </c>
      <c r="N15" s="131">
        <f>K45/100</f>
        <v>6.3291720767617535E-2</v>
      </c>
    </row>
    <row r="16" spans="1:14" x14ac:dyDescent="0.2">
      <c r="A16" s="119" t="s">
        <v>192</v>
      </c>
      <c r="B16" s="120">
        <v>15287201</v>
      </c>
      <c r="C16" s="339">
        <f>B16/$J$53*100</f>
        <v>0.66668643556609331</v>
      </c>
      <c r="D16" s="120">
        <v>339790</v>
      </c>
      <c r="E16" s="339">
        <f>D16/$J$53*100</f>
        <v>1.4818499733273793E-2</v>
      </c>
      <c r="F16" s="120"/>
      <c r="G16" s="339">
        <f>F16/$J$53*100</f>
        <v>0</v>
      </c>
      <c r="H16" s="120"/>
      <c r="I16" s="339"/>
      <c r="J16" s="120">
        <f>SUM(F16,D16,B16,'- 12 -'!J16,'- 12 -'!H16,'- 12 -'!F16,'- 12 -'!D16,'- 12 -'!B16)</f>
        <v>205680468</v>
      </c>
      <c r="K16" s="339">
        <f t="shared" si="0"/>
        <v>8.9698812801954997</v>
      </c>
      <c r="M16" s="2" t="s">
        <v>37</v>
      </c>
      <c r="N16" s="131">
        <f>K48/100</f>
        <v>7.9626049796939144E-4</v>
      </c>
    </row>
    <row r="17" spans="1:15" x14ac:dyDescent="0.2">
      <c r="A17" s="119" t="s">
        <v>193</v>
      </c>
      <c r="B17" s="120">
        <v>3989581</v>
      </c>
      <c r="C17" s="339">
        <f>B17/$J$53*100</f>
        <v>0.17398865471136346</v>
      </c>
      <c r="D17" s="120">
        <v>42683628</v>
      </c>
      <c r="E17" s="339">
        <f>D17/$J$53*100</f>
        <v>1.8614654054950344</v>
      </c>
      <c r="F17" s="120">
        <v>108706987</v>
      </c>
      <c r="G17" s="339">
        <f>F17/$J$53*100</f>
        <v>4.7407941901306616</v>
      </c>
      <c r="H17" s="120"/>
      <c r="I17" s="339"/>
      <c r="J17" s="120">
        <f>SUM(F17,D17,B17,'- 12 -'!J17,'- 12 -'!H17,'- 12 -'!F17,'- 12 -'!D17,'- 12 -'!B17)</f>
        <v>172615798</v>
      </c>
      <c r="K17" s="339">
        <f t="shared" si="0"/>
        <v>7.5279059319633967</v>
      </c>
      <c r="M17" s="2" t="s">
        <v>47</v>
      </c>
      <c r="N17" s="131">
        <f>K51/100-N16</f>
        <v>1.6220041366482776E-2</v>
      </c>
    </row>
    <row r="18" spans="1:15" x14ac:dyDescent="0.2">
      <c r="A18" s="121" t="s">
        <v>194</v>
      </c>
      <c r="B18" s="120">
        <v>2115880</v>
      </c>
      <c r="C18" s="339">
        <f>B18/$J$53*100</f>
        <v>9.2275132333615908E-2</v>
      </c>
      <c r="D18" s="120">
        <v>1702836</v>
      </c>
      <c r="E18" s="339">
        <f>D18/$J$53*100</f>
        <v>7.4261970075072861E-2</v>
      </c>
      <c r="F18" s="120">
        <v>1754286</v>
      </c>
      <c r="G18" s="339">
        <f>F18/$J$53*100</f>
        <v>7.650574361542703E-2</v>
      </c>
      <c r="H18" s="120"/>
      <c r="I18" s="339"/>
      <c r="J18" s="120">
        <f>SUM(F18,D18,B18,'- 12 -'!J18,'- 12 -'!H18,'- 12 -'!F18,'- 12 -'!D18,'- 12 -'!B18)</f>
        <v>64093407</v>
      </c>
      <c r="K18" s="339">
        <f t="shared" si="0"/>
        <v>2.7951621134645181</v>
      </c>
      <c r="N18" s="131"/>
    </row>
    <row r="19" spans="1:15" x14ac:dyDescent="0.2">
      <c r="A19" s="121" t="s">
        <v>195</v>
      </c>
      <c r="B19" s="122"/>
      <c r="C19" s="340"/>
      <c r="D19" s="122"/>
      <c r="E19" s="340"/>
      <c r="F19" s="122"/>
      <c r="G19" s="340"/>
      <c r="H19" s="122"/>
      <c r="I19" s="340"/>
      <c r="J19" s="122">
        <f>SUM(F19,D19,B19,'- 12 -'!J19,'- 12 -'!H19,'- 12 -'!F19,'- 12 -'!D19,'- 12 -'!B19)</f>
        <v>38342271</v>
      </c>
      <c r="K19" s="340">
        <f t="shared" si="0"/>
        <v>1.6721355324953984</v>
      </c>
      <c r="N19" s="131">
        <f>SUM(N12:N17)</f>
        <v>0.99999999999999989</v>
      </c>
    </row>
    <row r="20" spans="1:15" x14ac:dyDescent="0.2">
      <c r="A20" s="124" t="s">
        <v>196</v>
      </c>
      <c r="B20" s="123">
        <v>376586</v>
      </c>
      <c r="C20" s="340">
        <f>B20/'- 13 -'!$J$53*100</f>
        <v>1.6423201214145925E-2</v>
      </c>
      <c r="D20" s="123">
        <v>94065</v>
      </c>
      <c r="E20" s="340">
        <f>D20/'- 13 -'!$J$53*100</f>
        <v>4.1022460266941325E-3</v>
      </c>
      <c r="F20" s="123">
        <v>0</v>
      </c>
      <c r="G20" s="340">
        <f>F20/'- 13 -'!$J$53*100</f>
        <v>0</v>
      </c>
      <c r="H20" s="123"/>
      <c r="I20" s="340"/>
      <c r="J20" s="123">
        <f>SUM(F20,D20,B20,'- 12 -'!J20,'- 12 -'!H20,'- 12 -'!F20,'- 12 -'!D20,'- 12 -'!B20)</f>
        <v>16517484</v>
      </c>
      <c r="K20" s="340">
        <f t="shared" si="0"/>
        <v>0.72034001073708509</v>
      </c>
      <c r="N20" s="131"/>
    </row>
    <row r="21" spans="1:15" x14ac:dyDescent="0.2">
      <c r="A21" s="125" t="s">
        <v>197</v>
      </c>
      <c r="B21" s="342">
        <f>SUM(B13:B20)</f>
        <v>52249713</v>
      </c>
      <c r="C21" s="343">
        <f>B21/$J$53*100</f>
        <v>2.2786496311078377</v>
      </c>
      <c r="D21" s="342">
        <f>SUM(D13:D20)</f>
        <v>47986385</v>
      </c>
      <c r="E21" s="343">
        <f>D21/$J$53*100</f>
        <v>2.0927226620067496</v>
      </c>
      <c r="F21" s="342">
        <f>SUM(F13:F20)</f>
        <v>115499123</v>
      </c>
      <c r="G21" s="343">
        <f>F21/$J$53*100</f>
        <v>5.0370043949758871</v>
      </c>
      <c r="H21" s="342"/>
      <c r="I21" s="343"/>
      <c r="J21" s="342">
        <f>SUM(F21,D21,B21,'- 12 -'!J21,'- 12 -'!H21,'- 12 -'!F21,'- 12 -'!D21,'- 12 -'!B21)</f>
        <v>1759432691</v>
      </c>
      <c r="K21" s="343">
        <f t="shared" si="0"/>
        <v>76.730194715255564</v>
      </c>
      <c r="N21" s="131"/>
    </row>
    <row r="22" spans="1:15" x14ac:dyDescent="0.2">
      <c r="A22" s="313" t="s">
        <v>80</v>
      </c>
      <c r="B22" s="342">
        <v>4985458</v>
      </c>
      <c r="C22" s="343">
        <f>B22/$J$53*100</f>
        <v>0.21741960635465341</v>
      </c>
      <c r="D22" s="342">
        <v>7278049</v>
      </c>
      <c r="E22" s="343">
        <f>D22/$J$53*100</f>
        <v>0.31740123948689952</v>
      </c>
      <c r="F22" s="342">
        <v>19208889</v>
      </c>
      <c r="G22" s="343">
        <f>F22/$J$53*100</f>
        <v>0.83771422503012405</v>
      </c>
      <c r="H22" s="342"/>
      <c r="I22" s="343"/>
      <c r="J22" s="342">
        <f>SUM(F22,D22,B22,'- 12 -'!J22,'- 12 -'!H22,'- 12 -'!F22,'- 12 -'!D22,'- 12 -'!B22)</f>
        <v>143979477</v>
      </c>
      <c r="K22" s="343">
        <f t="shared" si="0"/>
        <v>6.2790542438606201</v>
      </c>
    </row>
    <row r="23" spans="1:15" x14ac:dyDescent="0.2">
      <c r="A23" s="313" t="s">
        <v>67</v>
      </c>
      <c r="B23" s="128"/>
      <c r="C23" s="341"/>
      <c r="D23" s="128"/>
      <c r="E23" s="341"/>
      <c r="F23" s="128"/>
      <c r="G23" s="341"/>
      <c r="H23" s="128"/>
      <c r="I23" s="341"/>
      <c r="J23" s="128"/>
      <c r="K23" s="341"/>
      <c r="M23" s="2" t="s">
        <v>26</v>
      </c>
      <c r="N23" s="131">
        <f>'- 12 -'!C50/100</f>
        <v>0.55691288465188582</v>
      </c>
      <c r="O23" s="2" t="s">
        <v>26</v>
      </c>
    </row>
    <row r="24" spans="1:15" x14ac:dyDescent="0.2">
      <c r="A24" s="121" t="s">
        <v>198</v>
      </c>
      <c r="B24" s="120">
        <v>2119219</v>
      </c>
      <c r="C24" s="339">
        <f t="shared" ref="C24:C34" si="1">B24/$J$53*100</f>
        <v>9.2420748657255219E-2</v>
      </c>
      <c r="D24" s="120">
        <v>362848</v>
      </c>
      <c r="E24" s="339">
        <f t="shared" ref="E24:E34" si="2">D24/$J$53*100</f>
        <v>1.5824076609726387E-2</v>
      </c>
      <c r="F24" s="120">
        <v>5770870</v>
      </c>
      <c r="G24" s="339">
        <f t="shared" ref="G24:G34" si="3">F24/$J$53*100</f>
        <v>0.25167201964671632</v>
      </c>
      <c r="H24" s="120"/>
      <c r="I24" s="339"/>
      <c r="J24" s="120">
        <f>SUM(F24,D24,B24,'- 12 -'!J24,'- 12 -'!H24,'- 12 -'!F24,'- 12 -'!D24,'- 12 -'!B24)</f>
        <v>28065729</v>
      </c>
      <c r="K24" s="339">
        <f t="shared" ref="K24:K39" si="4">J24/$J$53*100</f>
        <v>1.2239677380165235</v>
      </c>
      <c r="M24" s="2" t="s">
        <v>27</v>
      </c>
      <c r="N24" s="131">
        <f>'- 12 -'!E50/100</f>
        <v>0.18494298696407127</v>
      </c>
      <c r="O24" s="2" t="s">
        <v>260</v>
      </c>
    </row>
    <row r="25" spans="1:15" x14ac:dyDescent="0.2">
      <c r="A25" s="121" t="s">
        <v>199</v>
      </c>
      <c r="B25" s="122">
        <v>143887</v>
      </c>
      <c r="C25" s="340">
        <f t="shared" si="1"/>
        <v>6.2750212517189031E-3</v>
      </c>
      <c r="D25" s="122">
        <v>285916</v>
      </c>
      <c r="E25" s="340">
        <f t="shared" si="2"/>
        <v>1.2469013713584007E-2</v>
      </c>
      <c r="F25" s="122">
        <v>663756</v>
      </c>
      <c r="G25" s="340">
        <f t="shared" si="3"/>
        <v>2.8946902819267425E-2</v>
      </c>
      <c r="H25" s="122"/>
      <c r="I25" s="340"/>
      <c r="J25" s="122">
        <f>SUM(F25,D25,B25,'- 12 -'!J25,'- 12 -'!H25,'- 12 -'!F25,'- 12 -'!D25,'- 12 -'!B25)</f>
        <v>7079391</v>
      </c>
      <c r="K25" s="340">
        <f t="shared" si="4"/>
        <v>0.30873761336484556</v>
      </c>
      <c r="M25" s="2" t="s">
        <v>106</v>
      </c>
      <c r="N25" s="131">
        <f>'- 12 -'!G50/100</f>
        <v>4.831995756414853E-3</v>
      </c>
      <c r="O25" s="2" t="s">
        <v>106</v>
      </c>
    </row>
    <row r="26" spans="1:15" x14ac:dyDescent="0.2">
      <c r="A26" s="121" t="s">
        <v>200</v>
      </c>
      <c r="B26" s="122"/>
      <c r="C26" s="340">
        <f t="shared" si="1"/>
        <v>0</v>
      </c>
      <c r="D26" s="122"/>
      <c r="E26" s="340">
        <f t="shared" si="2"/>
        <v>0</v>
      </c>
      <c r="F26" s="122">
        <v>41794323</v>
      </c>
      <c r="G26" s="340">
        <f t="shared" si="3"/>
        <v>1.8226821396387729</v>
      </c>
      <c r="H26" s="122"/>
      <c r="I26" s="340"/>
      <c r="J26" s="122">
        <f>SUM(F26,D26,B26,'- 12 -'!J26,'- 12 -'!H26,'- 12 -'!F26,'- 12 -'!D26,'- 12 -'!B26)</f>
        <v>41834089</v>
      </c>
      <c r="K26" s="340">
        <f t="shared" si="4"/>
        <v>1.8244163650732865</v>
      </c>
      <c r="L26" s="641" t="s">
        <v>107</v>
      </c>
      <c r="M26" s="2" t="s">
        <v>28</v>
      </c>
      <c r="N26" s="131">
        <f>'- 12 -'!I50/100</f>
        <v>1.0958015617396247E-2</v>
      </c>
      <c r="O26" s="2" t="s">
        <v>28</v>
      </c>
    </row>
    <row r="27" spans="1:15" ht="12.75" customHeight="1" x14ac:dyDescent="0.2">
      <c r="A27" s="121" t="s">
        <v>222</v>
      </c>
      <c r="B27" s="122">
        <v>1000793</v>
      </c>
      <c r="C27" s="340">
        <f t="shared" si="1"/>
        <v>4.3645342133559785E-2</v>
      </c>
      <c r="D27" s="122">
        <v>1316498</v>
      </c>
      <c r="E27" s="340">
        <f t="shared" si="2"/>
        <v>5.7413476741091499E-2</v>
      </c>
      <c r="F27" s="122">
        <v>773141</v>
      </c>
      <c r="G27" s="340">
        <f t="shared" si="3"/>
        <v>3.3717265670805595E-2</v>
      </c>
      <c r="H27" s="122"/>
      <c r="I27" s="340"/>
      <c r="J27" s="122">
        <f>SUM(F27,D27,B27,'- 12 -'!J27,'- 12 -'!H27,'- 12 -'!F27,'- 12 -'!D27,'- 12 -'!B27)</f>
        <v>11473461.51</v>
      </c>
      <c r="K27" s="340">
        <f t="shared" si="4"/>
        <v>0.50036636253468947</v>
      </c>
      <c r="L27" s="642"/>
      <c r="M27" s="2" t="s">
        <v>93</v>
      </c>
      <c r="N27" s="131">
        <f>'- 12 -'!K50/100</f>
        <v>3.3926395395241123E-2</v>
      </c>
      <c r="O27" s="2" t="s">
        <v>93</v>
      </c>
    </row>
    <row r="28" spans="1:15" ht="12.75" customHeight="1" x14ac:dyDescent="0.2">
      <c r="A28" s="121" t="s">
        <v>201</v>
      </c>
      <c r="B28" s="122"/>
      <c r="C28" s="340">
        <f t="shared" si="1"/>
        <v>0</v>
      </c>
      <c r="D28" s="122">
        <v>18822675</v>
      </c>
      <c r="E28" s="340">
        <f t="shared" si="2"/>
        <v>0.82087113943023415</v>
      </c>
      <c r="F28" s="122"/>
      <c r="G28" s="340">
        <f t="shared" si="3"/>
        <v>0</v>
      </c>
      <c r="H28" s="122"/>
      <c r="I28" s="340"/>
      <c r="J28" s="122">
        <f>SUM(F28,D28,B28,'- 12 -'!J28,'- 12 -'!H28,'- 12 -'!F28,'- 12 -'!D28,'- 12 -'!B28)</f>
        <v>18822675</v>
      </c>
      <c r="K28" s="340">
        <f t="shared" si="4"/>
        <v>0.82087113943023415</v>
      </c>
      <c r="L28" s="642"/>
      <c r="M28" s="2" t="s">
        <v>92</v>
      </c>
      <c r="N28" s="131">
        <f>C53/100</f>
        <v>3.4170865970286894E-2</v>
      </c>
      <c r="O28" s="2" t="s">
        <v>92</v>
      </c>
    </row>
    <row r="29" spans="1:15" ht="12.75" customHeight="1" x14ac:dyDescent="0.2">
      <c r="A29" s="121" t="s">
        <v>202</v>
      </c>
      <c r="B29" s="122">
        <v>11954</v>
      </c>
      <c r="C29" s="340">
        <f t="shared" si="1"/>
        <v>5.2132301071707498E-4</v>
      </c>
      <c r="D29" s="122"/>
      <c r="E29" s="340">
        <f t="shared" si="2"/>
        <v>0</v>
      </c>
      <c r="F29" s="122"/>
      <c r="G29" s="340">
        <f t="shared" si="3"/>
        <v>0</v>
      </c>
      <c r="H29" s="122"/>
      <c r="I29" s="340"/>
      <c r="J29" s="122">
        <f>SUM(F29,D29,B29,'- 12 -'!J29,'- 12 -'!H29,'- 12 -'!F29,'- 12 -'!D29,'- 12 -'!B29)</f>
        <v>1805432</v>
      </c>
      <c r="K29" s="340">
        <f t="shared" si="4"/>
        <v>7.8736259485105417E-2</v>
      </c>
      <c r="M29" s="2" t="s">
        <v>75</v>
      </c>
      <c r="N29" s="131">
        <f>E53/100</f>
        <v>4.3540409414591516E-2</v>
      </c>
      <c r="O29" s="2" t="s">
        <v>75</v>
      </c>
    </row>
    <row r="30" spans="1:15" ht="12.75" customHeight="1" x14ac:dyDescent="0.2">
      <c r="A30" s="121" t="s">
        <v>203</v>
      </c>
      <c r="B30" s="122">
        <v>40325</v>
      </c>
      <c r="C30" s="340">
        <f t="shared" si="1"/>
        <v>1.7586038486837917E-3</v>
      </c>
      <c r="D30" s="122">
        <v>6215</v>
      </c>
      <c r="E30" s="340">
        <f t="shared" si="2"/>
        <v>2.7104086595337298E-4</v>
      </c>
      <c r="F30" s="122">
        <v>5678</v>
      </c>
      <c r="G30" s="340">
        <f t="shared" si="3"/>
        <v>2.476218884767903E-4</v>
      </c>
      <c r="H30" s="122"/>
      <c r="I30" s="340"/>
      <c r="J30" s="122">
        <f>SUM(F30,D30,B30,'- 12 -'!J30,'- 12 -'!H30,'- 12 -'!F30,'- 12 -'!D30,'- 12 -'!B30)</f>
        <v>682277</v>
      </c>
      <c r="K30" s="340">
        <f t="shared" si="4"/>
        <v>2.9754617683036114E-2</v>
      </c>
      <c r="M30" s="2" t="s">
        <v>91</v>
      </c>
      <c r="N30" s="131">
        <f>G53/100</f>
        <v>0.11370014436565995</v>
      </c>
      <c r="O30" s="2" t="s">
        <v>91</v>
      </c>
    </row>
    <row r="31" spans="1:15" ht="12.75" customHeight="1" x14ac:dyDescent="0.2">
      <c r="A31" s="121" t="s">
        <v>204</v>
      </c>
      <c r="B31" s="122">
        <v>101390</v>
      </c>
      <c r="C31" s="340">
        <f t="shared" si="1"/>
        <v>4.4216948349175365E-3</v>
      </c>
      <c r="D31" s="122">
        <v>1110877</v>
      </c>
      <c r="E31" s="340">
        <f t="shared" si="2"/>
        <v>4.8446188905500426E-2</v>
      </c>
      <c r="F31" s="122">
        <v>9125651</v>
      </c>
      <c r="G31" s="340">
        <f t="shared" si="3"/>
        <v>0.39797656467067805</v>
      </c>
      <c r="H31" s="122"/>
      <c r="I31" s="340"/>
      <c r="J31" s="122">
        <f>SUM(F31,D31,B31,'- 12 -'!J31,'- 12 -'!H31,'- 12 -'!F31,'- 12 -'!D31,'- 12 -'!B31)</f>
        <v>12167054</v>
      </c>
      <c r="K31" s="340">
        <f t="shared" si="4"/>
        <v>0.53061445732283996</v>
      </c>
      <c r="M31" s="2" t="s">
        <v>30</v>
      </c>
      <c r="N31" s="131">
        <f>I53/100</f>
        <v>1.7016301864452167E-2</v>
      </c>
      <c r="O31" s="2" t="s">
        <v>30</v>
      </c>
    </row>
    <row r="32" spans="1:15" x14ac:dyDescent="0.2">
      <c r="A32" s="121" t="s">
        <v>205</v>
      </c>
      <c r="B32" s="122">
        <v>64423</v>
      </c>
      <c r="C32" s="340">
        <f t="shared" si="1"/>
        <v>2.8095359142902895E-3</v>
      </c>
      <c r="D32" s="122">
        <v>3094544</v>
      </c>
      <c r="E32" s="340">
        <f t="shared" si="2"/>
        <v>0.13495541198565</v>
      </c>
      <c r="F32" s="122">
        <v>32477056</v>
      </c>
      <c r="G32" s="340">
        <f t="shared" si="3"/>
        <v>1.4163490558095233</v>
      </c>
      <c r="H32" s="122"/>
      <c r="I32" s="340"/>
      <c r="J32" s="122">
        <f>SUM(F32,D32,B32,'- 12 -'!J32,'- 12 -'!H32,'- 12 -'!F32,'- 12 -'!D32,'- 12 -'!B32)</f>
        <v>39009903</v>
      </c>
      <c r="K32" s="340">
        <f t="shared" si="4"/>
        <v>1.7012514706157815</v>
      </c>
      <c r="N32" s="131"/>
    </row>
    <row r="33" spans="1:14" x14ac:dyDescent="0.2">
      <c r="A33" s="121" t="s">
        <v>206</v>
      </c>
      <c r="B33" s="122">
        <v>341539</v>
      </c>
      <c r="C33" s="340">
        <f t="shared" si="1"/>
        <v>1.4894774950418192E-2</v>
      </c>
      <c r="D33" s="122">
        <v>941052</v>
      </c>
      <c r="E33" s="340">
        <f t="shared" si="2"/>
        <v>4.103999179197966E-2</v>
      </c>
      <c r="F33" s="122">
        <v>2585234</v>
      </c>
      <c r="G33" s="340">
        <f t="shared" si="3"/>
        <v>0.11274401642029</v>
      </c>
      <c r="H33" s="122"/>
      <c r="I33" s="340"/>
      <c r="J33" s="122">
        <f>SUM(F33,D33,B33,'- 12 -'!J33,'- 12 -'!H33,'- 12 -'!F33,'- 12 -'!D33,'- 12 -'!B33)</f>
        <v>8403312</v>
      </c>
      <c r="K33" s="340">
        <f t="shared" si="4"/>
        <v>0.36647481276852306</v>
      </c>
      <c r="N33" s="131">
        <f>SUM(N23:N31)</f>
        <v>0.99999999999999989</v>
      </c>
    </row>
    <row r="34" spans="1:14" x14ac:dyDescent="0.2">
      <c r="A34" s="392" t="s">
        <v>247</v>
      </c>
      <c r="B34" s="122"/>
      <c r="C34" s="340">
        <f t="shared" si="1"/>
        <v>0</v>
      </c>
      <c r="D34" s="122"/>
      <c r="E34" s="340">
        <f t="shared" si="2"/>
        <v>0</v>
      </c>
      <c r="F34" s="122">
        <v>5417683</v>
      </c>
      <c r="G34" s="340">
        <f t="shared" si="3"/>
        <v>0.23626926657777436</v>
      </c>
      <c r="H34" s="122"/>
      <c r="I34" s="340"/>
      <c r="J34" s="122">
        <f>SUM(F34,D34,B34,'- 12 -'!J34,'- 12 -'!H34,'- 12 -'!F34,'- 12 -'!D34,'- 12 -'!B34)</f>
        <v>5421181</v>
      </c>
      <c r="K34" s="340">
        <f t="shared" si="4"/>
        <v>0.23642181701206316</v>
      </c>
    </row>
    <row r="35" spans="1:14" x14ac:dyDescent="0.2">
      <c r="A35" s="121" t="s">
        <v>207</v>
      </c>
      <c r="B35" s="122">
        <v>23030</v>
      </c>
      <c r="C35" s="340">
        <f>B35/J53</f>
        <v>1.0043557752061432E-5</v>
      </c>
      <c r="D35" s="122">
        <v>38821</v>
      </c>
      <c r="E35" s="340">
        <f>D35/J53</f>
        <v>1.6930132674458397E-5</v>
      </c>
      <c r="F35" s="122">
        <v>33487</v>
      </c>
      <c r="G35" s="340">
        <f>F35/J53</f>
        <v>1.4603934799968789E-5</v>
      </c>
      <c r="H35" s="122"/>
      <c r="I35" s="340"/>
      <c r="J35" s="122">
        <f>SUM(F35,D35,B35,'- 12 -'!J35,'- 12 -'!H35,'- 12 -'!F35,'- 12 -'!D35,'- 12 -'!B35)</f>
        <v>1288893</v>
      </c>
      <c r="K35" s="340">
        <f t="shared" si="4"/>
        <v>5.6209601744366976E-2</v>
      </c>
    </row>
    <row r="36" spans="1:14" x14ac:dyDescent="0.2">
      <c r="A36" s="121" t="s">
        <v>208</v>
      </c>
      <c r="B36" s="122">
        <v>212390</v>
      </c>
      <c r="C36" s="340">
        <f>B36/$J$53*100</f>
        <v>9.2624890619206583E-3</v>
      </c>
      <c r="D36" s="122">
        <v>49602</v>
      </c>
      <c r="E36" s="340">
        <f>D36/$J$53*100</f>
        <v>2.1631808580883684E-3</v>
      </c>
      <c r="F36" s="122">
        <v>99276</v>
      </c>
      <c r="G36" s="340">
        <f>F36/$J$53*100</f>
        <v>4.3295016908104682E-3</v>
      </c>
      <c r="H36" s="122"/>
      <c r="I36" s="340"/>
      <c r="J36" s="122">
        <f>SUM(F36,D36,B36,'- 12 -'!J36,'- 12 -'!H36,'- 12 -'!F36,'- 12 -'!D36,'- 12 -'!B36)</f>
        <v>4234793</v>
      </c>
      <c r="K36" s="340">
        <f t="shared" si="4"/>
        <v>0.18468253609867777</v>
      </c>
    </row>
    <row r="37" spans="1:14" x14ac:dyDescent="0.2">
      <c r="A37" s="126" t="s">
        <v>209</v>
      </c>
      <c r="B37" s="122">
        <v>8648901</v>
      </c>
      <c r="C37" s="340">
        <f>B37/'- 13 -'!$J$53*100</f>
        <v>0.37718513541190568</v>
      </c>
      <c r="D37" s="122">
        <v>221449</v>
      </c>
      <c r="E37" s="340">
        <f>D37/'- 13 -'!$J$53*100</f>
        <v>9.657558925906435E-3</v>
      </c>
      <c r="F37" s="122">
        <v>242072</v>
      </c>
      <c r="G37" s="340">
        <f>F37/'- 13 -'!$J$53*100</f>
        <v>1.0556943604676574E-2</v>
      </c>
      <c r="H37" s="122"/>
      <c r="I37" s="340"/>
      <c r="J37" s="122">
        <f>SUM(F37,D37,B37,'- 12 -'!J37,'- 12 -'!H37,'- 12 -'!F37,'- 12 -'!D37,'- 12 -'!B37)</f>
        <v>11121622</v>
      </c>
      <c r="K37" s="340">
        <f t="shared" si="4"/>
        <v>0.48502237452712532</v>
      </c>
    </row>
    <row r="38" spans="1:14" x14ac:dyDescent="0.2">
      <c r="A38" s="127" t="s">
        <v>210</v>
      </c>
      <c r="B38" s="122">
        <v>664537</v>
      </c>
      <c r="C38" s="340">
        <f>B38/$J$53*100</f>
        <v>2.8980962821891654E-2</v>
      </c>
      <c r="D38" s="122">
        <v>435336</v>
      </c>
      <c r="E38" s="340">
        <f>D38/$J$53*100</f>
        <v>1.8985333293753435E-2</v>
      </c>
      <c r="F38" s="122">
        <v>235884</v>
      </c>
      <c r="G38" s="340">
        <f>F38/$J$53*100</f>
        <v>1.028708022921085E-2</v>
      </c>
      <c r="H38" s="122"/>
      <c r="I38" s="340"/>
      <c r="J38" s="122">
        <f>SUM(F38,D38,B38,'- 12 -'!J38,'- 12 -'!H38,'- 12 -'!F38,'- 12 -'!D38,'- 12 -'!B38)</f>
        <v>14042902</v>
      </c>
      <c r="K38" s="340">
        <f t="shared" si="4"/>
        <v>0.6124216119997351</v>
      </c>
    </row>
    <row r="39" spans="1:14" x14ac:dyDescent="0.2">
      <c r="A39" s="125" t="s">
        <v>211</v>
      </c>
      <c r="B39" s="342">
        <f>SUM(B24:B38)</f>
        <v>13372388</v>
      </c>
      <c r="C39" s="343">
        <f>B39/$J$53*100</f>
        <v>0.58317998767248491</v>
      </c>
      <c r="D39" s="342">
        <f>SUM(D24:D38)</f>
        <v>26685833</v>
      </c>
      <c r="E39" s="343">
        <f>D39/$J$53*100</f>
        <v>1.1637894263889135</v>
      </c>
      <c r="F39" s="342">
        <f>SUM(F24:F38)</f>
        <v>99224111</v>
      </c>
      <c r="G39" s="343">
        <f>F39/$J$53*100</f>
        <v>4.327238772147</v>
      </c>
      <c r="H39" s="342"/>
      <c r="I39" s="343"/>
      <c r="J39" s="342">
        <f>SUM(F39,D39,B39,'- 12 -'!J39,'- 12 -'!H39,'- 12 -'!F39,'- 12 -'!D39,'- 12 -'!B39)</f>
        <v>205452714.50999999</v>
      </c>
      <c r="K39" s="343">
        <f t="shared" si="4"/>
        <v>8.9599487776768338</v>
      </c>
    </row>
    <row r="40" spans="1:14" x14ac:dyDescent="0.2">
      <c r="A40" s="314" t="s">
        <v>212</v>
      </c>
      <c r="B40" s="128"/>
      <c r="C40" s="341"/>
      <c r="D40" s="128"/>
      <c r="E40" s="341"/>
      <c r="F40" s="128"/>
      <c r="G40" s="341"/>
      <c r="H40" s="128"/>
      <c r="I40" s="341"/>
      <c r="J40" s="128"/>
      <c r="K40" s="341"/>
    </row>
    <row r="41" spans="1:14" x14ac:dyDescent="0.2">
      <c r="A41" s="121" t="s">
        <v>213</v>
      </c>
      <c r="B41" s="122">
        <v>4114800</v>
      </c>
      <c r="C41" s="340">
        <f>B41/$J$53*100</f>
        <v>0.1794495503177698</v>
      </c>
      <c r="D41" s="122">
        <v>16925460</v>
      </c>
      <c r="E41" s="340">
        <f>D41/$J$53*100</f>
        <v>0.73813215367002039</v>
      </c>
      <c r="F41" s="122">
        <v>23243834</v>
      </c>
      <c r="G41" s="340">
        <f>F41/$J$53*100</f>
        <v>1.0136812382037736</v>
      </c>
      <c r="H41" s="122"/>
      <c r="I41" s="340"/>
      <c r="J41" s="122">
        <f>SUM(F41,D41,B41,'- 12 -'!J41,'- 12 -'!H41,'- 12 -'!F41,'- 12 -'!D41,'- 12 -'!B41)</f>
        <v>83227515</v>
      </c>
      <c r="K41" s="340">
        <f>J41/$J$53*100</f>
        <v>3.6296150823406821</v>
      </c>
    </row>
    <row r="42" spans="1:14" x14ac:dyDescent="0.2">
      <c r="A42" s="121" t="s">
        <v>214</v>
      </c>
      <c r="B42" s="122">
        <v>2892156</v>
      </c>
      <c r="C42" s="340">
        <f>B42/$J$53*100</f>
        <v>0.12612911773326524</v>
      </c>
      <c r="D42" s="122">
        <v>149360</v>
      </c>
      <c r="E42" s="340">
        <f>D42/$J$53*100</f>
        <v>6.513702934641318E-3</v>
      </c>
      <c r="F42" s="122">
        <v>21180</v>
      </c>
      <c r="G42" s="340">
        <f>F42/$J$53*100</f>
        <v>9.2367587142275795E-4</v>
      </c>
      <c r="H42" s="122"/>
      <c r="I42" s="340"/>
      <c r="J42" s="122">
        <f>SUM(F42,D42,B42,'- 12 -'!J42,'- 12 -'!H42,'- 12 -'!F42,'- 12 -'!D42,'- 12 -'!B42)</f>
        <v>15427859</v>
      </c>
      <c r="K42" s="340">
        <f>J42/$J$53*100</f>
        <v>0.67282063767764111</v>
      </c>
    </row>
    <row r="43" spans="1:14" x14ac:dyDescent="0.2">
      <c r="A43" s="121" t="s">
        <v>215</v>
      </c>
      <c r="B43" s="122">
        <v>307319</v>
      </c>
      <c r="C43" s="340">
        <f>B43/$J$53*100</f>
        <v>1.3402414784219571E-2</v>
      </c>
      <c r="D43" s="122">
        <v>627795</v>
      </c>
      <c r="E43" s="340">
        <f>D43/$J$53*100</f>
        <v>2.7378616321994818E-2</v>
      </c>
      <c r="F43" s="122">
        <v>3401789</v>
      </c>
      <c r="G43" s="340">
        <f>F43/$J$53*100</f>
        <v>0.14835459957371824</v>
      </c>
      <c r="H43" s="122"/>
      <c r="I43" s="340"/>
      <c r="J43" s="122">
        <f>SUM(F43,D43,B43,'- 12 -'!J43,'- 12 -'!H43,'- 12 -'!F43,'- 12 -'!D43,'- 12 -'!B43)</f>
        <v>19497610</v>
      </c>
      <c r="K43" s="340">
        <f>J43/$J$53*100</f>
        <v>0.8503055669221472</v>
      </c>
    </row>
    <row r="44" spans="1:14" x14ac:dyDescent="0.2">
      <c r="A44" s="127" t="s">
        <v>216</v>
      </c>
      <c r="B44" s="122">
        <v>432377</v>
      </c>
      <c r="C44" s="340">
        <f>B44/$J$53*100</f>
        <v>1.8856289058458819E-2</v>
      </c>
      <c r="D44" s="122">
        <v>185806</v>
      </c>
      <c r="E44" s="340">
        <f>D44/$J$53*100</f>
        <v>8.1031406499328107E-3</v>
      </c>
      <c r="F44" s="122">
        <v>116887</v>
      </c>
      <c r="G44" s="340">
        <f>F44/$J$53*100</f>
        <v>5.0975307640694946E-3</v>
      </c>
      <c r="H44" s="122"/>
      <c r="I44" s="340"/>
      <c r="J44" s="122">
        <f>SUM(F44,D44,B44,'- 12 -'!J44,'- 12 -'!H44,'- 12 -'!F44,'- 12 -'!D44,'- 12 -'!B44)</f>
        <v>26975701</v>
      </c>
      <c r="K44" s="340">
        <f>J44/$J$53*100</f>
        <v>1.1764307898212822</v>
      </c>
    </row>
    <row r="45" spans="1:14" x14ac:dyDescent="0.2">
      <c r="A45" s="125" t="s">
        <v>217</v>
      </c>
      <c r="B45" s="342">
        <f>SUM(B41:B44)</f>
        <v>7746652</v>
      </c>
      <c r="C45" s="343">
        <f>B45/$J$53*100</f>
        <v>0.33783737189371343</v>
      </c>
      <c r="D45" s="342">
        <f>SUM(D41:D44)</f>
        <v>17888421</v>
      </c>
      <c r="E45" s="343">
        <f>D45/$J$53*100</f>
        <v>0.78012761357658933</v>
      </c>
      <c r="F45" s="342">
        <f>SUM(F41:F44)</f>
        <v>26783690</v>
      </c>
      <c r="G45" s="343">
        <f>F45/$J$53*100</f>
        <v>1.1680570444129841</v>
      </c>
      <c r="H45" s="342"/>
      <c r="I45" s="343"/>
      <c r="J45" s="342">
        <f>SUM(F45,D45,B45,'- 12 -'!J45,'- 12 -'!H45,'- 12 -'!F45,'- 12 -'!D45,'- 12 -'!B45)</f>
        <v>145128685</v>
      </c>
      <c r="K45" s="343">
        <f>J45/$J$53*100</f>
        <v>6.3291720767617532</v>
      </c>
    </row>
    <row r="46" spans="1:14" x14ac:dyDescent="0.2">
      <c r="A46" s="313" t="s">
        <v>47</v>
      </c>
      <c r="B46" s="128"/>
      <c r="C46" s="341"/>
      <c r="D46" s="128"/>
      <c r="E46" s="341"/>
      <c r="F46" s="128"/>
      <c r="G46" s="341"/>
      <c r="H46" s="128"/>
      <c r="I46" s="341"/>
      <c r="J46" s="128"/>
      <c r="K46" s="341"/>
    </row>
    <row r="47" spans="1:14" ht="13.5" x14ac:dyDescent="0.2">
      <c r="A47" s="256" t="s">
        <v>269</v>
      </c>
      <c r="B47" s="122"/>
      <c r="C47" s="426"/>
      <c r="D47" s="122">
        <v>0</v>
      </c>
      <c r="E47" s="426"/>
      <c r="F47" s="122">
        <v>0</v>
      </c>
      <c r="G47" s="426"/>
      <c r="H47" s="122">
        <f>'- 10 -'!G21</f>
        <v>0</v>
      </c>
      <c r="I47" s="426"/>
      <c r="J47" s="122"/>
      <c r="K47" s="426"/>
    </row>
    <row r="48" spans="1:14" x14ac:dyDescent="0.2">
      <c r="A48" s="121" t="s">
        <v>218</v>
      </c>
      <c r="B48" s="122"/>
      <c r="C48" s="340"/>
      <c r="D48" s="122"/>
      <c r="E48" s="340"/>
      <c r="F48" s="122"/>
      <c r="G48" s="340"/>
      <c r="H48" s="122">
        <f>'- 10 -'!G22</f>
        <v>1825835</v>
      </c>
      <c r="I48" s="340">
        <f>H48/$J$53*100</f>
        <v>7.9626049796939144E-2</v>
      </c>
      <c r="J48" s="122">
        <f>H48</f>
        <v>1825835</v>
      </c>
      <c r="K48" s="340">
        <f>J48/$J$53*100</f>
        <v>7.9626049796939144E-2</v>
      </c>
    </row>
    <row r="49" spans="1:11" x14ac:dyDescent="0.2">
      <c r="A49" s="126" t="s">
        <v>270</v>
      </c>
      <c r="B49" s="122"/>
      <c r="C49" s="340"/>
      <c r="D49" s="122"/>
      <c r="E49" s="340"/>
      <c r="F49" s="122"/>
      <c r="G49" s="340"/>
      <c r="H49" s="122">
        <f>'- 10 -'!H22</f>
        <v>34684</v>
      </c>
      <c r="I49" s="340">
        <f>H49/$J$53*100</f>
        <v>1.5125955582826693E-3</v>
      </c>
      <c r="J49" s="122">
        <f>H49</f>
        <v>34684</v>
      </c>
      <c r="K49" s="340">
        <f>J49/$J$53*100</f>
        <v>1.5125955582826693E-3</v>
      </c>
    </row>
    <row r="50" spans="1:11" x14ac:dyDescent="0.2">
      <c r="A50" s="121" t="s">
        <v>219</v>
      </c>
      <c r="B50" s="122"/>
      <c r="C50" s="340"/>
      <c r="D50" s="122"/>
      <c r="E50" s="340"/>
      <c r="F50" s="122"/>
      <c r="G50" s="340"/>
      <c r="H50" s="122">
        <f>'- 10 -'!I22</f>
        <v>37158068</v>
      </c>
      <c r="I50" s="340">
        <f>H50/$J$53*100</f>
        <v>1.6204915410899949</v>
      </c>
      <c r="J50" s="122">
        <f>H50</f>
        <v>37158068</v>
      </c>
      <c r="K50" s="340">
        <f>J50/$J$53*100</f>
        <v>1.6204915410899949</v>
      </c>
    </row>
    <row r="51" spans="1:11" x14ac:dyDescent="0.2">
      <c r="A51" s="125" t="s">
        <v>220</v>
      </c>
      <c r="B51" s="342"/>
      <c r="C51" s="343"/>
      <c r="D51" s="342"/>
      <c r="E51" s="343"/>
      <c r="F51" s="342">
        <f>SUM(F47:F50)</f>
        <v>0</v>
      </c>
      <c r="G51" s="343"/>
      <c r="H51" s="342">
        <f>SUM(H48:H50)</f>
        <v>39018587</v>
      </c>
      <c r="I51" s="343">
        <f>H51/$J$53*100</f>
        <v>1.7016301864452168</v>
      </c>
      <c r="J51" s="342">
        <f>SUM(J47:J50)</f>
        <v>39018587</v>
      </c>
      <c r="K51" s="343">
        <f>J51/$J$53*100</f>
        <v>1.7016301864452168</v>
      </c>
    </row>
    <row r="52" spans="1:11" ht="5.0999999999999996" customHeight="1" x14ac:dyDescent="0.2">
      <c r="A52" s="23"/>
      <c r="B52" s="32"/>
      <c r="C52" s="129"/>
      <c r="D52" s="57"/>
      <c r="E52" s="129"/>
      <c r="F52" s="57"/>
      <c r="G52" s="129"/>
      <c r="H52" s="57"/>
      <c r="I52" s="129"/>
      <c r="J52" s="57"/>
      <c r="K52" s="129"/>
    </row>
    <row r="53" spans="1:11" x14ac:dyDescent="0.2">
      <c r="A53" s="315" t="s">
        <v>221</v>
      </c>
      <c r="B53" s="344">
        <f>SUM(B51,B45,B39,B22,B21)</f>
        <v>78354211</v>
      </c>
      <c r="C53" s="345">
        <f>B53/$J$53*100</f>
        <v>3.4170865970286894</v>
      </c>
      <c r="D53" s="344">
        <f>SUM(D51,D45,D39,D22,D21)</f>
        <v>99838688</v>
      </c>
      <c r="E53" s="345">
        <f>D53/$J$53*100</f>
        <v>4.3540409414591519</v>
      </c>
      <c r="F53" s="344">
        <f>SUM(F51,F45,F39,F22,F21)</f>
        <v>260715813</v>
      </c>
      <c r="G53" s="345">
        <f>F53/$J$53*100</f>
        <v>11.370014436565995</v>
      </c>
      <c r="H53" s="344">
        <f>SUM(H51,H45,H39,H22,H21)</f>
        <v>39018587</v>
      </c>
      <c r="I53" s="345">
        <f>H53/$J$53*100</f>
        <v>1.7016301864452168</v>
      </c>
      <c r="J53" s="344">
        <f>SUM(J51,J45,J39,J22,J21)</f>
        <v>2293012154.5100002</v>
      </c>
      <c r="K53" s="345">
        <f>J53/$J$53*100</f>
        <v>100</v>
      </c>
    </row>
    <row r="54" spans="1:11" ht="20.100000000000001" customHeight="1" x14ac:dyDescent="0.2">
      <c r="A54" s="132"/>
      <c r="B54" s="2">
        <f>+B53-'- 16 -'!G48</f>
        <v>0</v>
      </c>
      <c r="D54" s="2">
        <f>+D53-'- 17 -'!B48</f>
        <v>0</v>
      </c>
      <c r="F54" s="2">
        <f>+F53-'- 17 -'!E48</f>
        <v>0</v>
      </c>
      <c r="H54" s="2">
        <f>+H53-'- 17 -'!H48</f>
        <v>0</v>
      </c>
      <c r="J54" s="2">
        <f>+J53-'- 3 -'!D48</f>
        <v>0</v>
      </c>
    </row>
  </sheetData>
  <mergeCells count="6">
    <mergeCell ref="L26:L28"/>
    <mergeCell ref="B8:C9"/>
    <mergeCell ref="D8:E9"/>
    <mergeCell ref="F8:G9"/>
    <mergeCell ref="H9:I9"/>
    <mergeCell ref="J9:K9"/>
  </mergeCells>
  <phoneticPr fontId="6" type="noConversion"/>
  <printOptions verticalCentered="1"/>
  <pageMargins left="0.51181102362204722" right="0" top="0.59055118110236227" bottom="0.19685039370078741" header="0.31496062992125984" footer="0.51181102362204722"/>
  <pageSetup scale="9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52"/>
  <sheetViews>
    <sheetView showGridLines="0" showZeros="0" workbookViewId="0"/>
  </sheetViews>
  <sheetFormatPr defaultColWidth="15.83203125" defaultRowHeight="12" x14ac:dyDescent="0.2"/>
  <cols>
    <col min="1" max="1" width="32.83203125" style="2" customWidth="1"/>
    <col min="2" max="2" width="17.83203125" style="2" customWidth="1"/>
    <col min="3" max="3" width="8.83203125" style="2" customWidth="1"/>
    <col min="4" max="4" width="9.83203125" style="2" customWidth="1"/>
    <col min="5" max="5" width="17.83203125" style="2" customWidth="1"/>
    <col min="6" max="6" width="8.83203125" style="2" customWidth="1"/>
    <col min="7" max="7" width="9.83203125" style="2" customWidth="1"/>
    <col min="8" max="8" width="17.83203125" style="2" customWidth="1"/>
    <col min="9" max="9" width="8.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261</v>
      </c>
      <c r="C2" s="10"/>
      <c r="D2" s="10"/>
      <c r="E2" s="10"/>
      <c r="F2" s="10"/>
      <c r="G2" s="10"/>
      <c r="H2" s="73"/>
      <c r="I2" s="135" t="s">
        <v>6</v>
      </c>
    </row>
    <row r="3" spans="1:9" ht="15.95" customHeight="1" x14ac:dyDescent="0.2">
      <c r="A3" s="541"/>
      <c r="B3" s="11" t="str">
        <f>OPYEAR</f>
        <v>OPERATING FUND 2016/2017 ACTUAL</v>
      </c>
      <c r="C3" s="12"/>
      <c r="D3" s="12"/>
      <c r="E3" s="12"/>
      <c r="F3" s="12"/>
      <c r="G3" s="12"/>
      <c r="H3" s="75"/>
      <c r="I3" s="66"/>
    </row>
    <row r="4" spans="1:9" ht="15.95" customHeight="1" x14ac:dyDescent="0.2">
      <c r="B4" s="8"/>
      <c r="C4" s="8"/>
      <c r="D4" s="8"/>
      <c r="E4" s="8"/>
      <c r="F4" s="8"/>
      <c r="G4" s="8"/>
      <c r="H4" s="8"/>
      <c r="I4" s="8"/>
    </row>
    <row r="5" spans="1:9" ht="15.95" customHeight="1" x14ac:dyDescent="0.2">
      <c r="B5" s="8"/>
      <c r="C5" s="8"/>
      <c r="D5" s="8"/>
      <c r="E5" s="8"/>
      <c r="F5" s="8"/>
      <c r="G5" s="8"/>
      <c r="H5" s="8"/>
      <c r="I5" s="8"/>
    </row>
    <row r="6" spans="1:9" ht="15.95" customHeight="1" x14ac:dyDescent="0.2">
      <c r="B6" s="318"/>
      <c r="C6" s="312"/>
      <c r="D6" s="310"/>
      <c r="E6" s="643" t="s">
        <v>470</v>
      </c>
      <c r="F6" s="651"/>
      <c r="G6" s="644"/>
      <c r="H6" s="643" t="s">
        <v>471</v>
      </c>
      <c r="I6" s="644"/>
    </row>
    <row r="7" spans="1:9" ht="15.95" customHeight="1" x14ac:dyDescent="0.2">
      <c r="B7" s="648" t="s">
        <v>26</v>
      </c>
      <c r="C7" s="650"/>
      <c r="D7" s="649"/>
      <c r="E7" s="645"/>
      <c r="F7" s="652"/>
      <c r="G7" s="646"/>
      <c r="H7" s="645"/>
      <c r="I7" s="646"/>
    </row>
    <row r="8" spans="1:9" ht="15.95" customHeight="1" x14ac:dyDescent="0.2">
      <c r="A8" s="67"/>
      <c r="B8" s="137" t="s">
        <v>7</v>
      </c>
      <c r="C8" s="138"/>
      <c r="D8" s="617" t="s">
        <v>327</v>
      </c>
      <c r="E8" s="137"/>
      <c r="F8" s="139"/>
      <c r="G8" s="617" t="s">
        <v>327</v>
      </c>
      <c r="H8" s="137"/>
      <c r="I8" s="139"/>
    </row>
    <row r="9" spans="1:9" ht="15.95" customHeight="1" x14ac:dyDescent="0.2">
      <c r="A9" s="35" t="s">
        <v>42</v>
      </c>
      <c r="B9" s="77" t="s">
        <v>43</v>
      </c>
      <c r="C9" s="77" t="s">
        <v>44</v>
      </c>
      <c r="D9" s="598"/>
      <c r="E9" s="77" t="s">
        <v>43</v>
      </c>
      <c r="F9" s="77" t="s">
        <v>44</v>
      </c>
      <c r="G9" s="598"/>
      <c r="H9" s="77" t="s">
        <v>43</v>
      </c>
      <c r="I9" s="77" t="s">
        <v>44</v>
      </c>
    </row>
    <row r="10" spans="1:9" ht="5.0999999999999996" customHeight="1" x14ac:dyDescent="0.2">
      <c r="A10" s="6"/>
    </row>
    <row r="11" spans="1:9" ht="14.1" customHeight="1" x14ac:dyDescent="0.2">
      <c r="A11" s="284" t="s">
        <v>110</v>
      </c>
      <c r="B11" s="285">
        <f>SUM('- 18 -'!B11,'- 18 -'!E11,'- 19 -'!B11,'- 19 -'!E11,'- 19 -'!H11,'- 20 -'!B11)</f>
        <v>11912469</v>
      </c>
      <c r="C11" s="291">
        <f>B11/'- 3 -'!D11*100</f>
        <v>62.310815893800445</v>
      </c>
      <c r="D11" s="285">
        <f>B11/'- 7 -'!C11</f>
        <v>6745.4524348810874</v>
      </c>
      <c r="E11" s="285">
        <f>SUM('- 21 -'!B11,'- 21 -'!E11,'- 21 -'!H11,'- 22 -'!B11,'- 22 -'!E11,'- 22 -'!H11)</f>
        <v>2541888</v>
      </c>
      <c r="F11" s="291">
        <f>E11/'- 3 -'!D11*100</f>
        <v>13.295909957092908</v>
      </c>
      <c r="G11" s="285">
        <f>E11/'- 7 -'!E11</f>
        <v>1439.3476783691958</v>
      </c>
      <c r="H11" s="285">
        <f>SUM('- 23 -'!D11,'- 23 -'!B11)</f>
        <v>0</v>
      </c>
      <c r="I11" s="291">
        <f>H11/'- 3 -'!D11*100</f>
        <v>0</v>
      </c>
    </row>
    <row r="12" spans="1:9" ht="14.1" customHeight="1" x14ac:dyDescent="0.2">
      <c r="A12" s="19" t="s">
        <v>111</v>
      </c>
      <c r="B12" s="20">
        <f>SUM('- 18 -'!B12,'- 18 -'!E12,'- 19 -'!B12,'- 19 -'!E12,'- 19 -'!H12,'- 20 -'!B12)</f>
        <v>19364827</v>
      </c>
      <c r="C12" s="70">
        <f>B12/'- 3 -'!D12*100</f>
        <v>57.946016930562038</v>
      </c>
      <c r="D12" s="20">
        <f>B12/'- 7 -'!C12</f>
        <v>9136.2916656837533</v>
      </c>
      <c r="E12" s="20">
        <f>SUM('- 21 -'!B12,'- 21 -'!E12,'- 21 -'!H12,'- 22 -'!B12,'- 22 -'!E12,'- 22 -'!H12)</f>
        <v>4921092</v>
      </c>
      <c r="F12" s="70">
        <f>E12/'- 3 -'!D12*100</f>
        <v>14.72554752742451</v>
      </c>
      <c r="G12" s="20">
        <f>E12/'- 7 -'!E12</f>
        <v>2321.7626382958647</v>
      </c>
      <c r="H12" s="20">
        <f>SUM('- 23 -'!D12,'- 23 -'!B12)</f>
        <v>562789</v>
      </c>
      <c r="I12" s="70">
        <f>H12/'- 3 -'!D12*100</f>
        <v>1.6840522728312564</v>
      </c>
    </row>
    <row r="13" spans="1:9" ht="14.1" customHeight="1" x14ac:dyDescent="0.2">
      <c r="A13" s="284" t="s">
        <v>112</v>
      </c>
      <c r="B13" s="285">
        <f>SUM('- 18 -'!B13,'- 18 -'!E13,'- 19 -'!B13,'- 19 -'!E13,'- 19 -'!H13,'- 20 -'!B13)</f>
        <v>57055436</v>
      </c>
      <c r="C13" s="291">
        <f>B13/'- 3 -'!D13*100</f>
        <v>59.487273355272606</v>
      </c>
      <c r="D13" s="285">
        <f>B13/'- 7 -'!C13</f>
        <v>6813.8097569713982</v>
      </c>
      <c r="E13" s="285">
        <f>SUM('- 21 -'!B13,'- 21 -'!E13,'- 21 -'!H13,'- 22 -'!B13,'- 22 -'!E13,'- 22 -'!H13)</f>
        <v>20277126</v>
      </c>
      <c r="F13" s="291">
        <f>E13/'- 3 -'!D13*100</f>
        <v>21.141384971999962</v>
      </c>
      <c r="G13" s="285">
        <f>E13/'- 7 -'!E13</f>
        <v>2421.5830895085687</v>
      </c>
      <c r="H13" s="285">
        <f>SUM('- 23 -'!D13,'- 23 -'!B13)</f>
        <v>0</v>
      </c>
      <c r="I13" s="291">
        <f>H13/'- 3 -'!D13*100</f>
        <v>0</v>
      </c>
    </row>
    <row r="14" spans="1:9" ht="14.1" customHeight="1" x14ac:dyDescent="0.2">
      <c r="A14" s="19" t="s">
        <v>359</v>
      </c>
      <c r="B14" s="20">
        <f>SUM('- 18 -'!B14,'- 18 -'!E14,'- 19 -'!B14,'- 19 -'!E14,'- 19 -'!H14,'- 20 -'!B14)</f>
        <v>46430809</v>
      </c>
      <c r="C14" s="70">
        <f>B14/'- 3 -'!D14*100</f>
        <v>55.982641801000256</v>
      </c>
      <c r="D14" s="20">
        <f>B14/'- 7 -'!C14</f>
        <v>8467.9233067184123</v>
      </c>
      <c r="E14" s="20">
        <f>SUM('- 21 -'!B14,'- 21 -'!E14,'- 21 -'!H14,'- 22 -'!B14,'- 22 -'!E14,'- 22 -'!H14)</f>
        <v>9550125</v>
      </c>
      <c r="F14" s="70">
        <f>E14/'- 3 -'!D14*100</f>
        <v>11.514794563019084</v>
      </c>
      <c r="G14" s="20">
        <f>E14/'- 7 -'!E14</f>
        <v>1741.7255441225282</v>
      </c>
      <c r="H14" s="20">
        <f>SUM('- 23 -'!D14,'- 23 -'!B14)</f>
        <v>255289</v>
      </c>
      <c r="I14" s="70">
        <f>H14/'- 3 -'!D14*100</f>
        <v>0.30780753018401108</v>
      </c>
    </row>
    <row r="15" spans="1:9" ht="14.1" customHeight="1" x14ac:dyDescent="0.2">
      <c r="A15" s="284" t="s">
        <v>113</v>
      </c>
      <c r="B15" s="285">
        <f>SUM('- 18 -'!B15,'- 18 -'!E15,'- 19 -'!B15,'- 19 -'!E15,'- 19 -'!H15,'- 20 -'!B15)</f>
        <v>10592878</v>
      </c>
      <c r="C15" s="291">
        <f>B15/'- 3 -'!D15*100</f>
        <v>54.276978307968349</v>
      </c>
      <c r="D15" s="285">
        <f>B15/'- 7 -'!C15</f>
        <v>7570.6675242995998</v>
      </c>
      <c r="E15" s="285">
        <f>SUM('- 21 -'!B15,'- 21 -'!E15,'- 21 -'!H15,'- 22 -'!B15,'- 22 -'!E15,'- 22 -'!H15)</f>
        <v>3104733</v>
      </c>
      <c r="F15" s="291">
        <f>E15/'- 3 -'!D15*100</f>
        <v>15.908379733348527</v>
      </c>
      <c r="G15" s="285">
        <f>E15/'- 7 -'!E15</f>
        <v>2218.9343910806174</v>
      </c>
      <c r="H15" s="285">
        <f>SUM('- 23 -'!D15,'- 23 -'!B15)</f>
        <v>0</v>
      </c>
      <c r="I15" s="291">
        <f>H15/'- 3 -'!D15*100</f>
        <v>0</v>
      </c>
    </row>
    <row r="16" spans="1:9" ht="14.1" customHeight="1" x14ac:dyDescent="0.2">
      <c r="A16" s="19" t="s">
        <v>114</v>
      </c>
      <c r="B16" s="20">
        <f>SUM('- 18 -'!B16,'- 18 -'!E16,'- 19 -'!B16,'- 19 -'!E16,'- 19 -'!H16,'- 20 -'!B16)</f>
        <v>7494480</v>
      </c>
      <c r="C16" s="70">
        <f>B16/'- 3 -'!D16*100</f>
        <v>51.698205564947799</v>
      </c>
      <c r="D16" s="20">
        <f>B16/'- 7 -'!C16</f>
        <v>8292.1885372870111</v>
      </c>
      <c r="E16" s="20">
        <f>SUM('- 21 -'!B16,'- 21 -'!E16,'- 21 -'!H16,'- 22 -'!B16,'- 22 -'!E16,'- 22 -'!H16)</f>
        <v>2626714</v>
      </c>
      <c r="F16" s="70">
        <f>E16/'- 3 -'!D16*100</f>
        <v>18.119522679669075</v>
      </c>
      <c r="G16" s="20">
        <f>E16/'- 7 -'!E16</f>
        <v>2906.3000663863686</v>
      </c>
      <c r="H16" s="20">
        <f>SUM('- 23 -'!D16,'- 23 -'!B16)</f>
        <v>92300</v>
      </c>
      <c r="I16" s="70">
        <f>H16/'- 3 -'!D16*100</f>
        <v>0.63670119523231528</v>
      </c>
    </row>
    <row r="17" spans="1:9" ht="14.1" customHeight="1" x14ac:dyDescent="0.2">
      <c r="A17" s="284" t="s">
        <v>115</v>
      </c>
      <c r="B17" s="285">
        <f>SUM('- 18 -'!B17,'- 18 -'!E17,'- 19 -'!B17,'- 19 -'!E17,'- 19 -'!H17,'- 20 -'!B17)</f>
        <v>10243974</v>
      </c>
      <c r="C17" s="291">
        <f>B17/'- 3 -'!D17*100</f>
        <v>57.082359622675952</v>
      </c>
      <c r="D17" s="285">
        <f>B17/'- 7 -'!C17</f>
        <v>7330.2139534883718</v>
      </c>
      <c r="E17" s="285">
        <f>SUM('- 21 -'!B17,'- 21 -'!E17,'- 21 -'!H17,'- 22 -'!B17,'- 22 -'!E17,'- 22 -'!H17)</f>
        <v>2463250</v>
      </c>
      <c r="F17" s="291">
        <f>E17/'- 3 -'!D17*100</f>
        <v>13.725935104926714</v>
      </c>
      <c r="G17" s="285">
        <f>E17/'- 7 -'!E17</f>
        <v>1762.6118067978532</v>
      </c>
      <c r="H17" s="285">
        <f>SUM('- 23 -'!D17,'- 23 -'!B17)</f>
        <v>0</v>
      </c>
      <c r="I17" s="291">
        <f>H17/'- 3 -'!D17*100</f>
        <v>0</v>
      </c>
    </row>
    <row r="18" spans="1:9" ht="14.1" customHeight="1" x14ac:dyDescent="0.2">
      <c r="A18" s="19" t="s">
        <v>116</v>
      </c>
      <c r="B18" s="20">
        <f>SUM('- 18 -'!B18,'- 18 -'!E18,'- 19 -'!B18,'- 19 -'!E18,'- 19 -'!H18,'- 20 -'!B18)</f>
        <v>55414518</v>
      </c>
      <c r="C18" s="70">
        <f>B18/'- 3 -'!D18*100</f>
        <v>43.072527912313504</v>
      </c>
      <c r="D18" s="20">
        <f>B18/'- 7 -'!C18</f>
        <v>9091.9486784032561</v>
      </c>
      <c r="E18" s="20">
        <f>SUM('- 21 -'!B18,'- 21 -'!E18,'- 21 -'!H18,'- 22 -'!B18,'- 22 -'!E18,'- 22 -'!H18)</f>
        <v>19344503</v>
      </c>
      <c r="F18" s="70">
        <f>E18/'- 3 -'!D18*100</f>
        <v>15.036071330934112</v>
      </c>
      <c r="G18" s="20">
        <f>E18/'- 7 -'!E18</f>
        <v>3173.8835747920393</v>
      </c>
      <c r="H18" s="20">
        <f>SUM('- 23 -'!D18,'- 23 -'!B18)</f>
        <v>2393322</v>
      </c>
      <c r="I18" s="70">
        <f>H18/'- 3 -'!D18*100</f>
        <v>1.8602783596918409</v>
      </c>
    </row>
    <row r="19" spans="1:9" ht="14.1" customHeight="1" x14ac:dyDescent="0.2">
      <c r="A19" s="284" t="s">
        <v>117</v>
      </c>
      <c r="B19" s="285">
        <f>SUM('- 18 -'!B19,'- 18 -'!E19,'- 19 -'!B19,'- 19 -'!E19,'- 19 -'!H19,'- 20 -'!B19)</f>
        <v>26402672.509999998</v>
      </c>
      <c r="C19" s="291">
        <f>B19/'- 3 -'!D19*100</f>
        <v>57.208467353146787</v>
      </c>
      <c r="D19" s="285">
        <f>B19/'- 7 -'!C19</f>
        <v>6026.6314791143568</v>
      </c>
      <c r="E19" s="285">
        <f>SUM('- 21 -'!B19,'- 21 -'!E19,'- 21 -'!H19,'- 22 -'!B19,'- 22 -'!E19,'- 22 -'!H19)</f>
        <v>8790964</v>
      </c>
      <c r="F19" s="291">
        <f>E19/'- 3 -'!D19*100</f>
        <v>19.047979965142122</v>
      </c>
      <c r="G19" s="285">
        <f>E19/'- 7 -'!E19</f>
        <v>2006.6112759643918</v>
      </c>
      <c r="H19" s="285">
        <f>SUM('- 23 -'!D19,'- 23 -'!B19)</f>
        <v>0</v>
      </c>
      <c r="I19" s="291">
        <f>H19/'- 3 -'!D19*100</f>
        <v>0</v>
      </c>
    </row>
    <row r="20" spans="1:9" ht="14.1" customHeight="1" x14ac:dyDescent="0.2">
      <c r="A20" s="19" t="s">
        <v>118</v>
      </c>
      <c r="B20" s="20">
        <f>SUM('- 18 -'!B20,'- 18 -'!E20,'- 19 -'!B20,'- 19 -'!E20,'- 19 -'!H20,'- 20 -'!B20)</f>
        <v>50321264</v>
      </c>
      <c r="C20" s="70">
        <f>B20/'- 3 -'!D20*100</f>
        <v>61.181258603778318</v>
      </c>
      <c r="D20" s="20">
        <f>B20/'- 7 -'!C20</f>
        <v>6590.4346801126321</v>
      </c>
      <c r="E20" s="20">
        <f>SUM('- 21 -'!B20,'- 21 -'!E20,'- 21 -'!H20,'- 22 -'!B20,'- 22 -'!E20,'- 22 -'!H20)</f>
        <v>12418469</v>
      </c>
      <c r="F20" s="70">
        <f>E20/'- 3 -'!D20*100</f>
        <v>15.098538926844213</v>
      </c>
      <c r="G20" s="20">
        <f>E20/'- 7 -'!E20</f>
        <v>1626.4120227882916</v>
      </c>
      <c r="H20" s="20">
        <f>SUM('- 23 -'!D20,'- 23 -'!B20)</f>
        <v>0</v>
      </c>
      <c r="I20" s="70">
        <f>H20/'- 3 -'!D20*100</f>
        <v>0</v>
      </c>
    </row>
    <row r="21" spans="1:9" ht="14.1" customHeight="1" x14ac:dyDescent="0.2">
      <c r="A21" s="284" t="s">
        <v>119</v>
      </c>
      <c r="B21" s="285">
        <f>SUM('- 18 -'!B21,'- 18 -'!E21,'- 19 -'!B21,'- 19 -'!E21,'- 19 -'!H21,'- 20 -'!B21)</f>
        <v>20737920</v>
      </c>
      <c r="C21" s="291">
        <f>B21/'- 3 -'!D21*100</f>
        <v>57.656777593140816</v>
      </c>
      <c r="D21" s="285">
        <f>B21/'- 7 -'!C21</f>
        <v>7562.7876445060356</v>
      </c>
      <c r="E21" s="285">
        <f>SUM('- 21 -'!B21,'- 21 -'!E21,'- 21 -'!H21,'- 22 -'!B21,'- 22 -'!E21,'- 22 -'!H21)</f>
        <v>5864646</v>
      </c>
      <c r="F21" s="291">
        <f>E21/'- 3 -'!D21*100</f>
        <v>16.305231676296508</v>
      </c>
      <c r="G21" s="285">
        <f>E21/'- 7 -'!E21</f>
        <v>2138.7425695634734</v>
      </c>
      <c r="H21" s="285">
        <f>SUM('- 23 -'!D21,'- 23 -'!B21)</f>
        <v>0</v>
      </c>
      <c r="I21" s="291">
        <f>H21/'- 3 -'!D21*100</f>
        <v>0</v>
      </c>
    </row>
    <row r="22" spans="1:9" ht="14.1" customHeight="1" x14ac:dyDescent="0.2">
      <c r="A22" s="19" t="s">
        <v>120</v>
      </c>
      <c r="B22" s="20">
        <f>SUM('- 18 -'!B22,'- 18 -'!E22,'- 19 -'!B22,'- 19 -'!E22,'- 19 -'!H22,'- 20 -'!B22)</f>
        <v>10376779</v>
      </c>
      <c r="C22" s="70">
        <f>B22/'- 3 -'!D22*100</f>
        <v>51.699619461372862</v>
      </c>
      <c r="D22" s="20">
        <f>B22/'- 7 -'!C22</f>
        <v>6810.6976896823317</v>
      </c>
      <c r="E22" s="20">
        <f>SUM('- 21 -'!B22,'- 21 -'!E22,'- 21 -'!H22,'- 22 -'!B22,'- 22 -'!E22,'- 22 -'!H22)</f>
        <v>4442900</v>
      </c>
      <c r="F22" s="70">
        <f>E22/'- 3 -'!D22*100</f>
        <v>22.135600970680155</v>
      </c>
      <c r="G22" s="20">
        <f>E22/'- 7 -'!E22</f>
        <v>2916.0540824363352</v>
      </c>
      <c r="H22" s="20">
        <f>SUM('- 23 -'!D22,'- 23 -'!B22)</f>
        <v>623926</v>
      </c>
      <c r="I22" s="70">
        <f>H22/'- 3 -'!D22*100</f>
        <v>3.1085500396661159</v>
      </c>
    </row>
    <row r="23" spans="1:9" ht="14.1" customHeight="1" x14ac:dyDescent="0.2">
      <c r="A23" s="284" t="s">
        <v>121</v>
      </c>
      <c r="B23" s="285">
        <f>SUM('- 18 -'!B23,'- 18 -'!E23,'- 19 -'!B23,'- 19 -'!E23,'- 19 -'!H23,'- 20 -'!B23)</f>
        <v>9124862</v>
      </c>
      <c r="C23" s="291">
        <f>B23/'- 3 -'!D23*100</f>
        <v>52.75295685517554</v>
      </c>
      <c r="D23" s="285">
        <f>B23/'- 7 -'!C23</f>
        <v>8187.4042171377296</v>
      </c>
      <c r="E23" s="285">
        <f>SUM('- 21 -'!B23,'- 21 -'!E23,'- 21 -'!H23,'- 22 -'!B23,'- 22 -'!E23,'- 22 -'!H23)</f>
        <v>2770478</v>
      </c>
      <c r="F23" s="291">
        <f>E23/'- 3 -'!D23*100</f>
        <v>16.016779914283966</v>
      </c>
      <c r="G23" s="285">
        <f>E23/'- 7 -'!E23</f>
        <v>2485.8483624943919</v>
      </c>
      <c r="H23" s="285">
        <f>SUM('- 23 -'!D23,'- 23 -'!B23)</f>
        <v>307357</v>
      </c>
      <c r="I23" s="291">
        <f>H23/'- 3 -'!D23*100</f>
        <v>1.7769025504315779</v>
      </c>
    </row>
    <row r="24" spans="1:9" ht="14.1" customHeight="1" x14ac:dyDescent="0.2">
      <c r="A24" s="19" t="s">
        <v>122</v>
      </c>
      <c r="B24" s="20">
        <f>SUM('- 18 -'!B24,'- 18 -'!E24,'- 19 -'!B24,'- 19 -'!E24,'- 19 -'!H24,'- 20 -'!B24)</f>
        <v>33772952</v>
      </c>
      <c r="C24" s="70">
        <f>B24/'- 3 -'!D24*100</f>
        <v>58.913730990273137</v>
      </c>
      <c r="D24" s="20">
        <f>B24/'- 7 -'!C24</f>
        <v>8553.7958108553048</v>
      </c>
      <c r="E24" s="20">
        <f>SUM('- 21 -'!B24,'- 21 -'!E24,'- 21 -'!H24,'- 22 -'!B24,'- 22 -'!E24,'- 22 -'!H24)</f>
        <v>9189743</v>
      </c>
      <c r="F24" s="70">
        <f>E24/'- 3 -'!D24*100</f>
        <v>16.03064034709627</v>
      </c>
      <c r="G24" s="20">
        <f>E24/'- 7 -'!E24</f>
        <v>2327.5189321986677</v>
      </c>
      <c r="H24" s="20">
        <f>SUM('- 23 -'!D24,'- 23 -'!B24)</f>
        <v>345726</v>
      </c>
      <c r="I24" s="70">
        <f>H24/'- 3 -'!D24*100</f>
        <v>0.60308641543514385</v>
      </c>
    </row>
    <row r="25" spans="1:9" ht="14.1" customHeight="1" x14ac:dyDescent="0.2">
      <c r="A25" s="284" t="s">
        <v>123</v>
      </c>
      <c r="B25" s="285">
        <f>SUM('- 18 -'!B25,'- 18 -'!E25,'- 19 -'!B25,'- 19 -'!E25,'- 19 -'!H25,'- 20 -'!B25)</f>
        <v>97474071</v>
      </c>
      <c r="C25" s="291">
        <f>B25/'- 3 -'!D25*100</f>
        <v>54.960166960965026</v>
      </c>
      <c r="D25" s="285">
        <f>B25/'- 7 -'!C25</f>
        <v>6799.2990324988314</v>
      </c>
      <c r="E25" s="285">
        <f>SUM('- 21 -'!B25,'- 21 -'!E25,'- 21 -'!H25,'- 22 -'!B25,'- 22 -'!E25,'- 22 -'!H25)</f>
        <v>36470380</v>
      </c>
      <c r="F25" s="291">
        <f>E25/'- 3 -'!D25*100</f>
        <v>20.563603770379508</v>
      </c>
      <c r="G25" s="285">
        <f>E25/'- 7 -'!E25</f>
        <v>2543.9895646593518</v>
      </c>
      <c r="H25" s="285">
        <f>SUM('- 23 -'!D25,'- 23 -'!B25)</f>
        <v>1025870</v>
      </c>
      <c r="I25" s="291">
        <f>H25/'- 3 -'!D25*100</f>
        <v>0.57843061135966289</v>
      </c>
    </row>
    <row r="26" spans="1:9" ht="14.1" customHeight="1" x14ac:dyDescent="0.2">
      <c r="A26" s="19" t="s">
        <v>124</v>
      </c>
      <c r="B26" s="20">
        <f>SUM('- 18 -'!B26,'- 18 -'!E26,'- 19 -'!B26,'- 19 -'!E26,'- 19 -'!H26,'- 20 -'!B26)</f>
        <v>23431057</v>
      </c>
      <c r="C26" s="70">
        <f>B26/'- 3 -'!D26*100</f>
        <v>57.167055411944958</v>
      </c>
      <c r="D26" s="20">
        <f>B26/'- 7 -'!C26</f>
        <v>7667.2306937172771</v>
      </c>
      <c r="E26" s="20">
        <f>SUM('- 21 -'!B26,'- 21 -'!E26,'- 21 -'!H26,'- 22 -'!B26,'- 22 -'!E26,'- 22 -'!H26)</f>
        <v>5550643</v>
      </c>
      <c r="F26" s="70">
        <f>E26/'- 3 -'!D26*100</f>
        <v>13.542449918197219</v>
      </c>
      <c r="G26" s="20">
        <f>E26/'- 7 -'!E26</f>
        <v>1816.3098821989529</v>
      </c>
      <c r="H26" s="20">
        <f>SUM('- 23 -'!D26,'- 23 -'!B26)</f>
        <v>0</v>
      </c>
      <c r="I26" s="70">
        <f>H26/'- 3 -'!D26*100</f>
        <v>0</v>
      </c>
    </row>
    <row r="27" spans="1:9" ht="14.1" customHeight="1" x14ac:dyDescent="0.2">
      <c r="A27" s="284" t="s">
        <v>125</v>
      </c>
      <c r="B27" s="285">
        <f>SUM('- 18 -'!B27,'- 18 -'!E27,'- 19 -'!B27,'- 19 -'!E27,'- 19 -'!H27,'- 20 -'!B27)</f>
        <v>23683302</v>
      </c>
      <c r="C27" s="291">
        <f>B27/'- 3 -'!D27*100</f>
        <v>57.141466719724257</v>
      </c>
      <c r="D27" s="285">
        <f>B27/'- 7 -'!C27</f>
        <v>7926.8017739101315</v>
      </c>
      <c r="E27" s="285">
        <f>SUM('- 21 -'!B27,'- 21 -'!E27,'- 21 -'!H27,'- 22 -'!B27,'- 22 -'!E27,'- 22 -'!H27)</f>
        <v>8349761</v>
      </c>
      <c r="F27" s="291">
        <f>E27/'- 3 -'!D27*100</f>
        <v>20.145737714240671</v>
      </c>
      <c r="G27" s="285">
        <f>E27/'- 7 -'!E27</f>
        <v>2794.6652162998907</v>
      </c>
      <c r="H27" s="285">
        <f>SUM('- 23 -'!D27,'- 23 -'!B27)</f>
        <v>0</v>
      </c>
      <c r="I27" s="291">
        <f>H27/'- 3 -'!D27*100</f>
        <v>0</v>
      </c>
    </row>
    <row r="28" spans="1:9" ht="14.1" customHeight="1" x14ac:dyDescent="0.2">
      <c r="A28" s="19" t="s">
        <v>126</v>
      </c>
      <c r="B28" s="20">
        <f>SUM('- 18 -'!B28,'- 18 -'!E28,'- 19 -'!B28,'- 19 -'!E28,'- 19 -'!H28,'- 20 -'!B28)</f>
        <v>16798429</v>
      </c>
      <c r="C28" s="70">
        <f>B28/'- 3 -'!D28*100</f>
        <v>59.5552311382732</v>
      </c>
      <c r="D28" s="20">
        <f>B28/'- 7 -'!C28</f>
        <v>8557.5287824758016</v>
      </c>
      <c r="E28" s="20">
        <f>SUM('- 21 -'!B28,'- 21 -'!E28,'- 21 -'!H28,'- 22 -'!B28,'- 22 -'!E28,'- 22 -'!H28)</f>
        <v>3565159</v>
      </c>
      <c r="F28" s="70">
        <f>E28/'- 3 -'!D28*100</f>
        <v>12.639507437849989</v>
      </c>
      <c r="G28" s="20">
        <f>E28/'- 7 -'!E28</f>
        <v>1816.1788079470198</v>
      </c>
      <c r="H28" s="20">
        <f>SUM('- 23 -'!D28,'- 23 -'!B28)</f>
        <v>103549</v>
      </c>
      <c r="I28" s="70">
        <f>H28/'- 3 -'!D28*100</f>
        <v>0.36711079524978502</v>
      </c>
    </row>
    <row r="29" spans="1:9" ht="14.1" customHeight="1" x14ac:dyDescent="0.2">
      <c r="A29" s="284" t="s">
        <v>127</v>
      </c>
      <c r="B29" s="285">
        <f>SUM('- 18 -'!B29,'- 18 -'!E29,'- 19 -'!B29,'- 19 -'!E29,'- 19 -'!H29,'- 20 -'!B29)</f>
        <v>90755483</v>
      </c>
      <c r="C29" s="291">
        <f>B29/'- 3 -'!D29*100</f>
        <v>56.975090727114932</v>
      </c>
      <c r="D29" s="285">
        <f>B29/'- 7 -'!C29</f>
        <v>6937.219699749282</v>
      </c>
      <c r="E29" s="285">
        <f>SUM('- 21 -'!B29,'- 21 -'!E29,'- 21 -'!H29,'- 22 -'!B29,'- 22 -'!E29,'- 22 -'!H29)</f>
        <v>30555951</v>
      </c>
      <c r="F29" s="291">
        <f>E29/'- 3 -'!D29*100</f>
        <v>19.182621511454887</v>
      </c>
      <c r="G29" s="285">
        <f>E29/'- 7 -'!E29</f>
        <v>2335.6533204916532</v>
      </c>
      <c r="H29" s="285">
        <f>SUM('- 23 -'!D29,'- 23 -'!B29)</f>
        <v>0</v>
      </c>
      <c r="I29" s="291">
        <f>H29/'- 3 -'!D29*100</f>
        <v>0</v>
      </c>
    </row>
    <row r="30" spans="1:9" ht="14.1" customHeight="1" x14ac:dyDescent="0.2">
      <c r="A30" s="19" t="s">
        <v>128</v>
      </c>
      <c r="B30" s="20">
        <f>SUM('- 18 -'!B30,'- 18 -'!E30,'- 19 -'!B30,'- 19 -'!E30,'- 19 -'!H30,'- 20 -'!B30)</f>
        <v>8527073</v>
      </c>
      <c r="C30" s="70">
        <f>B30/'- 3 -'!D30*100</f>
        <v>60.468490279172414</v>
      </c>
      <c r="D30" s="20">
        <f>B30/'- 7 -'!C30</f>
        <v>8534.3881898770378</v>
      </c>
      <c r="E30" s="20">
        <f>SUM('- 21 -'!B30,'- 21 -'!E30,'- 21 -'!H30,'- 22 -'!B30,'- 22 -'!E30,'- 22 -'!H30)</f>
        <v>1527944</v>
      </c>
      <c r="F30" s="70">
        <f>E30/'- 3 -'!D30*100</f>
        <v>10.835191267990764</v>
      </c>
      <c r="G30" s="20">
        <f>E30/'- 7 -'!E30</f>
        <v>1529.2547898198457</v>
      </c>
      <c r="H30" s="20">
        <f>SUM('- 23 -'!D30,'- 23 -'!B30)</f>
        <v>0</v>
      </c>
      <c r="I30" s="70">
        <f>H30/'- 3 -'!D30*100</f>
        <v>0</v>
      </c>
    </row>
    <row r="31" spans="1:9" ht="14.1" customHeight="1" x14ac:dyDescent="0.2">
      <c r="A31" s="284" t="s">
        <v>129</v>
      </c>
      <c r="B31" s="285">
        <f>SUM('- 18 -'!B31,'- 18 -'!E31,'- 19 -'!B31,'- 19 -'!E31,'- 19 -'!H31,'- 20 -'!B31)</f>
        <v>21538871</v>
      </c>
      <c r="C31" s="291">
        <f>B31/'- 3 -'!D31*100</f>
        <v>57.407214124940531</v>
      </c>
      <c r="D31" s="285">
        <f>B31/'- 7 -'!C31</f>
        <v>6621.2330156778362</v>
      </c>
      <c r="E31" s="285">
        <f>SUM('- 21 -'!B31,'- 21 -'!E31,'- 21 -'!H31,'- 22 -'!B31,'- 22 -'!E31,'- 22 -'!H31)</f>
        <v>7435844</v>
      </c>
      <c r="F31" s="291">
        <f>E31/'- 3 -'!D31*100</f>
        <v>19.818638066389564</v>
      </c>
      <c r="G31" s="285">
        <f>E31/'- 7 -'!E31</f>
        <v>2285.8419920073779</v>
      </c>
      <c r="H31" s="285">
        <f>SUM('- 23 -'!D31,'- 23 -'!B31)</f>
        <v>0</v>
      </c>
      <c r="I31" s="291">
        <f>H31/'- 3 -'!D31*100</f>
        <v>0</v>
      </c>
    </row>
    <row r="32" spans="1:9" ht="14.1" customHeight="1" x14ac:dyDescent="0.2">
      <c r="A32" s="19" t="s">
        <v>130</v>
      </c>
      <c r="B32" s="20">
        <f>SUM('- 18 -'!B32,'- 18 -'!E32,'- 19 -'!B32,'- 19 -'!E32,'- 19 -'!H32,'- 20 -'!B32)</f>
        <v>17118573</v>
      </c>
      <c r="C32" s="70">
        <f>B32/'- 3 -'!D32*100</f>
        <v>58.430909196225066</v>
      </c>
      <c r="D32" s="20">
        <f>B32/'- 7 -'!C32</f>
        <v>7950.293981051459</v>
      </c>
      <c r="E32" s="20">
        <f>SUM('- 21 -'!B32,'- 21 -'!E32,'- 21 -'!H32,'- 22 -'!B32,'- 22 -'!E32,'- 22 -'!H32)</f>
        <v>4349014</v>
      </c>
      <c r="F32" s="70">
        <f>E32/'- 3 -'!D32*100</f>
        <v>14.844510820330148</v>
      </c>
      <c r="G32" s="20">
        <f>E32/'- 7 -'!E32</f>
        <v>2019.7910087311909</v>
      </c>
      <c r="H32" s="20">
        <f>SUM('- 23 -'!D32,'- 23 -'!B32)</f>
        <v>273579</v>
      </c>
      <c r="I32" s="70">
        <f>H32/'- 3 -'!D32*100</f>
        <v>0.93380854274442482</v>
      </c>
    </row>
    <row r="33" spans="1:9" ht="14.1" customHeight="1" x14ac:dyDescent="0.2">
      <c r="A33" s="284" t="s">
        <v>131</v>
      </c>
      <c r="B33" s="285">
        <f>SUM('- 18 -'!B33,'- 18 -'!E33,'- 19 -'!B33,'- 19 -'!E33,'- 19 -'!H33,'- 20 -'!B33)</f>
        <v>16378185</v>
      </c>
      <c r="C33" s="291">
        <f>B33/'- 3 -'!D33*100</f>
        <v>58.885279518735302</v>
      </c>
      <c r="D33" s="285">
        <f>B33/'- 7 -'!C33</f>
        <v>8110.0198068828922</v>
      </c>
      <c r="E33" s="285">
        <f>SUM('- 21 -'!B33,'- 21 -'!E33,'- 21 -'!H33,'- 22 -'!B33,'- 22 -'!E33,'- 22 -'!H33)</f>
        <v>3560602</v>
      </c>
      <c r="F33" s="291">
        <f>E33/'- 3 -'!D33*100</f>
        <v>12.801604330697691</v>
      </c>
      <c r="G33" s="285">
        <f>E33/'- 7 -'!E33</f>
        <v>1763.1106709581579</v>
      </c>
      <c r="H33" s="285">
        <f>SUM('- 23 -'!D33,'- 23 -'!B33)</f>
        <v>0</v>
      </c>
      <c r="I33" s="291">
        <f>H33/'- 3 -'!D33*100</f>
        <v>0</v>
      </c>
    </row>
    <row r="34" spans="1:9" ht="14.1" customHeight="1" x14ac:dyDescent="0.2">
      <c r="A34" s="19" t="s">
        <v>132</v>
      </c>
      <c r="B34" s="20">
        <f>SUM('- 18 -'!B34,'- 18 -'!E34,'- 19 -'!B34,'- 19 -'!E34,'- 19 -'!H34,'- 20 -'!B34)</f>
        <v>16209840</v>
      </c>
      <c r="C34" s="70">
        <f>B34/'- 3 -'!D34*100</f>
        <v>55.741741457966633</v>
      </c>
      <c r="D34" s="20">
        <f>B34/'- 7 -'!C34</f>
        <v>7965.914786967418</v>
      </c>
      <c r="E34" s="20">
        <f>SUM('- 21 -'!B34,'- 21 -'!E34,'- 21 -'!H34,'- 22 -'!B34,'- 22 -'!E34,'- 22 -'!H34)</f>
        <v>4734223</v>
      </c>
      <c r="F34" s="70">
        <f>E34/'- 3 -'!D34*100</f>
        <v>16.279854364408234</v>
      </c>
      <c r="G34" s="20">
        <f>E34/'- 7 -'!E34</f>
        <v>2326.5138336036166</v>
      </c>
      <c r="H34" s="20">
        <f>SUM('- 23 -'!D34,'- 23 -'!B34)</f>
        <v>0</v>
      </c>
      <c r="I34" s="70">
        <f>H34/'- 3 -'!D34*100</f>
        <v>0</v>
      </c>
    </row>
    <row r="35" spans="1:9" ht="14.1" customHeight="1" x14ac:dyDescent="0.2">
      <c r="A35" s="284" t="s">
        <v>133</v>
      </c>
      <c r="B35" s="285">
        <f>SUM('- 18 -'!B35,'- 18 -'!E35,'- 19 -'!B35,'- 19 -'!E35,'- 19 -'!H35,'- 20 -'!B35)</f>
        <v>104938838</v>
      </c>
      <c r="C35" s="291">
        <f>B35/'- 3 -'!D35*100</f>
        <v>56.953982718502751</v>
      </c>
      <c r="D35" s="285">
        <f>B35/'- 7 -'!C35</f>
        <v>6723.4006919528447</v>
      </c>
      <c r="E35" s="285">
        <f>SUM('- 21 -'!B35,'- 21 -'!E35,'- 21 -'!H35,'- 22 -'!B35,'- 22 -'!E35,'- 22 -'!H35)</f>
        <v>34780528</v>
      </c>
      <c r="F35" s="291">
        <f>E35/'- 3 -'!D35*100</f>
        <v>18.87661068490582</v>
      </c>
      <c r="G35" s="285">
        <f>E35/'- 7 -'!E35</f>
        <v>2228.3782675551001</v>
      </c>
      <c r="H35" s="285">
        <f>SUM('- 23 -'!D35,'- 23 -'!B35)</f>
        <v>1430684</v>
      </c>
      <c r="I35" s="291">
        <f>H35/'- 3 -'!D35*100</f>
        <v>0.77648231450436289</v>
      </c>
    </row>
    <row r="36" spans="1:9" ht="14.1" customHeight="1" x14ac:dyDescent="0.2">
      <c r="A36" s="19" t="s">
        <v>134</v>
      </c>
      <c r="B36" s="20">
        <f>SUM('- 18 -'!B36,'- 18 -'!E36,'- 19 -'!B36,'- 19 -'!E36,'- 19 -'!H36,'- 20 -'!B36)</f>
        <v>13630715</v>
      </c>
      <c r="C36" s="70">
        <f>B36/'- 3 -'!D36*100</f>
        <v>58.146086875508374</v>
      </c>
      <c r="D36" s="20">
        <f>B36/'- 7 -'!C36</f>
        <v>8174.341829085457</v>
      </c>
      <c r="E36" s="20">
        <f>SUM('- 21 -'!B36,'- 21 -'!E36,'- 21 -'!H36,'- 22 -'!B36,'- 22 -'!E36,'- 22 -'!H36)</f>
        <v>2926805</v>
      </c>
      <c r="F36" s="70">
        <f>E36/'- 3 -'!D36*100</f>
        <v>12.485204026177078</v>
      </c>
      <c r="G36" s="20">
        <f>E36/'- 7 -'!E36</f>
        <v>1755.2053973013494</v>
      </c>
      <c r="H36" s="20">
        <f>SUM('- 23 -'!D36,'- 23 -'!B36)</f>
        <v>123434</v>
      </c>
      <c r="I36" s="70">
        <f>H36/'- 3 -'!D36*100</f>
        <v>0.5265464128177797</v>
      </c>
    </row>
    <row r="37" spans="1:9" ht="14.1" customHeight="1" x14ac:dyDescent="0.2">
      <c r="A37" s="284" t="s">
        <v>135</v>
      </c>
      <c r="B37" s="285">
        <f>SUM('- 18 -'!B37,'- 18 -'!E37,'- 19 -'!B37,'- 19 -'!E37,'- 19 -'!H37,'- 20 -'!B37)</f>
        <v>28582109</v>
      </c>
      <c r="C37" s="291">
        <f>B37/'- 3 -'!D37*100</f>
        <v>56.949915468093558</v>
      </c>
      <c r="D37" s="285">
        <f>B37/'- 7 -'!C37</f>
        <v>6832.9211092517335</v>
      </c>
      <c r="E37" s="285">
        <f>SUM('- 21 -'!B37,'- 21 -'!E37,'- 21 -'!H37,'- 22 -'!B37,'- 22 -'!E37,'- 22 -'!H37)</f>
        <v>8386775</v>
      </c>
      <c r="F37" s="291">
        <f>E37/'- 3 -'!D37*100</f>
        <v>16.710667757229544</v>
      </c>
      <c r="G37" s="285">
        <f>E37/'- 7 -'!E37</f>
        <v>2004.9665311977051</v>
      </c>
      <c r="H37" s="285">
        <f>SUM('- 23 -'!D37,'- 23 -'!B37)</f>
        <v>315175</v>
      </c>
      <c r="I37" s="291">
        <f>H37/'- 3 -'!D37*100</f>
        <v>0.62798688535042635</v>
      </c>
    </row>
    <row r="38" spans="1:9" ht="14.1" customHeight="1" x14ac:dyDescent="0.2">
      <c r="A38" s="19" t="s">
        <v>136</v>
      </c>
      <c r="B38" s="20">
        <f>SUM('- 18 -'!B38,'- 18 -'!E38,'- 19 -'!B38,'- 19 -'!E38,'- 19 -'!H38,'- 20 -'!B38)</f>
        <v>80488861</v>
      </c>
      <c r="C38" s="70">
        <f>B38/'- 3 -'!D38*100</f>
        <v>59.320300311630177</v>
      </c>
      <c r="D38" s="20">
        <f>B38/'- 7 -'!C38</f>
        <v>7321.2957303207268</v>
      </c>
      <c r="E38" s="20">
        <f>SUM('- 21 -'!B38,'- 21 -'!E38,'- 21 -'!H38,'- 22 -'!B38,'- 22 -'!E38,'- 22 -'!H38)</f>
        <v>24420731</v>
      </c>
      <c r="F38" s="70">
        <f>E38/'- 3 -'!D38*100</f>
        <v>17.998081706604555</v>
      </c>
      <c r="G38" s="20">
        <f>E38/'- 7 -'!E38</f>
        <v>2221.3184704105952</v>
      </c>
      <c r="H38" s="20">
        <f>SUM('- 23 -'!D38,'- 23 -'!B38)</f>
        <v>847478</v>
      </c>
      <c r="I38" s="70">
        <f>H38/'- 3 -'!D38*100</f>
        <v>0.62459138870780795</v>
      </c>
    </row>
    <row r="39" spans="1:9" ht="14.1" customHeight="1" x14ac:dyDescent="0.2">
      <c r="A39" s="284" t="s">
        <v>137</v>
      </c>
      <c r="B39" s="285">
        <f>SUM('- 18 -'!B39,'- 18 -'!E39,'- 19 -'!B39,'- 19 -'!E39,'- 19 -'!H39,'- 20 -'!B39)</f>
        <v>12445891</v>
      </c>
      <c r="C39" s="291">
        <f>B39/'- 3 -'!D39*100</f>
        <v>58.006611394758956</v>
      </c>
      <c r="D39" s="285">
        <f>B39/'- 7 -'!C39</f>
        <v>8297.260666666667</v>
      </c>
      <c r="E39" s="285">
        <f>SUM('- 21 -'!B39,'- 21 -'!E39,'- 21 -'!H39,'- 22 -'!B39,'- 22 -'!E39,'- 22 -'!H39)</f>
        <v>2812106</v>
      </c>
      <c r="F39" s="291">
        <f>E39/'- 3 -'!D39*100</f>
        <v>13.106393101375389</v>
      </c>
      <c r="G39" s="285">
        <f>E39/'- 7 -'!E39</f>
        <v>1874.7373333333333</v>
      </c>
      <c r="H39" s="285">
        <f>SUM('- 23 -'!D39,'- 23 -'!B39)</f>
        <v>0</v>
      </c>
      <c r="I39" s="291">
        <f>H39/'- 3 -'!D39*100</f>
        <v>0</v>
      </c>
    </row>
    <row r="40" spans="1:9" ht="14.1" customHeight="1" x14ac:dyDescent="0.2">
      <c r="A40" s="19" t="s">
        <v>138</v>
      </c>
      <c r="B40" s="20">
        <f>SUM('- 18 -'!B40,'- 18 -'!E40,'- 19 -'!B40,'- 19 -'!E40,'- 19 -'!H40,'- 20 -'!B40)</f>
        <v>59127682</v>
      </c>
      <c r="C40" s="70">
        <f>B40/'- 3 -'!D40*100</f>
        <v>56.666152501561783</v>
      </c>
      <c r="D40" s="20">
        <f>B40/'- 7 -'!C40</f>
        <v>7157.9683792552423</v>
      </c>
      <c r="E40" s="20">
        <f>SUM('- 21 -'!B40,'- 21 -'!E40,'- 21 -'!H40,'- 22 -'!B40,'- 22 -'!E40,'- 22 -'!H40)</f>
        <v>22188693</v>
      </c>
      <c r="F40" s="70">
        <f>E40/'- 3 -'!D40*100</f>
        <v>21.264961162325566</v>
      </c>
      <c r="G40" s="20">
        <f>E40/'- 7 -'!E40</f>
        <v>2686.1523655028814</v>
      </c>
      <c r="H40" s="20">
        <f>SUM('- 23 -'!D40,'- 23 -'!B40)</f>
        <v>0</v>
      </c>
      <c r="I40" s="70">
        <f>H40/'- 3 -'!D40*100</f>
        <v>0</v>
      </c>
    </row>
    <row r="41" spans="1:9" ht="14.1" customHeight="1" x14ac:dyDescent="0.2">
      <c r="A41" s="284" t="s">
        <v>139</v>
      </c>
      <c r="B41" s="285">
        <f>SUM('- 18 -'!B41,'- 18 -'!E41,'- 19 -'!B41,'- 19 -'!E41,'- 19 -'!H41,'- 20 -'!B41)</f>
        <v>33269442</v>
      </c>
      <c r="C41" s="291">
        <f>B41/'- 3 -'!D41*100</f>
        <v>53.11180872991428</v>
      </c>
      <c r="D41" s="285">
        <f>B41/'- 7 -'!C41</f>
        <v>7462.0257934282827</v>
      </c>
      <c r="E41" s="285">
        <f>SUM('- 21 -'!B41,'- 21 -'!E41,'- 21 -'!H41,'- 22 -'!B41,'- 22 -'!E41,'- 22 -'!H41)</f>
        <v>11781094</v>
      </c>
      <c r="F41" s="291">
        <f>E41/'- 3 -'!D41*100</f>
        <v>18.807505432677253</v>
      </c>
      <c r="G41" s="285">
        <f>E41/'- 7 -'!E41</f>
        <v>2642.3895929124146</v>
      </c>
      <c r="H41" s="285">
        <f>SUM('- 23 -'!D41,'- 23 -'!B41)</f>
        <v>966027</v>
      </c>
      <c r="I41" s="291">
        <f>H41/'- 3 -'!D41*100</f>
        <v>1.5421791941064986</v>
      </c>
    </row>
    <row r="42" spans="1:9" ht="14.1" customHeight="1" x14ac:dyDescent="0.2">
      <c r="A42" s="19" t="s">
        <v>140</v>
      </c>
      <c r="B42" s="20">
        <f>SUM('- 18 -'!B42,'- 18 -'!E42,'- 19 -'!B42,'- 19 -'!E42,'- 19 -'!H42,'- 20 -'!B42)</f>
        <v>11395736</v>
      </c>
      <c r="C42" s="70">
        <f>B42/'- 3 -'!D42*100</f>
        <v>56.244181607963441</v>
      </c>
      <c r="D42" s="20">
        <f>B42/'- 7 -'!C42</f>
        <v>8266.1656753227926</v>
      </c>
      <c r="E42" s="20">
        <f>SUM('- 21 -'!B42,'- 21 -'!E42,'- 21 -'!H42,'- 22 -'!B42,'- 22 -'!E42,'- 22 -'!H42)</f>
        <v>2957615</v>
      </c>
      <c r="F42" s="70">
        <f>E42/'- 3 -'!D42*100</f>
        <v>14.597445499477772</v>
      </c>
      <c r="G42" s="20">
        <f>E42/'- 7 -'!E42</f>
        <v>2145.3757435079069</v>
      </c>
      <c r="H42" s="20">
        <f>SUM('- 23 -'!D42,'- 23 -'!B42)</f>
        <v>0</v>
      </c>
      <c r="I42" s="70">
        <f>H42/'- 3 -'!D42*100</f>
        <v>0</v>
      </c>
    </row>
    <row r="43" spans="1:9" ht="14.1" customHeight="1" x14ac:dyDescent="0.2">
      <c r="A43" s="284" t="s">
        <v>141</v>
      </c>
      <c r="B43" s="285">
        <f>SUM('- 18 -'!B43,'- 18 -'!E43,'- 19 -'!B43,'- 19 -'!E43,'- 19 -'!H43,'- 20 -'!B43)</f>
        <v>7123427</v>
      </c>
      <c r="C43" s="291">
        <f>B43/'- 3 -'!D43*100</f>
        <v>53.771233759577356</v>
      </c>
      <c r="D43" s="285">
        <f>B43/'- 7 -'!C43</f>
        <v>7399.4255739067203</v>
      </c>
      <c r="E43" s="285">
        <f>SUM('- 21 -'!B43,'- 21 -'!E43,'- 21 -'!H43,'- 22 -'!B43,'- 22 -'!E43,'- 22 -'!H43)</f>
        <v>2340864</v>
      </c>
      <c r="F43" s="291">
        <f>E43/'- 3 -'!D43*100</f>
        <v>17.670026708125075</v>
      </c>
      <c r="G43" s="285">
        <f>E43/'- 7 -'!E43</f>
        <v>2431.5612340292923</v>
      </c>
      <c r="H43" s="285">
        <f>SUM('- 23 -'!D43,'- 23 -'!B43)</f>
        <v>219234</v>
      </c>
      <c r="I43" s="291">
        <f>H43/'- 3 -'!D43*100</f>
        <v>1.6548892354827502</v>
      </c>
    </row>
    <row r="44" spans="1:9" ht="14.1" customHeight="1" x14ac:dyDescent="0.2">
      <c r="A44" s="19" t="s">
        <v>142</v>
      </c>
      <c r="B44" s="20">
        <f>SUM('- 18 -'!B44,'- 18 -'!E44,'- 19 -'!B44,'- 19 -'!E44,'- 19 -'!H44,'- 20 -'!B44)</f>
        <v>6177099</v>
      </c>
      <c r="C44" s="70">
        <f>B44/'- 3 -'!D44*100</f>
        <v>57.15073591148689</v>
      </c>
      <c r="D44" s="20">
        <f>B44/'- 7 -'!C44</f>
        <v>8907.1362653208362</v>
      </c>
      <c r="E44" s="20">
        <f>SUM('- 21 -'!B44,'- 21 -'!E44,'- 21 -'!H44,'- 22 -'!B44,'- 22 -'!E44,'- 22 -'!H44)</f>
        <v>1574064</v>
      </c>
      <c r="F44" s="70">
        <f>E44/'- 3 -'!D44*100</f>
        <v>14.563295160362284</v>
      </c>
      <c r="G44" s="20">
        <f>E44/'- 7 -'!E44</f>
        <v>2269.7390050468639</v>
      </c>
      <c r="H44" s="20">
        <f>SUM('- 23 -'!D44,'- 23 -'!B44)</f>
        <v>0</v>
      </c>
      <c r="I44" s="70">
        <f>H44/'- 3 -'!D44*100</f>
        <v>0</v>
      </c>
    </row>
    <row r="45" spans="1:9" ht="14.1" customHeight="1" x14ac:dyDescent="0.2">
      <c r="A45" s="284" t="s">
        <v>143</v>
      </c>
      <c r="B45" s="285">
        <f>SUM('- 18 -'!B45,'- 18 -'!E45,'- 19 -'!B45,'- 19 -'!E45,'- 19 -'!H45,'- 20 -'!B45)</f>
        <v>11699681</v>
      </c>
      <c r="C45" s="291">
        <f>B45/'- 3 -'!D45*100</f>
        <v>60.741579378118026</v>
      </c>
      <c r="D45" s="285">
        <f>B45/'- 7 -'!C45</f>
        <v>6943.4308605341248</v>
      </c>
      <c r="E45" s="285">
        <f>SUM('- 21 -'!B45,'- 21 -'!E45,'- 21 -'!H45,'- 22 -'!B45,'- 22 -'!E45,'- 22 -'!H45)</f>
        <v>2744509</v>
      </c>
      <c r="F45" s="291">
        <f>E45/'- 3 -'!D45*100</f>
        <v>14.248748429761401</v>
      </c>
      <c r="G45" s="285">
        <f>E45/'- 7 -'!E45</f>
        <v>1628.7887240356083</v>
      </c>
      <c r="H45" s="285">
        <f>SUM('- 23 -'!D45,'- 23 -'!B45)</f>
        <v>393082</v>
      </c>
      <c r="I45" s="291">
        <f>H45/'- 3 -'!D45*100</f>
        <v>2.0407754284163295</v>
      </c>
    </row>
    <row r="46" spans="1:9" ht="14.1" customHeight="1" x14ac:dyDescent="0.2">
      <c r="A46" s="19" t="s">
        <v>144</v>
      </c>
      <c r="B46" s="20">
        <f>SUM('- 18 -'!B46,'- 18 -'!E46,'- 19 -'!B46,'- 19 -'!E46,'- 19 -'!H46,'- 20 -'!B46)</f>
        <v>206967808</v>
      </c>
      <c r="C46" s="70">
        <f>B46/'- 3 -'!D46*100</f>
        <v>52.896908117033583</v>
      </c>
      <c r="D46" s="20">
        <f>B46/'- 7 -'!C46</f>
        <v>6926.865290003012</v>
      </c>
      <c r="E46" s="20">
        <f>SUM('- 21 -'!B46,'- 21 -'!E46,'- 21 -'!H46,'- 22 -'!B46,'- 22 -'!E46,'- 22 -'!H46)</f>
        <v>92756581</v>
      </c>
      <c r="F46" s="70">
        <f>E46/'- 3 -'!D46*100</f>
        <v>23.706760920071122</v>
      </c>
      <c r="G46" s="20">
        <f>E46/'- 7 -'!E46</f>
        <v>3104.4071421399644</v>
      </c>
      <c r="H46" s="20">
        <f>SUM('- 23 -'!D46,'- 23 -'!B46)</f>
        <v>801004</v>
      </c>
      <c r="I46" s="70">
        <f>H46/'- 3 -'!D46*100</f>
        <v>0.20472089548040423</v>
      </c>
    </row>
    <row r="47" spans="1:9" ht="5.0999999999999996" customHeight="1" x14ac:dyDescent="0.2">
      <c r="A47" s="21"/>
      <c r="B47" s="22"/>
      <c r="C47" s="71"/>
      <c r="D47" s="22"/>
      <c r="E47" s="22"/>
      <c r="F47" s="71"/>
      <c r="G47" s="22"/>
      <c r="H47" s="22"/>
      <c r="I47" s="71"/>
    </row>
    <row r="48" spans="1:9" ht="14.1" customHeight="1" x14ac:dyDescent="0.2">
      <c r="A48" s="286" t="s">
        <v>145</v>
      </c>
      <c r="B48" s="287">
        <f>SUM(B11:B46)</f>
        <v>1277008013.51</v>
      </c>
      <c r="C48" s="294">
        <f>B48/'- 3 -'!D48*100</f>
        <v>55.691288465188585</v>
      </c>
      <c r="D48" s="287">
        <f>B48/'- 7 -'!C48</f>
        <v>7254.1865414251943</v>
      </c>
      <c r="E48" s="287">
        <f>SUM(E11:E46)</f>
        <v>424076517</v>
      </c>
      <c r="F48" s="294">
        <f>E48/'- 3 -'!D48*100</f>
        <v>18.494298696407128</v>
      </c>
      <c r="G48" s="287">
        <f>E48/'- 7 -'!E48</f>
        <v>2409.0139839453582</v>
      </c>
      <c r="H48" s="287">
        <f>SUM(H11:H46)</f>
        <v>11079825</v>
      </c>
      <c r="I48" s="294">
        <f>H48/'- 3 -'!D48*100</f>
        <v>0.4831995756414853</v>
      </c>
    </row>
    <row r="49" spans="1:9" ht="5.0999999999999996" customHeight="1" x14ac:dyDescent="0.2">
      <c r="A49" s="21" t="s">
        <v>7</v>
      </c>
      <c r="B49" s="22"/>
      <c r="C49" s="71"/>
      <c r="D49" s="22"/>
      <c r="E49" s="22"/>
      <c r="F49" s="71"/>
      <c r="H49" s="22"/>
      <c r="I49" s="71"/>
    </row>
    <row r="50" spans="1:9" ht="14.1" customHeight="1" x14ac:dyDescent="0.2">
      <c r="A50" s="284" t="s">
        <v>146</v>
      </c>
      <c r="B50" s="285">
        <f>SUM('- 18 -'!B50,'- 18 -'!E50,'- 19 -'!B50,'- 19 -'!E50,'- 19 -'!H50,'- 20 -'!B50)</f>
        <v>1793419</v>
      </c>
      <c r="C50" s="291">
        <f>B50/'- 3 -'!D50*100</f>
        <v>55.929304162500756</v>
      </c>
      <c r="D50" s="285">
        <f>B50/'- 7 -'!C50</f>
        <v>11570.445161290323</v>
      </c>
      <c r="E50" s="285">
        <f>SUM('- 21 -'!B50,'- 21 -'!E50,'- 21 -'!H50,'- 22 -'!B50,'- 22 -'!E50,'- 22 -'!H50)</f>
        <v>526000</v>
      </c>
      <c r="F50" s="291">
        <f>E50/'- 3 -'!D50*100</f>
        <v>16.403759517143175</v>
      </c>
      <c r="G50" s="285">
        <f>E50/'- 7 -'!E50</f>
        <v>3393.5483870967741</v>
      </c>
      <c r="H50" s="285">
        <f>SUM('- 23 -'!D50,'- 23 -'!B50)</f>
        <v>0</v>
      </c>
      <c r="I50" s="291">
        <f>H50/'- 3 -'!D50*100</f>
        <v>0</v>
      </c>
    </row>
    <row r="51" spans="1:9" ht="14.1" customHeight="1" x14ac:dyDescent="0.2">
      <c r="A51" s="19" t="s">
        <v>609</v>
      </c>
      <c r="B51" s="20">
        <f>SUM('- 18 -'!B51,'- 18 -'!E51,'- 19 -'!B51,'- 19 -'!E51,'- 19 -'!H51,'- 20 -'!B51)</f>
        <v>5933086</v>
      </c>
      <c r="C51" s="70">
        <f>B51/'- 3 -'!D51*100</f>
        <v>20.446895172083476</v>
      </c>
      <c r="D51" s="20">
        <f>B51/'- 7 -'!C51</f>
        <v>5017.4088794926001</v>
      </c>
      <c r="E51" s="20">
        <f>SUM('- 21 -'!B51,'- 21 -'!E51,'- 21 -'!H51,'- 22 -'!B51,'- 22 -'!E51,'- 22 -'!H51)</f>
        <v>604681</v>
      </c>
      <c r="F51" s="70">
        <f>E51/'- 3 -'!D51*100</f>
        <v>2.0838816460018625</v>
      </c>
      <c r="G51" s="20">
        <f>E51/'- 7 -'!E51</f>
        <v>511.35813953488372</v>
      </c>
      <c r="H51" s="20">
        <f>SUM('- 23 -'!D51,'- 23 -'!B51)</f>
        <v>2597225</v>
      </c>
      <c r="I51" s="70">
        <f>H51/'- 3 -'!D51*100</f>
        <v>8.9506855813845441</v>
      </c>
    </row>
    <row r="52" spans="1:9" ht="50.1" customHeight="1" x14ac:dyDescent="0.2"/>
  </sheetData>
  <mergeCells count="5">
    <mergeCell ref="D8:D9"/>
    <mergeCell ref="G8:G9"/>
    <mergeCell ref="B7:D7"/>
    <mergeCell ref="E6:G7"/>
    <mergeCell ref="H6:I7"/>
  </mergeCells>
  <phoneticPr fontId="6" type="noConversion"/>
  <pageMargins left="0.5" right="0.5" top="0.6" bottom="0.2" header="0.3" footer="0.5"/>
  <pageSetup scale="89" firstPageNumber="14" orientation="portrait" r:id="rId1"/>
  <headerFooter alignWithMargins="0">
    <oddHeader>&amp;C&amp;"Arial,Regular"&amp;11&amp;A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52"/>
  <sheetViews>
    <sheetView showGridLines="0" showZeros="0" workbookViewId="0"/>
  </sheetViews>
  <sheetFormatPr defaultColWidth="15.83203125" defaultRowHeight="12" x14ac:dyDescent="0.2"/>
  <cols>
    <col min="1" max="1" width="32.83203125" style="2" customWidth="1"/>
    <col min="2" max="2" width="18.83203125" style="2" customWidth="1"/>
    <col min="3" max="3" width="9.83203125" style="2" customWidth="1"/>
    <col min="4" max="4" width="16.83203125" style="2" customWidth="1"/>
    <col min="5" max="5" width="8.83203125" style="2" customWidth="1"/>
    <col min="6" max="6" width="9.83203125" style="2" customWidth="1"/>
    <col min="7" max="7" width="16.83203125" style="2" customWidth="1"/>
    <col min="8" max="8" width="8.83203125" style="2" customWidth="1"/>
    <col min="9" max="9" width="9.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261</v>
      </c>
      <c r="C2" s="10"/>
      <c r="D2" s="10"/>
      <c r="E2" s="10"/>
      <c r="F2" s="10"/>
      <c r="G2" s="73"/>
      <c r="H2" s="81"/>
      <c r="I2" s="135" t="s">
        <v>8</v>
      </c>
    </row>
    <row r="3" spans="1:9" ht="15.95" customHeight="1" x14ac:dyDescent="0.2">
      <c r="A3" s="541"/>
      <c r="B3" s="11" t="str">
        <f>OPYEAR</f>
        <v>OPERATING FUND 2016/2017 ACTUAL</v>
      </c>
      <c r="C3" s="12"/>
      <c r="D3" s="12"/>
      <c r="E3" s="12"/>
      <c r="F3" s="12"/>
      <c r="G3" s="75"/>
      <c r="H3" s="66"/>
      <c r="I3" s="66"/>
    </row>
    <row r="4" spans="1:9" ht="15.95" customHeight="1" x14ac:dyDescent="0.2">
      <c r="B4" s="8"/>
      <c r="C4" s="8"/>
      <c r="D4" s="8"/>
      <c r="E4" s="8"/>
      <c r="F4" s="8"/>
      <c r="G4" s="8"/>
      <c r="H4" s="8"/>
      <c r="I4" s="8"/>
    </row>
    <row r="5" spans="1:9" ht="15.95" customHeight="1" x14ac:dyDescent="0.2">
      <c r="B5" s="8"/>
      <c r="C5" s="8"/>
      <c r="D5" s="8"/>
      <c r="E5" s="8"/>
      <c r="F5" s="8"/>
      <c r="G5" s="8"/>
      <c r="H5" s="8"/>
      <c r="I5" s="8"/>
    </row>
    <row r="6" spans="1:9" ht="15.95" customHeight="1" x14ac:dyDescent="0.2">
      <c r="B6" s="643" t="s">
        <v>472</v>
      </c>
      <c r="C6" s="644"/>
      <c r="D6" s="643" t="s">
        <v>473</v>
      </c>
      <c r="E6" s="651"/>
      <c r="F6" s="644"/>
      <c r="G6" s="643" t="s">
        <v>474</v>
      </c>
      <c r="H6" s="651"/>
      <c r="I6" s="644"/>
    </row>
    <row r="7" spans="1:9" ht="15.95" customHeight="1" x14ac:dyDescent="0.2">
      <c r="B7" s="645"/>
      <c r="C7" s="646"/>
      <c r="D7" s="645"/>
      <c r="E7" s="652"/>
      <c r="F7" s="646"/>
      <c r="G7" s="645"/>
      <c r="H7" s="652"/>
      <c r="I7" s="646"/>
    </row>
    <row r="8" spans="1:9" ht="15.95" customHeight="1" x14ac:dyDescent="0.2">
      <c r="A8" s="67"/>
      <c r="B8" s="14" t="s">
        <v>7</v>
      </c>
      <c r="C8" s="138"/>
      <c r="D8" s="137"/>
      <c r="E8" s="139"/>
      <c r="F8" s="617" t="s">
        <v>327</v>
      </c>
      <c r="G8" s="137"/>
      <c r="H8" s="139"/>
      <c r="I8" s="617" t="s">
        <v>327</v>
      </c>
    </row>
    <row r="9" spans="1:9" ht="15.95" customHeight="1" x14ac:dyDescent="0.2">
      <c r="A9" s="35" t="s">
        <v>42</v>
      </c>
      <c r="B9" s="77" t="s">
        <v>43</v>
      </c>
      <c r="C9" s="77" t="s">
        <v>44</v>
      </c>
      <c r="D9" s="77" t="s">
        <v>43</v>
      </c>
      <c r="E9" s="77" t="s">
        <v>44</v>
      </c>
      <c r="F9" s="598"/>
      <c r="G9" s="77" t="s">
        <v>43</v>
      </c>
      <c r="H9" s="77" t="s">
        <v>44</v>
      </c>
      <c r="I9" s="598"/>
    </row>
    <row r="10" spans="1:9" ht="5.0999999999999996" customHeight="1" x14ac:dyDescent="0.2">
      <c r="A10" s="6"/>
    </row>
    <row r="11" spans="1:9" ht="14.1" customHeight="1" x14ac:dyDescent="0.2">
      <c r="A11" s="284" t="s">
        <v>110</v>
      </c>
      <c r="B11" s="285">
        <f>SUM('- 24 -'!H11,'- 24 -'!F11,'- 24 -'!D11,'- 24 -'!B11)</f>
        <v>22118</v>
      </c>
      <c r="C11" s="291">
        <f>B11/'- 3 -'!D11*100</f>
        <v>0.11569311332009159</v>
      </c>
      <c r="D11" s="285">
        <f>SUM('- 25 -'!B11,'- 25 -'!E11,'- 25 -'!H11,'- 26 -'!B11)</f>
        <v>608068</v>
      </c>
      <c r="E11" s="291">
        <f>D11/'- 3 -'!D11*100</f>
        <v>3.1806347784755156</v>
      </c>
      <c r="F11" s="285">
        <f>D11/'- 7 -'!E11</f>
        <v>344.31936579841448</v>
      </c>
      <c r="G11" s="285">
        <f>SUM('- 27 -'!B11,'- 27 -'!E11,'- 27 -'!H11,'- 28 -'!B11,'- 28 -'!E11)</f>
        <v>522318</v>
      </c>
      <c r="H11" s="291">
        <f>G11/'- 3 -'!D11*100</f>
        <v>2.7321003509866895</v>
      </c>
      <c r="I11" s="285">
        <f>G11/'- 7 -'!E11</f>
        <v>295.76330690826728</v>
      </c>
    </row>
    <row r="12" spans="1:9" ht="14.1" customHeight="1" x14ac:dyDescent="0.2">
      <c r="A12" s="19" t="s">
        <v>111</v>
      </c>
      <c r="B12" s="20">
        <f>SUM('- 24 -'!H12,'- 24 -'!F12,'- 24 -'!D12,'- 24 -'!B12)</f>
        <v>56571</v>
      </c>
      <c r="C12" s="70">
        <f>B12/'- 3 -'!D12*100</f>
        <v>0.16927928784382246</v>
      </c>
      <c r="D12" s="20">
        <f>SUM('- 25 -'!B12,'- 25 -'!E12,'- 25 -'!H12,'- 26 -'!B12)</f>
        <v>1208956</v>
      </c>
      <c r="E12" s="70">
        <f>D12/'- 3 -'!D12*100</f>
        <v>3.6175993126251296</v>
      </c>
      <c r="F12" s="20">
        <f>D12/'- 7 -'!E12</f>
        <v>570.38333608548976</v>
      </c>
      <c r="G12" s="20">
        <f>SUM('- 27 -'!B12,'- 27 -'!E12,'- 27 -'!H12,'- 28 -'!B12,'- 28 -'!E12)</f>
        <v>788283</v>
      </c>
      <c r="H12" s="70">
        <f>G12/'- 3 -'!D12*100</f>
        <v>2.3588054808893584</v>
      </c>
      <c r="I12" s="20">
        <f>G12/'- 7 -'!E12</f>
        <v>371.91054705008133</v>
      </c>
    </row>
    <row r="13" spans="1:9" ht="14.1" customHeight="1" x14ac:dyDescent="0.2">
      <c r="A13" s="284" t="s">
        <v>112</v>
      </c>
      <c r="B13" s="285">
        <f>SUM('- 24 -'!H13,'- 24 -'!F13,'- 24 -'!D13,'- 24 -'!B13)</f>
        <v>290940</v>
      </c>
      <c r="C13" s="291">
        <f>B13/'- 3 -'!D13*100</f>
        <v>0.30334054953121403</v>
      </c>
      <c r="D13" s="285">
        <f>SUM('- 25 -'!B13,'- 25 -'!E13,'- 25 -'!H13,'- 26 -'!B13)</f>
        <v>3167648</v>
      </c>
      <c r="E13" s="291">
        <f>D13/'- 3 -'!D13*100</f>
        <v>3.302660634637558</v>
      </c>
      <c r="F13" s="285">
        <f>D13/'- 7 -'!E13</f>
        <v>378.29438108317908</v>
      </c>
      <c r="G13" s="285">
        <f>SUM('- 27 -'!B13,'- 27 -'!E13,'- 27 -'!H13,'- 28 -'!B13,'- 28 -'!E13)</f>
        <v>2895279</v>
      </c>
      <c r="H13" s="291">
        <f>G13/'- 3 -'!D13*100</f>
        <v>3.0186826249611052</v>
      </c>
      <c r="I13" s="285">
        <f>G13/'- 7 -'!E13</f>
        <v>345.76688362094706</v>
      </c>
    </row>
    <row r="14" spans="1:9" ht="14.1" customHeight="1" x14ac:dyDescent="0.2">
      <c r="A14" s="19" t="s">
        <v>359</v>
      </c>
      <c r="B14" s="20">
        <f>SUM('- 24 -'!H14,'- 24 -'!F14,'- 24 -'!D14,'- 24 -'!B14)</f>
        <v>1340304</v>
      </c>
      <c r="C14" s="70">
        <f>B14/'- 3 -'!D14*100</f>
        <v>1.6160338437447397</v>
      </c>
      <c r="D14" s="20">
        <f>SUM('- 25 -'!B14,'- 25 -'!E14,'- 25 -'!H14,'- 26 -'!B14)</f>
        <v>3050800</v>
      </c>
      <c r="E14" s="70">
        <f>D14/'- 3 -'!D14*100</f>
        <v>3.6784162775731861</v>
      </c>
      <c r="F14" s="20">
        <f>D14/'- 7 -'!E14</f>
        <v>556.39651732401501</v>
      </c>
      <c r="G14" s="20">
        <f>SUM('- 27 -'!B14,'- 27 -'!E14,'- 27 -'!H14,'- 28 -'!B14,'- 28 -'!E14)</f>
        <v>3042229</v>
      </c>
      <c r="H14" s="70">
        <f>G14/'- 3 -'!D14*100</f>
        <v>3.6680820354350323</v>
      </c>
      <c r="I14" s="20">
        <f>G14/'- 7 -'!E14</f>
        <v>554.83336190576927</v>
      </c>
    </row>
    <row r="15" spans="1:9" ht="14.1" customHeight="1" x14ac:dyDescent="0.2">
      <c r="A15" s="284" t="s">
        <v>113</v>
      </c>
      <c r="B15" s="285">
        <f>SUM('- 24 -'!H15,'- 24 -'!F15,'- 24 -'!D15,'- 24 -'!B15)</f>
        <v>56316</v>
      </c>
      <c r="C15" s="291">
        <f>B15/'- 3 -'!D15*100</f>
        <v>0.28855824738013081</v>
      </c>
      <c r="D15" s="285">
        <f>SUM('- 25 -'!B15,'- 25 -'!E15,'- 25 -'!H15,'- 26 -'!B15)</f>
        <v>802454</v>
      </c>
      <c r="E15" s="291">
        <f>D15/'- 3 -'!D15*100</f>
        <v>4.1117039534621691</v>
      </c>
      <c r="F15" s="285">
        <f>D15/'- 7 -'!E15</f>
        <v>573.50914808461971</v>
      </c>
      <c r="G15" s="285">
        <f>SUM('- 27 -'!B15,'- 27 -'!E15,'- 27 -'!H15,'- 28 -'!B15,'- 28 -'!E15)</f>
        <v>583646</v>
      </c>
      <c r="H15" s="291">
        <f>G15/'- 3 -'!D15*100</f>
        <v>2.9905509420133503</v>
      </c>
      <c r="I15" s="285">
        <f>G15/'- 7 -'!E15</f>
        <v>417.12835906232129</v>
      </c>
    </row>
    <row r="16" spans="1:9" ht="14.1" customHeight="1" x14ac:dyDescent="0.2">
      <c r="A16" s="19" t="s">
        <v>114</v>
      </c>
      <c r="B16" s="20">
        <f>SUM('- 24 -'!H16,'- 24 -'!F16,'- 24 -'!D16,'- 24 -'!B16)</f>
        <v>10671</v>
      </c>
      <c r="C16" s="70">
        <f>B16/'- 3 -'!D16*100</f>
        <v>7.3610384120520428E-2</v>
      </c>
      <c r="D16" s="20">
        <f>SUM('- 25 -'!B16,'- 25 -'!E16,'- 25 -'!H16,'- 26 -'!B16)</f>
        <v>726774</v>
      </c>
      <c r="E16" s="70">
        <f>D16/'- 3 -'!D16*100</f>
        <v>5.0134114243095409</v>
      </c>
      <c r="F16" s="20">
        <f>D16/'- 7 -'!E16</f>
        <v>804.13144500995804</v>
      </c>
      <c r="G16" s="20">
        <f>SUM('- 27 -'!B16,'- 27 -'!E16,'- 27 -'!H16,'- 28 -'!B16,'- 28 -'!E16)</f>
        <v>306115</v>
      </c>
      <c r="H16" s="70">
        <f>G16/'- 3 -'!D16*100</f>
        <v>2.1116336552387884</v>
      </c>
      <c r="I16" s="20">
        <f>G16/'- 7 -'!E16</f>
        <v>338.69772073467584</v>
      </c>
    </row>
    <row r="17" spans="1:9" ht="14.1" customHeight="1" x14ac:dyDescent="0.2">
      <c r="A17" s="284" t="s">
        <v>115</v>
      </c>
      <c r="B17" s="285">
        <f>SUM('- 24 -'!H17,'- 24 -'!F17,'- 24 -'!D17,'- 24 -'!B17)</f>
        <v>387355</v>
      </c>
      <c r="C17" s="291">
        <f>B17/'- 3 -'!D17*100</f>
        <v>2.1584530975617122</v>
      </c>
      <c r="D17" s="285">
        <f>SUM('- 25 -'!B17,'- 25 -'!E17,'- 25 -'!H17,'- 26 -'!B17)</f>
        <v>750690</v>
      </c>
      <c r="E17" s="291">
        <f>D17/'- 3 -'!D17*100</f>
        <v>4.1830598696508421</v>
      </c>
      <c r="F17" s="285">
        <f>D17/'- 7 -'!E17</f>
        <v>537.1663685152057</v>
      </c>
      <c r="G17" s="285">
        <f>SUM('- 27 -'!B17,'- 27 -'!E17,'- 27 -'!H17,'- 28 -'!B17,'- 28 -'!E17)</f>
        <v>428749</v>
      </c>
      <c r="H17" s="291">
        <f>G17/'- 3 -'!D17*100</f>
        <v>2.389112331392357</v>
      </c>
      <c r="I17" s="285">
        <f>G17/'- 7 -'!E17</f>
        <v>306.79713774597496</v>
      </c>
    </row>
    <row r="18" spans="1:9" ht="14.1" customHeight="1" x14ac:dyDescent="0.2">
      <c r="A18" s="19" t="s">
        <v>116</v>
      </c>
      <c r="B18" s="20">
        <f>SUM('- 24 -'!H18,'- 24 -'!F18,'- 24 -'!D18,'- 24 -'!B18)</f>
        <v>2504082</v>
      </c>
      <c r="C18" s="70">
        <f>B18/'- 3 -'!D18*100</f>
        <v>1.9463697552998986</v>
      </c>
      <c r="D18" s="20">
        <f>SUM('- 25 -'!B18,'- 25 -'!E18,'- 25 -'!H18,'- 26 -'!B18)</f>
        <v>6599839</v>
      </c>
      <c r="E18" s="70">
        <f>D18/'- 3 -'!D18*100</f>
        <v>5.1299146830849498</v>
      </c>
      <c r="F18" s="20">
        <f>D18/'- 7 -'!E18</f>
        <v>1082.8461500598862</v>
      </c>
      <c r="G18" s="20">
        <f>SUM('- 27 -'!B18,'- 27 -'!E18,'- 27 -'!H18,'- 28 -'!B18,'- 28 -'!E18)</f>
        <v>7052719</v>
      </c>
      <c r="H18" s="70">
        <f>G18/'- 3 -'!D18*100</f>
        <v>5.4819286885289484</v>
      </c>
      <c r="I18" s="20">
        <f>G18/'- 7 -'!E18</f>
        <v>1157.1508966512988</v>
      </c>
    </row>
    <row r="19" spans="1:9" ht="14.1" customHeight="1" x14ac:dyDescent="0.2">
      <c r="A19" s="284" t="s">
        <v>117</v>
      </c>
      <c r="B19" s="285">
        <f>SUM('- 24 -'!H19,'- 24 -'!F19,'- 24 -'!D19,'- 24 -'!B19)</f>
        <v>64999</v>
      </c>
      <c r="C19" s="291">
        <f>B19/'- 3 -'!D19*100</f>
        <v>0.14083775678688629</v>
      </c>
      <c r="D19" s="285">
        <f>SUM('- 25 -'!B19,'- 25 -'!E19,'- 25 -'!H19,'- 26 -'!B19)</f>
        <v>1343484</v>
      </c>
      <c r="E19" s="291">
        <f>D19/'- 3 -'!D19*100</f>
        <v>2.9110182131890201</v>
      </c>
      <c r="F19" s="285">
        <f>D19/'- 7 -'!E19</f>
        <v>306.66149280986076</v>
      </c>
      <c r="G19" s="285">
        <f>SUM('- 27 -'!B19,'- 27 -'!E19,'- 27 -'!H19,'- 28 -'!B19,'- 28 -'!E19)</f>
        <v>1478691</v>
      </c>
      <c r="H19" s="291">
        <f>G19/'- 3 -'!D19*100</f>
        <v>3.2039804215596801</v>
      </c>
      <c r="I19" s="285">
        <f>G19/'- 7 -'!E19</f>
        <v>337.52362474320933</v>
      </c>
    </row>
    <row r="20" spans="1:9" ht="14.1" customHeight="1" x14ac:dyDescent="0.2">
      <c r="A20" s="19" t="s">
        <v>118</v>
      </c>
      <c r="B20" s="20">
        <f>SUM('- 24 -'!H20,'- 24 -'!F20,'- 24 -'!D20,'- 24 -'!B20)</f>
        <v>168851</v>
      </c>
      <c r="C20" s="70">
        <f>B20/'- 3 -'!D20*100</f>
        <v>0.2052912799747354</v>
      </c>
      <c r="D20" s="20">
        <f>SUM('- 25 -'!B20,'- 25 -'!E20,'- 25 -'!H20,'- 26 -'!B20)</f>
        <v>2216219</v>
      </c>
      <c r="E20" s="70">
        <f>D20/'- 3 -'!D20*100</f>
        <v>2.6945083844000219</v>
      </c>
      <c r="F20" s="20">
        <f>D20/'- 7 -'!E20</f>
        <v>290.25198087878988</v>
      </c>
      <c r="G20" s="20">
        <f>SUM('- 27 -'!B20,'- 27 -'!E20,'- 27 -'!H20,'- 28 -'!B20,'- 28 -'!E20)</f>
        <v>2599230</v>
      </c>
      <c r="H20" s="70">
        <f>G20/'- 3 -'!D20*100</f>
        <v>3.1601782260616251</v>
      </c>
      <c r="I20" s="20">
        <f>G20/'- 7 -'!E20</f>
        <v>340.4138563289896</v>
      </c>
    </row>
    <row r="21" spans="1:9" ht="14.1" customHeight="1" x14ac:dyDescent="0.2">
      <c r="A21" s="284" t="s">
        <v>119</v>
      </c>
      <c r="B21" s="285">
        <f>SUM('- 24 -'!H21,'- 24 -'!F21,'- 24 -'!D21,'- 24 -'!B21)</f>
        <v>226250</v>
      </c>
      <c r="C21" s="291">
        <f>B21/'- 3 -'!D21*100</f>
        <v>0.62903347734238091</v>
      </c>
      <c r="D21" s="285">
        <f>SUM('- 25 -'!B21,'- 25 -'!E21,'- 25 -'!H21,'- 26 -'!B21)</f>
        <v>1337604</v>
      </c>
      <c r="E21" s="291">
        <f>D21/'- 3 -'!D21*100</f>
        <v>3.7188848416666436</v>
      </c>
      <c r="F21" s="285">
        <f>D21/'- 7 -'!E21</f>
        <v>487.80277889209003</v>
      </c>
      <c r="G21" s="285">
        <f>SUM('- 27 -'!B21,'- 27 -'!E21,'- 27 -'!H21,'- 28 -'!B21,'- 28 -'!E21)</f>
        <v>1326175</v>
      </c>
      <c r="H21" s="291">
        <f>G21/'- 3 -'!D21*100</f>
        <v>3.6871092676885397</v>
      </c>
      <c r="I21" s="285">
        <f>G21/'- 7 -'!E21</f>
        <v>483.63480544108529</v>
      </c>
    </row>
    <row r="22" spans="1:9" ht="14.1" customHeight="1" x14ac:dyDescent="0.2">
      <c r="A22" s="19" t="s">
        <v>120</v>
      </c>
      <c r="B22" s="20">
        <f>SUM('- 24 -'!H22,'- 24 -'!F22,'- 24 -'!D22,'- 24 -'!B22)</f>
        <v>55868</v>
      </c>
      <c r="C22" s="70">
        <f>B22/'- 3 -'!D22*100</f>
        <v>0.27834787076683221</v>
      </c>
      <c r="D22" s="20">
        <f>SUM('- 25 -'!B22,'- 25 -'!E22,'- 25 -'!H22,'- 26 -'!B22)</f>
        <v>793501</v>
      </c>
      <c r="E22" s="70">
        <f>D22/'- 3 -'!D22*100</f>
        <v>3.9534136500564214</v>
      </c>
      <c r="F22" s="20">
        <f>D22/'- 7 -'!E22</f>
        <v>520.80664216329751</v>
      </c>
      <c r="G22" s="20">
        <f>SUM('- 27 -'!B22,'- 27 -'!E22,'- 27 -'!H22,'- 28 -'!B22,'- 28 -'!E22)</f>
        <v>463933</v>
      </c>
      <c r="H22" s="70">
        <f>G22/'- 3 -'!D22*100</f>
        <v>2.3114262677824295</v>
      </c>
      <c r="I22" s="20">
        <f>G22/'- 7 -'!E22</f>
        <v>304.49789971121032</v>
      </c>
    </row>
    <row r="23" spans="1:9" ht="14.1" customHeight="1" x14ac:dyDescent="0.2">
      <c r="A23" s="284" t="s">
        <v>121</v>
      </c>
      <c r="B23" s="285">
        <f>SUM('- 24 -'!H23,'- 24 -'!F23,'- 24 -'!D23,'- 24 -'!B23)</f>
        <v>353566</v>
      </c>
      <c r="C23" s="291">
        <f>B23/'- 3 -'!D23*100</f>
        <v>2.0440475640570774</v>
      </c>
      <c r="D23" s="285">
        <f>SUM('- 25 -'!B23,'- 25 -'!E23,'- 25 -'!H23,'- 26 -'!B23)</f>
        <v>698976</v>
      </c>
      <c r="E23" s="291">
        <f>D23/'- 3 -'!D23*100</f>
        <v>4.0409433886017316</v>
      </c>
      <c r="F23" s="285">
        <f>D23/'- 7 -'!E23</f>
        <v>627.16554508748322</v>
      </c>
      <c r="G23" s="285">
        <f>SUM('- 27 -'!B23,'- 27 -'!E23,'- 27 -'!H23,'- 28 -'!B23,'- 28 -'!E23)</f>
        <v>540031</v>
      </c>
      <c r="H23" s="291">
        <f>G23/'- 3 -'!D23*100</f>
        <v>3.1220452477481087</v>
      </c>
      <c r="I23" s="285">
        <f>G23/'- 7 -'!E23</f>
        <v>484.55002243158367</v>
      </c>
    </row>
    <row r="24" spans="1:9" ht="14.1" customHeight="1" x14ac:dyDescent="0.2">
      <c r="A24" s="19" t="s">
        <v>122</v>
      </c>
      <c r="B24" s="20">
        <f>SUM('- 24 -'!H24,'- 24 -'!F24,'- 24 -'!D24,'- 24 -'!B24)</f>
        <v>524643</v>
      </c>
      <c r="C24" s="70">
        <f>B24/'- 3 -'!D24*100</f>
        <v>0.91519025544257637</v>
      </c>
      <c r="D24" s="20">
        <f>SUM('- 25 -'!B24,'- 25 -'!E24,'- 25 -'!H24,'- 26 -'!B24)</f>
        <v>1985892</v>
      </c>
      <c r="E24" s="70">
        <f>D24/'- 3 -'!D24*100</f>
        <v>3.4642013841057042</v>
      </c>
      <c r="F24" s="20">
        <f>D24/'- 7 -'!E24</f>
        <v>502.97393815059644</v>
      </c>
      <c r="G24" s="20">
        <f>SUM('- 27 -'!B24,'- 27 -'!E24,'- 27 -'!H24,'- 28 -'!B24,'- 28 -'!E24)</f>
        <v>1574637</v>
      </c>
      <c r="H24" s="70">
        <f>G24/'- 3 -'!D24*100</f>
        <v>2.7468058055846205</v>
      </c>
      <c r="I24" s="20">
        <f>G24/'- 7 -'!E24</f>
        <v>398.81391991490005</v>
      </c>
    </row>
    <row r="25" spans="1:9" ht="14.1" customHeight="1" x14ac:dyDescent="0.2">
      <c r="A25" s="284" t="s">
        <v>123</v>
      </c>
      <c r="B25" s="285">
        <f>SUM('- 24 -'!H25,'- 24 -'!F25,'- 24 -'!D25,'- 24 -'!B25)</f>
        <v>1743488</v>
      </c>
      <c r="C25" s="291">
        <f>B25/'- 3 -'!D25*100</f>
        <v>0.98305519192318325</v>
      </c>
      <c r="D25" s="285">
        <f>SUM('- 25 -'!B25,'- 25 -'!E25,'- 25 -'!H25,'- 26 -'!B25)</f>
        <v>5936495</v>
      </c>
      <c r="E25" s="291">
        <f>D25/'- 3 -'!D25*100</f>
        <v>3.3472568962768992</v>
      </c>
      <c r="F25" s="285">
        <f>D25/'- 7 -'!E25</f>
        <v>414.0999169916085</v>
      </c>
      <c r="G25" s="285">
        <f>SUM('- 27 -'!B25,'- 27 -'!E25,'- 27 -'!H25,'- 28 -'!B25,'- 28 -'!E25)</f>
        <v>8359933</v>
      </c>
      <c r="H25" s="291">
        <f>G25/'- 3 -'!D25*100</f>
        <v>4.7136977941803746</v>
      </c>
      <c r="I25" s="285">
        <f>G25/'- 7 -'!E25</f>
        <v>583.14671558813893</v>
      </c>
    </row>
    <row r="26" spans="1:9" ht="14.1" customHeight="1" x14ac:dyDescent="0.2">
      <c r="A26" s="19" t="s">
        <v>124</v>
      </c>
      <c r="B26" s="20">
        <f>SUM('- 24 -'!H26,'- 24 -'!F26,'- 24 -'!D26,'- 24 -'!B26)</f>
        <v>104002</v>
      </c>
      <c r="C26" s="70">
        <f>B26/'- 3 -'!D26*100</f>
        <v>0.25374391334343555</v>
      </c>
      <c r="D26" s="20">
        <f>SUM('- 25 -'!B26,'- 25 -'!E26,'- 25 -'!H26,'- 26 -'!B26)</f>
        <v>1423221</v>
      </c>
      <c r="E26" s="70">
        <f>D26/'- 3 -'!D26*100</f>
        <v>3.4723723206530424</v>
      </c>
      <c r="F26" s="20">
        <f>D26/'- 7 -'!E26</f>
        <v>465.7136780104712</v>
      </c>
      <c r="G26" s="20">
        <f>SUM('- 27 -'!B26,'- 27 -'!E26,'- 27 -'!H26,'- 28 -'!B26,'- 28 -'!E26)</f>
        <v>1337715</v>
      </c>
      <c r="H26" s="70">
        <f>G26/'- 3 -'!D26*100</f>
        <v>3.2637549185420847</v>
      </c>
      <c r="I26" s="20">
        <f>G26/'- 7 -'!E26</f>
        <v>437.7339659685864</v>
      </c>
    </row>
    <row r="27" spans="1:9" ht="14.1" customHeight="1" x14ac:dyDescent="0.2">
      <c r="A27" s="284" t="s">
        <v>125</v>
      </c>
      <c r="B27" s="285">
        <f>SUM('- 24 -'!H27,'- 24 -'!F27,'- 24 -'!D27,'- 24 -'!B27)</f>
        <v>4590</v>
      </c>
      <c r="C27" s="291">
        <f>B27/'- 3 -'!D27*100</f>
        <v>1.1074441065841847E-2</v>
      </c>
      <c r="D27" s="285">
        <f>SUM('- 25 -'!B27,'- 25 -'!E27,'- 25 -'!H27,'- 26 -'!B27)</f>
        <v>1798905</v>
      </c>
      <c r="E27" s="291">
        <f>D27/'- 3 -'!D27*100</f>
        <v>4.3402761232131217</v>
      </c>
      <c r="F27" s="285">
        <f>D27/'- 7 -'!E27</f>
        <v>602.09354865701607</v>
      </c>
      <c r="G27" s="285">
        <f>SUM('- 27 -'!B27,'- 27 -'!E27,'- 27 -'!H27,'- 28 -'!B27,'- 28 -'!E27)</f>
        <v>1847314</v>
      </c>
      <c r="H27" s="291">
        <f>G27/'- 3 -'!D27*100</f>
        <v>4.4570740791077483</v>
      </c>
      <c r="I27" s="285">
        <f>G27/'- 7 -'!E27</f>
        <v>618.2960421722031</v>
      </c>
    </row>
    <row r="28" spans="1:9" ht="14.1" customHeight="1" x14ac:dyDescent="0.2">
      <c r="A28" s="19" t="s">
        <v>126</v>
      </c>
      <c r="B28" s="20">
        <f>SUM('- 24 -'!H28,'- 24 -'!F28,'- 24 -'!D28,'- 24 -'!B28)</f>
        <v>95023</v>
      </c>
      <c r="C28" s="70">
        <f>B28/'- 3 -'!D28*100</f>
        <v>0.33688368885281678</v>
      </c>
      <c r="D28" s="20">
        <f>SUM('- 25 -'!B28,'- 25 -'!E28,'- 25 -'!H28,'- 26 -'!B28)</f>
        <v>1271197</v>
      </c>
      <c r="E28" s="70">
        <f>D28/'- 3 -'!D28*100</f>
        <v>4.5067566233294478</v>
      </c>
      <c r="F28" s="20">
        <f>D28/'- 7 -'!E28</f>
        <v>647.57870606214976</v>
      </c>
      <c r="G28" s="20">
        <f>SUM('- 27 -'!B28,'- 27 -'!E28,'- 27 -'!H28,'- 28 -'!B28,'- 28 -'!E28)</f>
        <v>729293</v>
      </c>
      <c r="H28" s="70">
        <f>G28/'- 3 -'!D28*100</f>
        <v>2.5855520883842575</v>
      </c>
      <c r="I28" s="20">
        <f>G28/'- 7 -'!E28</f>
        <v>371.51961283749364</v>
      </c>
    </row>
    <row r="29" spans="1:9" ht="14.1" customHeight="1" x14ac:dyDescent="0.2">
      <c r="A29" s="284" t="s">
        <v>127</v>
      </c>
      <c r="B29" s="285">
        <f>SUM('- 24 -'!H29,'- 24 -'!F29,'- 24 -'!D29,'- 24 -'!B29)</f>
        <v>920498</v>
      </c>
      <c r="C29" s="291">
        <f>B29/'- 3 -'!D29*100</f>
        <v>0.57787645804416954</v>
      </c>
      <c r="D29" s="285">
        <f>SUM('- 25 -'!B29,'- 25 -'!E29,'- 25 -'!H29,'- 26 -'!B29)</f>
        <v>5094564</v>
      </c>
      <c r="E29" s="291">
        <f>D29/'- 3 -'!D29*100</f>
        <v>3.1982998329158088</v>
      </c>
      <c r="F29" s="285">
        <f>D29/'- 7 -'!E29</f>
        <v>389.42120711796002</v>
      </c>
      <c r="G29" s="285">
        <f>SUM('- 27 -'!B29,'- 27 -'!E29,'- 27 -'!H29,'- 28 -'!B29,'- 28 -'!E29)</f>
        <v>6620697</v>
      </c>
      <c r="H29" s="291">
        <f>G29/'- 3 -'!D29*100</f>
        <v>4.1563859260353189</v>
      </c>
      <c r="I29" s="285">
        <f>G29/'- 7 -'!E29</f>
        <v>506.0766373142543</v>
      </c>
    </row>
    <row r="30" spans="1:9" ht="14.1" customHeight="1" x14ac:dyDescent="0.2">
      <c r="A30" s="19" t="s">
        <v>128</v>
      </c>
      <c r="B30" s="20">
        <f>SUM('- 24 -'!H30,'- 24 -'!F30,'- 24 -'!D30,'- 24 -'!B30)</f>
        <v>11072</v>
      </c>
      <c r="C30" s="70">
        <f>B30/'- 3 -'!D30*100</f>
        <v>7.8515467660590796E-2</v>
      </c>
      <c r="D30" s="20">
        <f>SUM('- 25 -'!B30,'- 25 -'!E30,'- 25 -'!H30,'- 26 -'!B30)</f>
        <v>556305</v>
      </c>
      <c r="E30" s="70">
        <f>D30/'- 3 -'!D30*100</f>
        <v>3.9449554946644656</v>
      </c>
      <c r="F30" s="20">
        <f>D30/'- 7 -'!E30</f>
        <v>556.78224192164714</v>
      </c>
      <c r="G30" s="20">
        <f>SUM('- 27 -'!B30,'- 27 -'!E30,'- 27 -'!H30,'- 28 -'!B30,'- 28 -'!E30)</f>
        <v>555956</v>
      </c>
      <c r="H30" s="70">
        <f>G30/'- 3 -'!D30*100</f>
        <v>3.942480612239109</v>
      </c>
      <c r="I30" s="20">
        <f>G30/'- 7 -'!E30</f>
        <v>556.43294252216185</v>
      </c>
    </row>
    <row r="31" spans="1:9" ht="14.1" customHeight="1" x14ac:dyDescent="0.2">
      <c r="A31" s="284" t="s">
        <v>129</v>
      </c>
      <c r="B31" s="285">
        <f>SUM('- 24 -'!H31,'- 24 -'!F31,'- 24 -'!D31,'- 24 -'!B31)</f>
        <v>55546</v>
      </c>
      <c r="C31" s="291">
        <f>B31/'- 3 -'!D31*100</f>
        <v>0.14804588020346782</v>
      </c>
      <c r="D31" s="285">
        <f>SUM('- 25 -'!B31,'- 25 -'!E31,'- 25 -'!H31,'- 26 -'!B31)</f>
        <v>1365484</v>
      </c>
      <c r="E31" s="291">
        <f>D31/'- 3 -'!D31*100</f>
        <v>3.6394030296286322</v>
      </c>
      <c r="F31" s="285">
        <f>D31/'- 7 -'!E31</f>
        <v>419.76145096833693</v>
      </c>
      <c r="G31" s="285">
        <f>SUM('- 27 -'!B31,'- 27 -'!E31,'- 27 -'!H31,'- 28 -'!B31,'- 28 -'!E31)</f>
        <v>1373284</v>
      </c>
      <c r="H31" s="291">
        <f>G31/'- 3 -'!D31*100</f>
        <v>3.6601922469545793</v>
      </c>
      <c r="I31" s="285">
        <f>G31/'- 7 -'!E31</f>
        <v>422.15923762680603</v>
      </c>
    </row>
    <row r="32" spans="1:9" ht="14.1" customHeight="1" x14ac:dyDescent="0.2">
      <c r="A32" s="19" t="s">
        <v>130</v>
      </c>
      <c r="B32" s="20">
        <f>SUM('- 24 -'!H32,'- 24 -'!F32,'- 24 -'!D32,'- 24 -'!B32)</f>
        <v>34438</v>
      </c>
      <c r="C32" s="70">
        <f>B32/'- 3 -'!D32*100</f>
        <v>0.11754739433594136</v>
      </c>
      <c r="D32" s="20">
        <f>SUM('- 25 -'!B32,'- 25 -'!E32,'- 25 -'!H32,'- 26 -'!B32)</f>
        <v>1146314</v>
      </c>
      <c r="E32" s="70">
        <f>D32/'- 3 -'!D32*100</f>
        <v>3.91271919945439</v>
      </c>
      <c r="F32" s="20">
        <f>D32/'- 7 -'!E32</f>
        <v>532.37692736392353</v>
      </c>
      <c r="G32" s="20">
        <f>SUM('- 27 -'!B32,'- 27 -'!E32,'- 27 -'!H32,'- 28 -'!B32,'- 28 -'!E32)</f>
        <v>706186</v>
      </c>
      <c r="H32" s="70">
        <f>G32/'- 3 -'!D32*100</f>
        <v>2.4104281380022385</v>
      </c>
      <c r="I32" s="20">
        <f>G32/'- 7 -'!E32</f>
        <v>327.97046256734166</v>
      </c>
    </row>
    <row r="33" spans="1:9" ht="14.1" customHeight="1" x14ac:dyDescent="0.2">
      <c r="A33" s="284" t="s">
        <v>131</v>
      </c>
      <c r="B33" s="285">
        <f>SUM('- 24 -'!H33,'- 24 -'!F33,'- 24 -'!D33,'- 24 -'!B33)</f>
        <v>38592</v>
      </c>
      <c r="C33" s="291">
        <f>B33/'- 3 -'!D33*100</f>
        <v>0.13875168140957211</v>
      </c>
      <c r="D33" s="285">
        <f>SUM('- 25 -'!B33,'- 25 -'!E33,'- 25 -'!H33,'- 26 -'!B33)</f>
        <v>946391</v>
      </c>
      <c r="E33" s="291">
        <f>D33/'- 3 -'!D33*100</f>
        <v>3.4026052684723869</v>
      </c>
      <c r="F33" s="285">
        <f>D33/'- 7 -'!E33</f>
        <v>468.62639267145335</v>
      </c>
      <c r="G33" s="285">
        <f>SUM('- 27 -'!B33,'- 27 -'!E33,'- 27 -'!H33,'- 28 -'!B33,'- 28 -'!E33)</f>
        <v>792311</v>
      </c>
      <c r="H33" s="291">
        <f>G33/'- 3 -'!D33*100</f>
        <v>2.8486340031431254</v>
      </c>
      <c r="I33" s="285">
        <f>G33/'- 7 -'!E33</f>
        <v>392.33027977222082</v>
      </c>
    </row>
    <row r="34" spans="1:9" ht="14.1" customHeight="1" x14ac:dyDescent="0.2">
      <c r="A34" s="19" t="s">
        <v>132</v>
      </c>
      <c r="B34" s="20">
        <f>SUM('- 24 -'!H34,'- 24 -'!F34,'- 24 -'!D34,'- 24 -'!B34)</f>
        <v>57996</v>
      </c>
      <c r="C34" s="70">
        <f>B34/'- 3 -'!D34*100</f>
        <v>0.19943429655050465</v>
      </c>
      <c r="D34" s="20">
        <f>SUM('- 25 -'!B34,'- 25 -'!E34,'- 25 -'!H34,'- 26 -'!B34)</f>
        <v>1103271</v>
      </c>
      <c r="E34" s="70">
        <f>D34/'- 3 -'!D34*100</f>
        <v>3.7938836435197576</v>
      </c>
      <c r="F34" s="20">
        <f>D34/'- 7 -'!E34</f>
        <v>542.1745540321391</v>
      </c>
      <c r="G34" s="20">
        <f>SUM('- 27 -'!B34,'- 27 -'!E34,'- 27 -'!H34,'- 28 -'!B34,'- 28 -'!E34)</f>
        <v>844697</v>
      </c>
      <c r="H34" s="70">
        <f>G34/'- 3 -'!D34*100</f>
        <v>2.9047098419429211</v>
      </c>
      <c r="I34" s="20">
        <f>G34/'- 7 -'!E34</f>
        <v>415.10491916064672</v>
      </c>
    </row>
    <row r="35" spans="1:9" ht="14.1" customHeight="1" x14ac:dyDescent="0.2">
      <c r="A35" s="284" t="s">
        <v>133</v>
      </c>
      <c r="B35" s="285">
        <f>SUM('- 24 -'!H35,'- 24 -'!F35,'- 24 -'!D35,'- 24 -'!B35)</f>
        <v>1518987</v>
      </c>
      <c r="C35" s="291">
        <f>B35/'- 3 -'!D35*100</f>
        <v>0.82440744529332732</v>
      </c>
      <c r="D35" s="285">
        <f>SUM('- 25 -'!B35,'- 25 -'!E35,'- 25 -'!H35,'- 26 -'!B35)</f>
        <v>5286698</v>
      </c>
      <c r="E35" s="291">
        <f>D35/'- 3 -'!D35*100</f>
        <v>2.8692761637968873</v>
      </c>
      <c r="F35" s="285">
        <f>D35/'- 7 -'!E35</f>
        <v>338.71719630958484</v>
      </c>
      <c r="G35" s="285">
        <f>SUM('- 27 -'!B35,'- 27 -'!E35,'- 27 -'!H35,'- 28 -'!B35,'- 28 -'!E35)</f>
        <v>7543091</v>
      </c>
      <c r="H35" s="291">
        <f>G35/'- 3 -'!D35*100</f>
        <v>4.0938996719031095</v>
      </c>
      <c r="I35" s="285">
        <f>G35/'- 7 -'!E35</f>
        <v>483.2836365966171</v>
      </c>
    </row>
    <row r="36" spans="1:9" ht="14.1" customHeight="1" x14ac:dyDescent="0.2">
      <c r="A36" s="19" t="s">
        <v>134</v>
      </c>
      <c r="B36" s="20">
        <f>SUM('- 24 -'!H36,'- 24 -'!F36,'- 24 -'!D36,'- 24 -'!B36)</f>
        <v>57082</v>
      </c>
      <c r="C36" s="70">
        <f>B36/'- 3 -'!D36*100</f>
        <v>0.24350116123972732</v>
      </c>
      <c r="D36" s="20">
        <f>SUM('- 25 -'!B36,'- 25 -'!E36,'- 25 -'!H36,'- 26 -'!B36)</f>
        <v>909967</v>
      </c>
      <c r="E36" s="70">
        <f>D36/'- 3 -'!D36*100</f>
        <v>3.8817494339692185</v>
      </c>
      <c r="F36" s="20">
        <f>D36/'- 7 -'!E36</f>
        <v>545.70734632683661</v>
      </c>
      <c r="G36" s="20">
        <f>SUM('- 27 -'!B36,'- 27 -'!E36,'- 27 -'!H36,'- 28 -'!B36,'- 28 -'!E36)</f>
        <v>741158</v>
      </c>
      <c r="H36" s="70">
        <f>G36/'- 3 -'!D36*100</f>
        <v>3.1616417375374692</v>
      </c>
      <c r="I36" s="20">
        <f>G36/'- 7 -'!E36</f>
        <v>444.47256371814092</v>
      </c>
    </row>
    <row r="37" spans="1:9" ht="14.1" customHeight="1" x14ac:dyDescent="0.2">
      <c r="A37" s="284" t="s">
        <v>135</v>
      </c>
      <c r="B37" s="285">
        <f>SUM('- 24 -'!H37,'- 24 -'!F37,'- 24 -'!D37,'- 24 -'!B37)</f>
        <v>443060</v>
      </c>
      <c r="C37" s="291">
        <f>B37/'- 3 -'!D37*100</f>
        <v>0.88279803100931187</v>
      </c>
      <c r="D37" s="285">
        <f>SUM('- 25 -'!B37,'- 25 -'!E37,'- 25 -'!H37,'- 26 -'!B37)</f>
        <v>1691192</v>
      </c>
      <c r="E37" s="291">
        <f>D37/'- 3 -'!D37*100</f>
        <v>3.3697038045833532</v>
      </c>
      <c r="F37" s="285">
        <f>D37/'- 7 -'!E37</f>
        <v>404.30121922065501</v>
      </c>
      <c r="G37" s="285">
        <f>SUM('- 27 -'!B37,'- 27 -'!E37,'- 27 -'!H37,'- 28 -'!B37,'- 28 -'!E37)</f>
        <v>1642628</v>
      </c>
      <c r="H37" s="291">
        <f>G37/'- 3 -'!D37*100</f>
        <v>3.2729399270544941</v>
      </c>
      <c r="I37" s="285">
        <f>G37/'- 7 -'!E37</f>
        <v>392.69136983026539</v>
      </c>
    </row>
    <row r="38" spans="1:9" ht="14.1" customHeight="1" x14ac:dyDescent="0.2">
      <c r="A38" s="19" t="s">
        <v>136</v>
      </c>
      <c r="B38" s="20">
        <f>SUM('- 24 -'!H38,'- 24 -'!F38,'- 24 -'!D38,'- 24 -'!B38)</f>
        <v>2096892</v>
      </c>
      <c r="C38" s="70">
        <f>B38/'- 3 -'!D38*100</f>
        <v>1.5454096581271641</v>
      </c>
      <c r="D38" s="20">
        <f>SUM('- 25 -'!B38,'- 25 -'!E38,'- 25 -'!H38,'- 26 -'!B38)</f>
        <v>3866547</v>
      </c>
      <c r="E38" s="70">
        <f>D38/'- 3 -'!D38*100</f>
        <v>2.8496456075957237</v>
      </c>
      <c r="F38" s="20">
        <f>D38/'- 7 -'!E38</f>
        <v>351.7025050483</v>
      </c>
      <c r="G38" s="20">
        <f>SUM('- 27 -'!B38,'- 27 -'!E38,'- 27 -'!H38,'- 28 -'!B38,'- 28 -'!E38)</f>
        <v>5052922</v>
      </c>
      <c r="H38" s="70">
        <f>G38/'- 3 -'!D38*100</f>
        <v>3.7240041263752381</v>
      </c>
      <c r="I38" s="20">
        <f>G38/'- 7 -'!E38</f>
        <v>459.61560152085724</v>
      </c>
    </row>
    <row r="39" spans="1:9" ht="14.1" customHeight="1" x14ac:dyDescent="0.2">
      <c r="A39" s="284" t="s">
        <v>137</v>
      </c>
      <c r="B39" s="285">
        <f>SUM('- 24 -'!H39,'- 24 -'!F39,'- 24 -'!D39,'- 24 -'!B39)</f>
        <v>158306</v>
      </c>
      <c r="C39" s="291">
        <f>B39/'- 3 -'!D39*100</f>
        <v>0.73781737470292097</v>
      </c>
      <c r="D39" s="285">
        <f>SUM('- 25 -'!B39,'- 25 -'!E39,'- 25 -'!H39,'- 26 -'!B39)</f>
        <v>871676</v>
      </c>
      <c r="E39" s="291">
        <f>D39/'- 3 -'!D39*100</f>
        <v>4.0626236397328164</v>
      </c>
      <c r="F39" s="285">
        <f>D39/'- 7 -'!E39</f>
        <v>581.11733333333336</v>
      </c>
      <c r="G39" s="285">
        <f>SUM('- 27 -'!B39,'- 27 -'!E39,'- 27 -'!H39,'- 28 -'!B39,'- 28 -'!E39)</f>
        <v>491416</v>
      </c>
      <c r="H39" s="291">
        <f>G39/'- 3 -'!D39*100</f>
        <v>2.2903444152907064</v>
      </c>
      <c r="I39" s="285">
        <f>G39/'- 7 -'!E39</f>
        <v>327.61066666666665</v>
      </c>
    </row>
    <row r="40" spans="1:9" ht="14.1" customHeight="1" x14ac:dyDescent="0.2">
      <c r="A40" s="19" t="s">
        <v>138</v>
      </c>
      <c r="B40" s="20">
        <f>SUM('- 24 -'!H40,'- 24 -'!F40,'- 24 -'!D40,'- 24 -'!B40)</f>
        <v>994366</v>
      </c>
      <c r="C40" s="70">
        <f>B40/'- 3 -'!D40*100</f>
        <v>0.95296980183271829</v>
      </c>
      <c r="D40" s="20">
        <f>SUM('- 25 -'!B40,'- 25 -'!E40,'- 25 -'!H40,'- 26 -'!B40)</f>
        <v>3588924</v>
      </c>
      <c r="E40" s="70">
        <f>D40/'- 3 -'!D40*100</f>
        <v>3.4395144172997534</v>
      </c>
      <c r="F40" s="20">
        <f>D40/'- 7 -'!E40</f>
        <v>434.47339111907417</v>
      </c>
      <c r="G40" s="20">
        <f>SUM('- 27 -'!B40,'- 27 -'!E40,'- 27 -'!H40,'- 28 -'!B40,'- 28 -'!E40)</f>
        <v>3590232</v>
      </c>
      <c r="H40" s="70">
        <f>G40/'- 3 -'!D40*100</f>
        <v>3.4407679642842615</v>
      </c>
      <c r="I40" s="20">
        <f>G40/'- 7 -'!E40</f>
        <v>434.63173696189051</v>
      </c>
    </row>
    <row r="41" spans="1:9" ht="14.1" customHeight="1" x14ac:dyDescent="0.2">
      <c r="A41" s="284" t="s">
        <v>139</v>
      </c>
      <c r="B41" s="285">
        <f>SUM('- 24 -'!H41,'- 24 -'!F41,'- 24 -'!D41,'- 24 -'!B41)</f>
        <v>304247</v>
      </c>
      <c r="C41" s="291">
        <f>B41/'- 3 -'!D41*100</f>
        <v>0.48570422283157705</v>
      </c>
      <c r="D41" s="285">
        <f>SUM('- 25 -'!B41,'- 25 -'!E41,'- 25 -'!H41,'- 26 -'!B41)</f>
        <v>2252463</v>
      </c>
      <c r="E41" s="291">
        <f>D41/'- 3 -'!D41*100</f>
        <v>3.595863856905352</v>
      </c>
      <c r="F41" s="285">
        <f>D41/'- 7 -'!E41</f>
        <v>505.2064595716048</v>
      </c>
      <c r="G41" s="285">
        <f>SUM('- 27 -'!B41,'- 27 -'!E41,'- 27 -'!H41,'- 28 -'!B41,'- 28 -'!E41)</f>
        <v>1479408</v>
      </c>
      <c r="H41" s="291">
        <f>G41/'- 3 -'!D41*100</f>
        <v>2.3617478985522218</v>
      </c>
      <c r="I41" s="285">
        <f>G41/'- 7 -'!E41</f>
        <v>331.81742738589213</v>
      </c>
    </row>
    <row r="42" spans="1:9" ht="14.1" customHeight="1" x14ac:dyDescent="0.2">
      <c r="A42" s="19" t="s">
        <v>140</v>
      </c>
      <c r="B42" s="20">
        <f>SUM('- 24 -'!H42,'- 24 -'!F42,'- 24 -'!D42,'- 24 -'!B42)</f>
        <v>190895</v>
      </c>
      <c r="C42" s="70">
        <f>B42/'- 3 -'!D42*100</f>
        <v>0.94217109347322381</v>
      </c>
      <c r="D42" s="20">
        <f>SUM('- 25 -'!B42,'- 25 -'!E42,'- 25 -'!H42,'- 26 -'!B42)</f>
        <v>862057</v>
      </c>
      <c r="E42" s="70">
        <f>D42/'- 3 -'!D42*100</f>
        <v>4.2547221578681835</v>
      </c>
      <c r="F42" s="20">
        <f>D42/'- 7 -'!E42</f>
        <v>625.31336138111135</v>
      </c>
      <c r="G42" s="20">
        <f>SUM('- 27 -'!B42,'- 27 -'!E42,'- 27 -'!H42,'- 28 -'!B42,'- 28 -'!E42)</f>
        <v>324590</v>
      </c>
      <c r="H42" s="70">
        <f>G42/'- 3 -'!D42*100</f>
        <v>1.6020289438197635</v>
      </c>
      <c r="I42" s="20">
        <f>G42/'- 7 -'!E42</f>
        <v>235.44900623821269</v>
      </c>
    </row>
    <row r="43" spans="1:9" ht="14.1" customHeight="1" x14ac:dyDescent="0.2">
      <c r="A43" s="284" t="s">
        <v>141</v>
      </c>
      <c r="B43" s="285">
        <f>SUM('- 24 -'!H43,'- 24 -'!F43,'- 24 -'!D43,'- 24 -'!B43)</f>
        <v>12070</v>
      </c>
      <c r="C43" s="291">
        <f>B43/'- 3 -'!D43*100</f>
        <v>9.1110471333263984E-2</v>
      </c>
      <c r="D43" s="285">
        <f>SUM('- 25 -'!B43,'- 25 -'!E43,'- 25 -'!H43,'- 26 -'!B43)</f>
        <v>559091</v>
      </c>
      <c r="E43" s="291">
        <f>D43/'- 3 -'!D43*100</f>
        <v>4.2203019493111764</v>
      </c>
      <c r="F43" s="285">
        <f>D43/'- 7 -'!E43</f>
        <v>580.75309026695754</v>
      </c>
      <c r="G43" s="285">
        <f>SUM('- 27 -'!B43,'- 27 -'!E43,'- 27 -'!H43,'- 28 -'!B43,'- 28 -'!E43)</f>
        <v>496708</v>
      </c>
      <c r="H43" s="291">
        <f>G43/'- 3 -'!D43*100</f>
        <v>3.7494034792877287</v>
      </c>
      <c r="I43" s="285">
        <f>G43/'- 7 -'!E43</f>
        <v>515.95304871714961</v>
      </c>
    </row>
    <row r="44" spans="1:9" ht="14.1" customHeight="1" x14ac:dyDescent="0.2">
      <c r="A44" s="19" t="s">
        <v>142</v>
      </c>
      <c r="B44" s="20">
        <f>SUM('- 24 -'!H44,'- 24 -'!F44,'- 24 -'!D44,'- 24 -'!B44)</f>
        <v>33713</v>
      </c>
      <c r="C44" s="70">
        <f>B44/'- 3 -'!D44*100</f>
        <v>0.31191385467255062</v>
      </c>
      <c r="D44" s="20">
        <f>SUM('- 25 -'!B44,'- 25 -'!E44,'- 25 -'!H44,'- 26 -'!B44)</f>
        <v>395791</v>
      </c>
      <c r="E44" s="70">
        <f>D44/'- 3 -'!D44*100</f>
        <v>3.6618721696290297</v>
      </c>
      <c r="F44" s="20">
        <f>D44/'- 7 -'!E44</f>
        <v>570.71521268925744</v>
      </c>
      <c r="G44" s="20">
        <f>SUM('- 27 -'!B44,'- 27 -'!E44,'- 27 -'!H44,'- 28 -'!B44,'- 28 -'!E44)</f>
        <v>269207</v>
      </c>
      <c r="H44" s="70">
        <f>G44/'- 3 -'!D44*100</f>
        <v>2.4907125760043107</v>
      </c>
      <c r="I44" s="20">
        <f>G44/'- 7 -'!E44</f>
        <v>388.18601297764963</v>
      </c>
    </row>
    <row r="45" spans="1:9" ht="14.1" customHeight="1" x14ac:dyDescent="0.2">
      <c r="A45" s="284" t="s">
        <v>143</v>
      </c>
      <c r="B45" s="285">
        <f>SUM('- 24 -'!H45,'- 24 -'!F45,'- 24 -'!D45,'- 24 -'!B45)</f>
        <v>51540</v>
      </c>
      <c r="C45" s="291">
        <f>B45/'- 3 -'!D45*100</f>
        <v>0.26758174014729141</v>
      </c>
      <c r="D45" s="285">
        <f>SUM('- 25 -'!B45,'- 25 -'!E45,'- 25 -'!H45,'- 26 -'!B45)</f>
        <v>759561</v>
      </c>
      <c r="E45" s="291">
        <f>D45/'- 3 -'!D45*100</f>
        <v>3.943435276057758</v>
      </c>
      <c r="F45" s="285">
        <f>D45/'- 7 -'!E45</f>
        <v>450.77804154302669</v>
      </c>
      <c r="G45" s="285">
        <f>SUM('- 27 -'!B45,'- 27 -'!E45,'- 27 -'!H45,'- 28 -'!B45,'- 28 -'!E45)</f>
        <v>548306</v>
      </c>
      <c r="H45" s="291">
        <f>G45/'- 3 -'!D45*100</f>
        <v>2.8466564534963288</v>
      </c>
      <c r="I45" s="285">
        <f>G45/'- 7 -'!E45</f>
        <v>325.40415430267063</v>
      </c>
    </row>
    <row r="46" spans="1:9" ht="14.1" customHeight="1" x14ac:dyDescent="0.2">
      <c r="A46" s="19" t="s">
        <v>144</v>
      </c>
      <c r="B46" s="20">
        <f>SUM('- 24 -'!H46,'- 24 -'!F46,'- 24 -'!D46,'- 24 -'!B46)</f>
        <v>10137926</v>
      </c>
      <c r="C46" s="70">
        <f>B46/'- 3 -'!D46*100</f>
        <v>2.5910548374715634</v>
      </c>
      <c r="D46" s="20">
        <f>SUM('- 25 -'!B46,'- 25 -'!E46,'- 25 -'!H46,'- 26 -'!B46)</f>
        <v>10816618</v>
      </c>
      <c r="E46" s="70">
        <f>D46/'- 3 -'!D46*100</f>
        <v>2.7645151872268539</v>
      </c>
      <c r="F46" s="20">
        <f>D46/'- 7 -'!E46</f>
        <v>362.01405669533784</v>
      </c>
      <c r="G46" s="20">
        <f>SUM('- 27 -'!B46,'- 27 -'!E46,'- 27 -'!H46,'- 28 -'!B46,'- 28 -'!E46)</f>
        <v>9405124</v>
      </c>
      <c r="H46" s="70">
        <f>G46/'- 3 -'!D46*100</f>
        <v>2.4037650341124905</v>
      </c>
      <c r="I46" s="20">
        <f>G46/'- 7 -'!E46</f>
        <v>314.77372067338263</v>
      </c>
    </row>
    <row r="47" spans="1:9" ht="5.0999999999999996" customHeight="1" x14ac:dyDescent="0.2">
      <c r="A47"/>
      <c r="B47"/>
      <c r="C47"/>
      <c r="D47"/>
      <c r="E47"/>
      <c r="F47"/>
      <c r="G47"/>
      <c r="H47"/>
      <c r="I47"/>
    </row>
    <row r="48" spans="1:9" ht="14.1" customHeight="1" x14ac:dyDescent="0.2">
      <c r="A48" s="286" t="s">
        <v>145</v>
      </c>
      <c r="B48" s="287">
        <f>SUM(B11:B46)</f>
        <v>25126863</v>
      </c>
      <c r="C48" s="294">
        <f>B48/'- 3 -'!D48*100</f>
        <v>1.0958015617396246</v>
      </c>
      <c r="D48" s="287">
        <f>SUM(D11:D46)</f>
        <v>77793637</v>
      </c>
      <c r="E48" s="294">
        <f>D48/'- 3 -'!D48*100</f>
        <v>3.3926395395241125</v>
      </c>
      <c r="F48" s="287">
        <f>D48/'- 7 -'!E48</f>
        <v>441.91543714968071</v>
      </c>
      <c r="G48" s="287">
        <f>SUM(G11:G46)</f>
        <v>78354211</v>
      </c>
      <c r="H48" s="294">
        <f>G48/'- 3 -'!D48*100</f>
        <v>3.4170865970286894</v>
      </c>
      <c r="I48" s="287">
        <f>G48/'- 7 -'!E48</f>
        <v>445.0998403196308</v>
      </c>
    </row>
    <row r="49" spans="1:9" ht="5.0999999999999996" customHeight="1" x14ac:dyDescent="0.2">
      <c r="A49"/>
      <c r="B49"/>
      <c r="C49"/>
      <c r="D49"/>
      <c r="E49"/>
      <c r="F49"/>
      <c r="G49"/>
      <c r="H49"/>
      <c r="I49"/>
    </row>
    <row r="50" spans="1:9" ht="14.1" customHeight="1" x14ac:dyDescent="0.2">
      <c r="A50" s="19" t="s">
        <v>146</v>
      </c>
      <c r="B50" s="20">
        <f>SUM('- 24 -'!H50,'- 24 -'!F50,'- 24 -'!D50,'- 24 -'!B50)</f>
        <v>92141</v>
      </c>
      <c r="C50" s="70">
        <f>B50/'- 3 -'!D50*100</f>
        <v>2.873495828268231</v>
      </c>
      <c r="D50" s="20">
        <f>SUM('- 25 -'!B50,'- 25 -'!E50,'- 25 -'!H50,'- 26 -'!B50)</f>
        <v>188699</v>
      </c>
      <c r="E50" s="70">
        <f>D50/'- 3 -'!D50*100</f>
        <v>5.8847395762840309</v>
      </c>
      <c r="F50" s="20">
        <f>D50/'- 7 -'!E50</f>
        <v>1217.4129032258065</v>
      </c>
      <c r="G50" s="20">
        <f>SUM('- 27 -'!B50,'- 27 -'!E50,'- 27 -'!H50,'- 28 -'!B50,'- 28 -'!E50)</f>
        <v>84762</v>
      </c>
      <c r="H50" s="70">
        <f>G50/'- 3 -'!D50*100</f>
        <v>2.6433754072092963</v>
      </c>
      <c r="I50" s="20">
        <f>G50/'- 7 -'!E50</f>
        <v>546.85161290322583</v>
      </c>
    </row>
    <row r="51" spans="1:9" ht="14.1" customHeight="1" x14ac:dyDescent="0.2">
      <c r="A51" s="284" t="s">
        <v>609</v>
      </c>
      <c r="B51" s="285">
        <f>SUM('- 24 -'!H51,'- 24 -'!F51,'- 24 -'!D51,'- 24 -'!B51)</f>
        <v>10544100</v>
      </c>
      <c r="C51" s="291">
        <f>B51/'- 3 -'!D51*100</f>
        <v>36.337600261308431</v>
      </c>
      <c r="D51" s="285">
        <f>SUM('- 25 -'!B51,'- 25 -'!E51,'- 25 -'!H51,'- 26 -'!B51)</f>
        <v>4592159</v>
      </c>
      <c r="E51" s="291">
        <f>D51/'- 3 -'!D51*100</f>
        <v>15.825726053278121</v>
      </c>
      <c r="F51" s="285">
        <f>D51/'- 7 -'!E51</f>
        <v>3883.4325581395351</v>
      </c>
      <c r="G51" s="285">
        <f>SUM('- 27 -'!B51,'- 27 -'!E51,'- 27 -'!H51,'- 28 -'!B51,'- 28 -'!E51)</f>
        <v>420568</v>
      </c>
      <c r="H51" s="291">
        <f>G51/'- 3 -'!D51*100</f>
        <v>1.4493822959473035</v>
      </c>
      <c r="I51" s="285">
        <f>G51/'- 7 -'!E51</f>
        <v>355.66004228329808</v>
      </c>
    </row>
    <row r="52" spans="1:9" ht="50.1" customHeight="1" x14ac:dyDescent="0.2"/>
  </sheetData>
  <mergeCells count="5">
    <mergeCell ref="F8:F9"/>
    <mergeCell ref="I8:I9"/>
    <mergeCell ref="B6:C7"/>
    <mergeCell ref="D6:F7"/>
    <mergeCell ref="G6:I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52"/>
  <sheetViews>
    <sheetView showGridLines="0" showZeros="0" workbookViewId="0"/>
  </sheetViews>
  <sheetFormatPr defaultColWidth="15.83203125" defaultRowHeight="12" x14ac:dyDescent="0.2"/>
  <cols>
    <col min="1" max="1" width="32.83203125" style="2" customWidth="1"/>
    <col min="2" max="2" width="15.83203125" style="2"/>
    <col min="3" max="3" width="7.83203125" style="2" customWidth="1"/>
    <col min="4" max="4" width="9.83203125" style="2" customWidth="1"/>
    <col min="5" max="5" width="15.83203125" style="2"/>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261</v>
      </c>
      <c r="C2" s="10"/>
      <c r="D2" s="10"/>
      <c r="E2" s="10"/>
      <c r="F2" s="10"/>
      <c r="G2" s="10"/>
      <c r="H2" s="73"/>
      <c r="I2" s="73"/>
      <c r="J2" s="135" t="s">
        <v>9</v>
      </c>
    </row>
    <row r="3" spans="1:10" ht="15.95" customHeight="1" x14ac:dyDescent="0.2">
      <c r="A3" s="541"/>
      <c r="B3" s="11" t="str">
        <f>OPYEAR</f>
        <v>OPERATING FUND 2016/2017 ACTUAL</v>
      </c>
      <c r="C3" s="12"/>
      <c r="D3" s="12"/>
      <c r="E3" s="12"/>
      <c r="F3" s="12"/>
      <c r="G3" s="12"/>
      <c r="H3" s="75"/>
      <c r="I3" s="75"/>
      <c r="J3" s="66"/>
    </row>
    <row r="4" spans="1:10" ht="15.95" customHeight="1" x14ac:dyDescent="0.2">
      <c r="B4" s="8"/>
      <c r="C4" s="8"/>
      <c r="D4" s="8"/>
      <c r="E4" s="8"/>
      <c r="F4" s="8"/>
      <c r="G4" s="8"/>
      <c r="H4" s="8"/>
      <c r="I4" s="8"/>
      <c r="J4" s="8"/>
    </row>
    <row r="5" spans="1:10" ht="15.95" customHeight="1" x14ac:dyDescent="0.2">
      <c r="B5" s="8"/>
      <c r="C5" s="8"/>
      <c r="D5" s="8"/>
      <c r="E5" s="8"/>
      <c r="F5" s="8"/>
      <c r="G5" s="8"/>
      <c r="H5" s="8"/>
      <c r="I5" s="8"/>
      <c r="J5" s="8"/>
    </row>
    <row r="6" spans="1:10" ht="15.95" customHeight="1" x14ac:dyDescent="0.2">
      <c r="B6" s="643" t="s">
        <v>475</v>
      </c>
      <c r="C6" s="651"/>
      <c r="D6" s="644"/>
      <c r="E6" s="643" t="s">
        <v>476</v>
      </c>
      <c r="F6" s="651"/>
      <c r="G6" s="644"/>
      <c r="H6" s="309" t="s">
        <v>7</v>
      </c>
      <c r="I6" s="312"/>
      <c r="J6" s="310"/>
    </row>
    <row r="7" spans="1:10" ht="15.95" customHeight="1" x14ac:dyDescent="0.2">
      <c r="B7" s="645"/>
      <c r="C7" s="652"/>
      <c r="D7" s="646"/>
      <c r="E7" s="645"/>
      <c r="F7" s="652"/>
      <c r="G7" s="646"/>
      <c r="H7" s="648" t="s">
        <v>30</v>
      </c>
      <c r="I7" s="650"/>
      <c r="J7" s="649"/>
    </row>
    <row r="8" spans="1:10" ht="15.95" customHeight="1" x14ac:dyDescent="0.2">
      <c r="A8" s="67"/>
      <c r="B8" s="137"/>
      <c r="C8" s="138"/>
      <c r="D8" s="617" t="s">
        <v>327</v>
      </c>
      <c r="E8" s="137"/>
      <c r="F8" s="139"/>
      <c r="G8" s="617" t="s">
        <v>327</v>
      </c>
      <c r="H8" s="137"/>
      <c r="I8" s="139"/>
      <c r="J8" s="617" t="s">
        <v>327</v>
      </c>
    </row>
    <row r="9" spans="1:10" ht="15.95" customHeight="1" x14ac:dyDescent="0.2">
      <c r="A9" s="35" t="s">
        <v>42</v>
      </c>
      <c r="B9" s="77" t="s">
        <v>43</v>
      </c>
      <c r="C9" s="77" t="s">
        <v>44</v>
      </c>
      <c r="D9" s="598"/>
      <c r="E9" s="77" t="s">
        <v>43</v>
      </c>
      <c r="F9" s="77" t="s">
        <v>44</v>
      </c>
      <c r="G9" s="598"/>
      <c r="H9" s="77" t="s">
        <v>43</v>
      </c>
      <c r="I9" s="77" t="s">
        <v>44</v>
      </c>
      <c r="J9" s="598"/>
    </row>
    <row r="10" spans="1:10" ht="5.0999999999999996" customHeight="1" x14ac:dyDescent="0.2">
      <c r="A10" s="6"/>
    </row>
    <row r="11" spans="1:10" ht="14.1" customHeight="1" x14ac:dyDescent="0.2">
      <c r="A11" s="284" t="s">
        <v>110</v>
      </c>
      <c r="B11" s="285">
        <f>SUM('- 30 -'!D11,'- 30 -'!B11,'- 29 -'!F11,'- 29 -'!D11,'- 29 -'!B11)</f>
        <v>1262524</v>
      </c>
      <c r="C11" s="291">
        <f>B11/'- 3 -'!D11*100</f>
        <v>6.6039122977364739</v>
      </c>
      <c r="D11" s="285">
        <f>B11/'- 7 -'!E11</f>
        <v>714.90600226500567</v>
      </c>
      <c r="E11" s="285">
        <f>SUM('- 32 -'!D11,'- 32 -'!B11,'- 31 -'!F11,'- 31 -'!D11,'- 31 -'!B11)</f>
        <v>1918328</v>
      </c>
      <c r="F11" s="291">
        <f>E11/'- 3 -'!D11*100</f>
        <v>10.034240830504777</v>
      </c>
      <c r="G11" s="285">
        <f>E11/'- 7 -'!E11</f>
        <v>1086.2559456398642</v>
      </c>
      <c r="H11" s="285">
        <f>SUM('- 33 -'!B11,'- 33 -'!D11,'- 33 -'!F11)</f>
        <v>330106</v>
      </c>
      <c r="I11" s="291">
        <f>H11/'- 3 -'!D11*100</f>
        <v>1.7266927780831067</v>
      </c>
      <c r="J11" s="285">
        <f>H11/'- 7 -'!E11</f>
        <v>186.92298980747452</v>
      </c>
    </row>
    <row r="12" spans="1:10" ht="14.1" customHeight="1" x14ac:dyDescent="0.2">
      <c r="A12" s="19" t="s">
        <v>111</v>
      </c>
      <c r="B12" s="20">
        <f>SUM('- 30 -'!D12,'- 30 -'!B12,'- 29 -'!F12,'- 29 -'!D12,'- 29 -'!B12)</f>
        <v>2529893</v>
      </c>
      <c r="C12" s="70">
        <f>B12/'- 3 -'!D12*100</f>
        <v>7.5702831019616337</v>
      </c>
      <c r="D12" s="20">
        <f>B12/'- 7 -'!E12</f>
        <v>1193.5991130192729</v>
      </c>
      <c r="E12" s="20">
        <f>SUM('- 32 -'!D12,'- 32 -'!B12,'- 31 -'!F12,'- 31 -'!D12,'- 31 -'!B12)</f>
        <v>3426779</v>
      </c>
      <c r="F12" s="70">
        <f>E12/'- 3 -'!D12*100</f>
        <v>10.254064957631403</v>
      </c>
      <c r="G12" s="20">
        <f>E12/'- 7 -'!E12</f>
        <v>1616.7483663985279</v>
      </c>
      <c r="H12" s="20">
        <f>SUM('- 33 -'!B12,'- 33 -'!D12,'- 33 -'!F12)</f>
        <v>559547</v>
      </c>
      <c r="I12" s="70">
        <f>H12/'- 3 -'!D12*100</f>
        <v>1.6743511282308485</v>
      </c>
      <c r="J12" s="20">
        <f>H12/'- 7 -'!E12</f>
        <v>263.99330046472124</v>
      </c>
    </row>
    <row r="13" spans="1:10" ht="14.1" customHeight="1" x14ac:dyDescent="0.2">
      <c r="A13" s="284" t="s">
        <v>112</v>
      </c>
      <c r="B13" s="285">
        <f>SUM('- 30 -'!D13,'- 30 -'!B13,'- 29 -'!F13,'- 29 -'!D13,'- 29 -'!B13)</f>
        <v>2325563</v>
      </c>
      <c r="C13" s="291">
        <f>B13/'- 3 -'!D13*100</f>
        <v>2.4246839842904335</v>
      </c>
      <c r="D13" s="285">
        <f>B13/'- 7 -'!E13</f>
        <v>277.72890666985131</v>
      </c>
      <c r="E13" s="285">
        <f>SUM('- 32 -'!D13,'- 32 -'!B13,'- 31 -'!F13,'- 31 -'!D13,'- 31 -'!B13)</f>
        <v>8264794</v>
      </c>
      <c r="F13" s="291">
        <f>E13/'- 3 -'!D13*100</f>
        <v>8.6170590283985735</v>
      </c>
      <c r="G13" s="285">
        <f>E13/'- 7 -'!E13</f>
        <v>987.01785394398996</v>
      </c>
      <c r="H13" s="285">
        <f>SUM('- 33 -'!B13,'- 33 -'!D13,'- 33 -'!F13)</f>
        <v>1635218</v>
      </c>
      <c r="I13" s="291">
        <f>H13/'- 3 -'!D13*100</f>
        <v>1.7049148509085474</v>
      </c>
      <c r="J13" s="285">
        <f>H13/'- 7 -'!E13</f>
        <v>195.28488684540514</v>
      </c>
    </row>
    <row r="14" spans="1:10" ht="14.1" customHeight="1" x14ac:dyDescent="0.2">
      <c r="A14" s="19" t="s">
        <v>359</v>
      </c>
      <c r="B14" s="20">
        <f>SUM('- 30 -'!D14,'- 30 -'!B14,'- 29 -'!F14,'- 29 -'!D14,'- 29 -'!B14)</f>
        <v>8612735</v>
      </c>
      <c r="C14" s="70">
        <f>B14/'- 3 -'!D14*100</f>
        <v>10.384562940351479</v>
      </c>
      <c r="D14" s="20">
        <f>B14/'- 7 -'!E14</f>
        <v>1570.7669328158681</v>
      </c>
      <c r="E14" s="20">
        <f>SUM('- 32 -'!D14,'- 32 -'!B14,'- 31 -'!F14,'- 31 -'!D14,'- 31 -'!B14)</f>
        <v>9339251</v>
      </c>
      <c r="F14" s="70">
        <f>E14/'- 3 -'!D14*100</f>
        <v>11.260539169641293</v>
      </c>
      <c r="G14" s="20">
        <f>E14/'- 7 -'!E14</f>
        <v>1703.2669236970057</v>
      </c>
      <c r="H14" s="20">
        <f>SUM('- 33 -'!B14,'- 33 -'!D14,'- 33 -'!F14)</f>
        <v>1316325</v>
      </c>
      <c r="I14" s="70">
        <f>H14/'- 3 -'!D14*100</f>
        <v>1.5871218390509128</v>
      </c>
      <c r="J14" s="20">
        <f>H14/'- 7 -'!E14</f>
        <v>240.06773491101814</v>
      </c>
    </row>
    <row r="15" spans="1:10" ht="14.1" customHeight="1" x14ac:dyDescent="0.2">
      <c r="A15" s="284" t="s">
        <v>113</v>
      </c>
      <c r="B15" s="285">
        <f>SUM('- 30 -'!D15,'- 30 -'!B15,'- 29 -'!F15,'- 29 -'!D15,'- 29 -'!B15)</f>
        <v>1594735</v>
      </c>
      <c r="C15" s="291">
        <f>B15/'- 3 -'!D15*100</f>
        <v>8.1712823466821671</v>
      </c>
      <c r="D15" s="285">
        <f>B15/'- 7 -'!E15</f>
        <v>1139.7477129788451</v>
      </c>
      <c r="E15" s="285">
        <f>SUM('- 32 -'!D15,'- 32 -'!B15,'- 31 -'!F15,'- 31 -'!D15,'- 31 -'!B15)</f>
        <v>2473400</v>
      </c>
      <c r="F15" s="291">
        <f>E15/'- 3 -'!D15*100</f>
        <v>12.67348478354314</v>
      </c>
      <c r="G15" s="285">
        <f>E15/'- 7 -'!E15</f>
        <v>1767.7244139508289</v>
      </c>
      <c r="H15" s="285">
        <f>SUM('- 33 -'!B15,'- 33 -'!D15,'- 33 -'!F15)</f>
        <v>308175</v>
      </c>
      <c r="I15" s="291">
        <f>H15/'- 3 -'!D15*100</f>
        <v>1.5790616856021702</v>
      </c>
      <c r="J15" s="285">
        <f>H15/'- 7 -'!E15</f>
        <v>220.2508576329331</v>
      </c>
    </row>
    <row r="16" spans="1:10" ht="14.1" customHeight="1" x14ac:dyDescent="0.2">
      <c r="A16" s="19" t="s">
        <v>114</v>
      </c>
      <c r="B16" s="20">
        <f>SUM('- 30 -'!D16,'- 30 -'!B16,'- 29 -'!F16,'- 29 -'!D16,'- 29 -'!B16)</f>
        <v>447014</v>
      </c>
      <c r="C16" s="70">
        <f>B16/'- 3 -'!D16*100</f>
        <v>3.083579069182862</v>
      </c>
      <c r="D16" s="20">
        <f>B16/'- 7 -'!E16</f>
        <v>494.59393671166191</v>
      </c>
      <c r="E16" s="20">
        <f>SUM('- 32 -'!D16,'- 32 -'!B16,'- 31 -'!F16,'- 31 -'!D16,'- 31 -'!B16)</f>
        <v>2559616</v>
      </c>
      <c r="F16" s="70">
        <f>E16/'- 3 -'!D16*100</f>
        <v>17.656669193236812</v>
      </c>
      <c r="G16" s="20">
        <f>E16/'- 7 -'!E16</f>
        <v>2832.0601903075903</v>
      </c>
      <c r="H16" s="20">
        <f>SUM('- 33 -'!B16,'- 33 -'!D16,'- 33 -'!F16)</f>
        <v>232912</v>
      </c>
      <c r="I16" s="70">
        <f>H16/'- 3 -'!D16*100</f>
        <v>1.6066668340622858</v>
      </c>
      <c r="J16" s="20">
        <f>H16/'- 7 -'!E16</f>
        <v>257.70303164416907</v>
      </c>
    </row>
    <row r="17" spans="1:10" ht="14.1" customHeight="1" x14ac:dyDescent="0.2">
      <c r="A17" s="284" t="s">
        <v>115</v>
      </c>
      <c r="B17" s="285">
        <f>SUM('- 30 -'!D17,'- 30 -'!B17,'- 29 -'!F17,'- 29 -'!D17,'- 29 -'!B17)</f>
        <v>1386107</v>
      </c>
      <c r="C17" s="291">
        <f>B17/'- 3 -'!D17*100</f>
        <v>7.7237855396263697</v>
      </c>
      <c r="D17" s="285">
        <f>B17/'- 7 -'!E17</f>
        <v>991.84758497316636</v>
      </c>
      <c r="E17" s="285">
        <f>SUM('- 32 -'!D17,'- 32 -'!B17,'- 31 -'!F17,'- 31 -'!D17,'- 31 -'!B17)</f>
        <v>1894098</v>
      </c>
      <c r="F17" s="291">
        <f>E17/'- 3 -'!D17*100</f>
        <v>10.55445701019851</v>
      </c>
      <c r="G17" s="285">
        <f>E17/'- 7 -'!E17</f>
        <v>1355.3474060822898</v>
      </c>
      <c r="H17" s="285">
        <f>SUM('- 33 -'!B17,'- 33 -'!D17,'- 33 -'!F17)</f>
        <v>391731</v>
      </c>
      <c r="I17" s="291">
        <f>H17/'- 3 -'!D17*100</f>
        <v>2.1828374239675417</v>
      </c>
      <c r="J17" s="285">
        <f>H17/'- 7 -'!E17</f>
        <v>280.3084078711986</v>
      </c>
    </row>
    <row r="18" spans="1:10" ht="14.1" customHeight="1" x14ac:dyDescent="0.2">
      <c r="A18" s="19" t="s">
        <v>116</v>
      </c>
      <c r="B18" s="20">
        <f>SUM('- 30 -'!D18,'- 30 -'!B18,'- 29 -'!F18,'- 29 -'!D18,'- 29 -'!B18)</f>
        <v>11328758</v>
      </c>
      <c r="C18" s="70">
        <f>B18/'- 3 -'!D18*100</f>
        <v>8.8056029859692178</v>
      </c>
      <c r="D18" s="20">
        <f>B18/'- 7 -'!E18</f>
        <v>1858.7274606638339</v>
      </c>
      <c r="E18" s="20">
        <f>SUM('- 32 -'!D18,'- 32 -'!B18,'- 31 -'!F18,'- 31 -'!D18,'- 31 -'!B18)</f>
        <v>22805992</v>
      </c>
      <c r="F18" s="70">
        <f>E18/'- 3 -'!D18*100</f>
        <v>17.726613213309886</v>
      </c>
      <c r="G18" s="20">
        <f>E18/'- 7 -'!E18</f>
        <v>3741.8156163349686</v>
      </c>
      <c r="H18" s="20">
        <f>SUM('- 33 -'!B18,'- 33 -'!D18,'- 33 -'!F18)</f>
        <v>1210239</v>
      </c>
      <c r="I18" s="70">
        <f>H18/'- 3 -'!D18*100</f>
        <v>0.94069307086764486</v>
      </c>
      <c r="J18" s="20">
        <f>H18/'- 7 -'!E18</f>
        <v>198.56585013699979</v>
      </c>
    </row>
    <row r="19" spans="1:10" ht="14.1" customHeight="1" x14ac:dyDescent="0.2">
      <c r="A19" s="284" t="s">
        <v>117</v>
      </c>
      <c r="B19" s="285">
        <f>SUM('- 30 -'!D19,'- 30 -'!B19,'- 29 -'!F19,'- 29 -'!D19,'- 29 -'!B19)</f>
        <v>2848457</v>
      </c>
      <c r="C19" s="291">
        <f>B19/'- 3 -'!D19*100</f>
        <v>6.1719456327620996</v>
      </c>
      <c r="D19" s="285">
        <f>B19/'- 7 -'!E19</f>
        <v>650.18420451951613</v>
      </c>
      <c r="E19" s="285">
        <f>SUM('- 32 -'!D19,'- 32 -'!B19,'- 31 -'!F19,'- 31 -'!D19,'- 31 -'!B19)</f>
        <v>4417369</v>
      </c>
      <c r="F19" s="291">
        <f>E19/'- 3 -'!D19*100</f>
        <v>9.5714140349840928</v>
      </c>
      <c r="G19" s="285">
        <f>E19/'- 7 -'!E19</f>
        <v>1008.3015293312029</v>
      </c>
      <c r="H19" s="285">
        <f>SUM('- 33 -'!B19,'- 33 -'!D19,'- 33 -'!F19)</f>
        <v>805050</v>
      </c>
      <c r="I19" s="291">
        <f>H19/'- 3 -'!D19*100</f>
        <v>1.7443566224293112</v>
      </c>
      <c r="J19" s="285">
        <f>H19/'- 7 -'!E19</f>
        <v>183.75941565852546</v>
      </c>
    </row>
    <row r="20" spans="1:10" ht="14.1" customHeight="1" x14ac:dyDescent="0.2">
      <c r="A20" s="19" t="s">
        <v>118</v>
      </c>
      <c r="B20" s="20">
        <f>SUM('- 30 -'!D20,'- 30 -'!B20,'- 29 -'!F20,'- 29 -'!D20,'- 29 -'!B20)</f>
        <v>3891712</v>
      </c>
      <c r="C20" s="70">
        <f>B20/'- 3 -'!D20*100</f>
        <v>4.7315949433111886</v>
      </c>
      <c r="D20" s="20">
        <f>B20/'- 7 -'!E20</f>
        <v>509.6865955078253</v>
      </c>
      <c r="E20" s="20">
        <f>SUM('- 32 -'!D20,'- 32 -'!B20,'- 31 -'!F20,'- 31 -'!D20,'- 31 -'!B20)</f>
        <v>9168326</v>
      </c>
      <c r="F20" s="70">
        <f>E20/'- 3 -'!D20*100</f>
        <v>11.146972062739611</v>
      </c>
      <c r="G20" s="20">
        <f>E20/'- 7 -'!E20</f>
        <v>1200.7499181455046</v>
      </c>
      <c r="H20" s="20">
        <f>SUM('- 33 -'!B20,'- 33 -'!D20,'- 33 -'!F20)</f>
        <v>1465404</v>
      </c>
      <c r="I20" s="70">
        <f>H20/'- 3 -'!D20*100</f>
        <v>1.7816575728902828</v>
      </c>
      <c r="J20" s="20">
        <f>H20/'- 7 -'!E20</f>
        <v>191.91984807805645</v>
      </c>
    </row>
    <row r="21" spans="1:10" ht="14.1" customHeight="1" x14ac:dyDescent="0.2">
      <c r="A21" s="284" t="s">
        <v>119</v>
      </c>
      <c r="B21" s="285">
        <f>SUM('- 30 -'!D21,'- 30 -'!B21,'- 29 -'!F21,'- 29 -'!D21,'- 29 -'!B21)</f>
        <v>2078914</v>
      </c>
      <c r="C21" s="291">
        <f>B21/'- 3 -'!D21*100</f>
        <v>5.7799182431635741</v>
      </c>
      <c r="D21" s="285">
        <f>B21/'- 7 -'!E21</f>
        <v>758.14667590532804</v>
      </c>
      <c r="E21" s="285">
        <f>SUM('- 32 -'!D21,'- 32 -'!B21,'- 31 -'!F21,'- 31 -'!D21,'- 31 -'!B21)</f>
        <v>3794501</v>
      </c>
      <c r="F21" s="291">
        <f>E21/'- 3 -'!D21*100</f>
        <v>10.549693519598417</v>
      </c>
      <c r="G21" s="285">
        <f>E21/'- 7 -'!E21</f>
        <v>1383.7938076656578</v>
      </c>
      <c r="H21" s="285">
        <f>SUM('- 33 -'!B21,'- 33 -'!D21,'- 33 -'!F21)</f>
        <v>601869</v>
      </c>
      <c r="I21" s="291">
        <f>H21/'- 3 -'!D21*100</f>
        <v>1.6733513811031226</v>
      </c>
      <c r="J21" s="285">
        <f>H21/'- 7 -'!E21</f>
        <v>219.49199518617118</v>
      </c>
    </row>
    <row r="22" spans="1:10" ht="14.1" customHeight="1" x14ac:dyDescent="0.2">
      <c r="A22" s="19" t="s">
        <v>120</v>
      </c>
      <c r="B22" s="20">
        <f>SUM('- 30 -'!D22,'- 30 -'!B22,'- 29 -'!F22,'- 29 -'!D22,'- 29 -'!B22)</f>
        <v>559703</v>
      </c>
      <c r="C22" s="70">
        <f>B22/'- 3 -'!D22*100</f>
        <v>2.788575540771252</v>
      </c>
      <c r="D22" s="20">
        <f>B22/'- 7 -'!E22</f>
        <v>367.35560514570756</v>
      </c>
      <c r="E22" s="20">
        <f>SUM('- 32 -'!D22,'- 32 -'!B22,'- 31 -'!F22,'- 31 -'!D22,'- 31 -'!B22)</f>
        <v>2402452</v>
      </c>
      <c r="F22" s="70">
        <f>E22/'- 3 -'!D22*100</f>
        <v>11.969596169891846</v>
      </c>
      <c r="G22" s="20">
        <f>E22/'- 7 -'!E22</f>
        <v>1576.8259385665531</v>
      </c>
      <c r="H22" s="20">
        <f>SUM('- 33 -'!B22,'- 33 -'!D22,'- 33 -'!F22)</f>
        <v>352225</v>
      </c>
      <c r="I22" s="70">
        <f>H22/'- 3 -'!D22*100</f>
        <v>1.7548700290120907</v>
      </c>
      <c r="J22" s="20">
        <f>H22/'- 7 -'!E22</f>
        <v>231.17944342347073</v>
      </c>
    </row>
    <row r="23" spans="1:10" ht="14.1" customHeight="1" x14ac:dyDescent="0.2">
      <c r="A23" s="284" t="s">
        <v>121</v>
      </c>
      <c r="B23" s="285">
        <f>SUM('- 30 -'!D23,'- 30 -'!B23,'- 29 -'!F23,'- 29 -'!D23,'- 29 -'!B23)</f>
        <v>1711561</v>
      </c>
      <c r="C23" s="291">
        <f>B23/'- 3 -'!D23*100</f>
        <v>9.8949335987767366</v>
      </c>
      <c r="D23" s="285">
        <f>B23/'- 7 -'!E23</f>
        <v>1535.7209510991477</v>
      </c>
      <c r="E23" s="285">
        <f>SUM('- 32 -'!D23,'- 32 -'!B23,'- 31 -'!F23,'- 31 -'!D23,'- 31 -'!B23)</f>
        <v>1527084</v>
      </c>
      <c r="F23" s="291">
        <f>E23/'- 3 -'!D23*100</f>
        <v>8.8284290070610254</v>
      </c>
      <c r="G23" s="285">
        <f>E23/'- 7 -'!E23</f>
        <v>1370.1965006729474</v>
      </c>
      <c r="H23" s="285">
        <f>SUM('- 33 -'!B23,'- 33 -'!D23,'- 33 -'!F23)</f>
        <v>263432</v>
      </c>
      <c r="I23" s="291">
        <f>H23/'- 3 -'!D23*100</f>
        <v>1.5229618738642405</v>
      </c>
      <c r="J23" s="285">
        <f>H23/'- 7 -'!E23</f>
        <v>236.36787797218483</v>
      </c>
    </row>
    <row r="24" spans="1:10" ht="14.1" customHeight="1" x14ac:dyDescent="0.2">
      <c r="A24" s="19" t="s">
        <v>122</v>
      </c>
      <c r="B24" s="20">
        <f>SUM('- 30 -'!D24,'- 30 -'!B24,'- 29 -'!F24,'- 29 -'!D24,'- 29 -'!B24)</f>
        <v>2486717</v>
      </c>
      <c r="C24" s="70">
        <f>B24/'- 3 -'!D24*100</f>
        <v>4.3378433838694068</v>
      </c>
      <c r="D24" s="20">
        <f>B24/'- 7 -'!E24</f>
        <v>629.81966922472964</v>
      </c>
      <c r="E24" s="20">
        <f>SUM('- 32 -'!D24,'- 32 -'!B24,'- 31 -'!F24,'- 31 -'!D24,'- 31 -'!B24)</f>
        <v>6436555</v>
      </c>
      <c r="F24" s="70">
        <f>E24/'- 3 -'!D24*100</f>
        <v>11.227963423928639</v>
      </c>
      <c r="G24" s="20">
        <f>E24/'- 7 -'!E24</f>
        <v>1630.2092039611985</v>
      </c>
      <c r="H24" s="20">
        <f>SUM('- 33 -'!B24,'- 33 -'!D24,'- 33 -'!F24)</f>
        <v>1009248</v>
      </c>
      <c r="I24" s="70">
        <f>H24/'- 3 -'!D24*100</f>
        <v>1.7605379942644988</v>
      </c>
      <c r="J24" s="20">
        <f>H24/'- 7 -'!E24</f>
        <v>255.61583466301951</v>
      </c>
    </row>
    <row r="25" spans="1:10" ht="14.1" customHeight="1" x14ac:dyDescent="0.2">
      <c r="A25" s="284" t="s">
        <v>123</v>
      </c>
      <c r="B25" s="285">
        <f>SUM('- 30 -'!D25,'- 30 -'!B25,'- 29 -'!F25,'- 29 -'!D25,'- 29 -'!B25)</f>
        <v>4141296</v>
      </c>
      <c r="C25" s="291">
        <f>B25/'- 3 -'!D25*100</f>
        <v>2.33504476892913</v>
      </c>
      <c r="D25" s="285">
        <f>B25/'- 7 -'!E25</f>
        <v>288.87589896692919</v>
      </c>
      <c r="E25" s="285">
        <f>SUM('- 32 -'!D25,'- 32 -'!B25,'- 31 -'!F25,'- 31 -'!D25,'- 31 -'!B25)</f>
        <v>19102341</v>
      </c>
      <c r="F25" s="291">
        <f>E25/'- 3 -'!D25*100</f>
        <v>10.770739745806734</v>
      </c>
      <c r="G25" s="285">
        <f>E25/'- 7 -'!E25</f>
        <v>1332.4828577208268</v>
      </c>
      <c r="H25" s="285">
        <f>SUM('- 33 -'!B25,'- 33 -'!D25,'- 33 -'!F25)</f>
        <v>3100156</v>
      </c>
      <c r="I25" s="291">
        <f>H25/'- 3 -'!D25*100</f>
        <v>1.7480042601794841</v>
      </c>
      <c r="J25" s="285">
        <f>H25/'- 7 -'!E25</f>
        <v>216.25122943100888</v>
      </c>
    </row>
    <row r="26" spans="1:10" ht="14.1" customHeight="1" x14ac:dyDescent="0.2">
      <c r="A26" s="19" t="s">
        <v>124</v>
      </c>
      <c r="B26" s="20">
        <f>SUM('- 30 -'!D26,'- 30 -'!B26,'- 29 -'!F26,'- 29 -'!D26,'- 29 -'!B26)</f>
        <v>3133779</v>
      </c>
      <c r="C26" s="70">
        <f>B26/'- 3 -'!D26*100</f>
        <v>7.6457889945720101</v>
      </c>
      <c r="D26" s="20">
        <f>B26/'- 7 -'!E26</f>
        <v>1025.4512434554974</v>
      </c>
      <c r="E26" s="20">
        <f>SUM('- 32 -'!D26,'- 32 -'!B26,'- 31 -'!F26,'- 31 -'!D26,'- 31 -'!B26)</f>
        <v>5251349</v>
      </c>
      <c r="F26" s="70">
        <f>E26/'- 3 -'!D26*100</f>
        <v>12.812232895445636</v>
      </c>
      <c r="G26" s="20">
        <f>E26/'- 7 -'!E26</f>
        <v>1718.3733638743456</v>
      </c>
      <c r="H26" s="20">
        <f>SUM('- 33 -'!B26,'- 33 -'!D26,'- 33 -'!F26)</f>
        <v>755227</v>
      </c>
      <c r="I26" s="70">
        <f>H26/'- 3 -'!D26*100</f>
        <v>1.8426016273016173</v>
      </c>
      <c r="J26" s="20">
        <f>H26/'- 7 -'!E26</f>
        <v>247.12925392670158</v>
      </c>
    </row>
    <row r="27" spans="1:10" ht="14.1" customHeight="1" x14ac:dyDescent="0.2">
      <c r="A27" s="284" t="s">
        <v>125</v>
      </c>
      <c r="B27" s="285">
        <f>SUM('- 30 -'!D27,'- 30 -'!B27,'- 29 -'!F27,'- 29 -'!D27,'- 29 -'!B27)</f>
        <v>308328</v>
      </c>
      <c r="C27" s="291">
        <f>B27/'- 3 -'!D27*100</f>
        <v>0.74391291175356977</v>
      </c>
      <c r="D27" s="285">
        <f>B27/'- 7 -'!E27</f>
        <v>103.19738933980419</v>
      </c>
      <c r="E27" s="285">
        <f>SUM('- 32 -'!D27,'- 32 -'!B27,'- 31 -'!F27,'- 31 -'!D27,'- 31 -'!B27)</f>
        <v>4746879</v>
      </c>
      <c r="F27" s="291">
        <f>E27/'- 3 -'!D27*100</f>
        <v>11.45294808980006</v>
      </c>
      <c r="G27" s="285">
        <f>E27/'- 7 -'!E27</f>
        <v>1588.7805204585388</v>
      </c>
      <c r="H27" s="285">
        <f>SUM('- 33 -'!B27,'- 33 -'!D27,'- 33 -'!F27)</f>
        <v>707708</v>
      </c>
      <c r="I27" s="291">
        <f>H27/'- 3 -'!D27*100</f>
        <v>1.707509921094728</v>
      </c>
      <c r="J27" s="285">
        <f>H27/'- 7 -'!E27</f>
        <v>236.86988536524137</v>
      </c>
    </row>
    <row r="28" spans="1:10" ht="14.1" customHeight="1" x14ac:dyDescent="0.2">
      <c r="A28" s="19" t="s">
        <v>126</v>
      </c>
      <c r="B28" s="20">
        <f>SUM('- 30 -'!D28,'- 30 -'!B28,'- 29 -'!F28,'- 29 -'!D28,'- 29 -'!B28)</f>
        <v>1900910</v>
      </c>
      <c r="C28" s="70">
        <f>B28/'- 3 -'!D28*100</f>
        <v>6.7392691556487163</v>
      </c>
      <c r="D28" s="20">
        <f>B28/'- 7 -'!E28</f>
        <v>968.36984207845137</v>
      </c>
      <c r="E28" s="20">
        <f>SUM('- 32 -'!D28,'- 32 -'!B28,'- 31 -'!F28,'- 31 -'!D28,'- 31 -'!B28)</f>
        <v>3291494</v>
      </c>
      <c r="F28" s="70">
        <f>E28/'- 3 -'!D28*100</f>
        <v>11.669286810108218</v>
      </c>
      <c r="G28" s="20">
        <f>E28/'- 7 -'!E28</f>
        <v>1676.7671930718288</v>
      </c>
      <c r="H28" s="20">
        <f>SUM('- 33 -'!B28,'- 33 -'!D28,'- 33 -'!F28)</f>
        <v>451417</v>
      </c>
      <c r="I28" s="70">
        <f>H28/'- 3 -'!D28*100</f>
        <v>1.6004022623035685</v>
      </c>
      <c r="J28" s="20">
        <f>H28/'- 7 -'!E28</f>
        <v>229.96281202241468</v>
      </c>
    </row>
    <row r="29" spans="1:10" ht="14.1" customHeight="1" x14ac:dyDescent="0.2">
      <c r="A29" s="284" t="s">
        <v>127</v>
      </c>
      <c r="B29" s="285">
        <f>SUM('- 30 -'!D29,'- 30 -'!B29,'- 29 -'!F29,'- 29 -'!D29,'- 29 -'!B29)</f>
        <v>3040550</v>
      </c>
      <c r="C29" s="291">
        <f>B29/'- 3 -'!D29*100</f>
        <v>1.908817036545652</v>
      </c>
      <c r="D29" s="285">
        <f>B29/'- 7 -'!E29</f>
        <v>232.41530606005014</v>
      </c>
      <c r="E29" s="285">
        <f>SUM('- 32 -'!D29,'- 32 -'!B29,'- 31 -'!F29,'- 31 -'!D29,'- 31 -'!B29)</f>
        <v>19580801</v>
      </c>
      <c r="F29" s="291">
        <f>E29/'- 3 -'!D29*100</f>
        <v>12.292567640068455</v>
      </c>
      <c r="G29" s="285">
        <f>E29/'- 7 -'!E29</f>
        <v>1496.7285054730019</v>
      </c>
      <c r="H29" s="285">
        <f>SUM('- 33 -'!B29,'- 33 -'!D29,'- 33 -'!F29)</f>
        <v>2721212</v>
      </c>
      <c r="I29" s="291">
        <f>H29/'- 3 -'!D29*100</f>
        <v>1.7083408678207783</v>
      </c>
      <c r="J29" s="285">
        <f>H29/'- 7 -'!E29</f>
        <v>208.00556472818442</v>
      </c>
    </row>
    <row r="30" spans="1:10" ht="14.1" customHeight="1" x14ac:dyDescent="0.2">
      <c r="A30" s="19" t="s">
        <v>128</v>
      </c>
      <c r="B30" s="20">
        <f>SUM('- 30 -'!D30,'- 30 -'!B30,'- 29 -'!F30,'- 29 -'!D30,'- 29 -'!B30)</f>
        <v>1123806</v>
      </c>
      <c r="C30" s="70">
        <f>B30/'- 3 -'!D30*100</f>
        <v>7.9693057848426578</v>
      </c>
      <c r="D30" s="20">
        <f>B30/'- 7 -'!E30</f>
        <v>1124.7700886474122</v>
      </c>
      <c r="E30" s="20">
        <f>SUM('- 32 -'!D30,'- 32 -'!B30,'- 31 -'!F30,'- 31 -'!D30,'- 31 -'!B30)</f>
        <v>1557422</v>
      </c>
      <c r="F30" s="70">
        <f>E30/'- 3 -'!D30*100</f>
        <v>11.044230191012701</v>
      </c>
      <c r="G30" s="20">
        <f>E30/'- 7 -'!E30</f>
        <v>1558.758078352874</v>
      </c>
      <c r="H30" s="20">
        <f>SUM('- 33 -'!B30,'- 33 -'!D30,'- 33 -'!F30)</f>
        <v>242102</v>
      </c>
      <c r="I30" s="70">
        <f>H30/'- 3 -'!D30*100</f>
        <v>1.7168309024173007</v>
      </c>
      <c r="J30" s="20">
        <f>H30/'- 7 -'!E30</f>
        <v>242.30969402344869</v>
      </c>
    </row>
    <row r="31" spans="1:10" ht="14.1" customHeight="1" x14ac:dyDescent="0.2">
      <c r="A31" s="284" t="s">
        <v>129</v>
      </c>
      <c r="B31" s="285">
        <f>SUM('- 30 -'!D31,'- 30 -'!B31,'- 29 -'!F31,'- 29 -'!D31,'- 29 -'!B31)</f>
        <v>1080237</v>
      </c>
      <c r="C31" s="291">
        <f>B31/'- 3 -'!D31*100</f>
        <v>2.8791386867344801</v>
      </c>
      <c r="D31" s="285">
        <f>B31/'- 7 -'!E31</f>
        <v>332.07408545957577</v>
      </c>
      <c r="E31" s="285">
        <f>SUM('- 32 -'!D31,'- 32 -'!B31,'- 31 -'!F31,'- 31 -'!D31,'- 31 -'!B31)</f>
        <v>4025978</v>
      </c>
      <c r="F31" s="291">
        <f>E31/'- 3 -'!D31*100</f>
        <v>10.730375845061694</v>
      </c>
      <c r="G31" s="285">
        <f>E31/'- 7 -'!E31</f>
        <v>1237.6200430371964</v>
      </c>
      <c r="H31" s="285">
        <f>SUM('- 33 -'!B31,'- 33 -'!D31,'- 33 -'!F31)</f>
        <v>644206</v>
      </c>
      <c r="I31" s="291">
        <f>H31/'- 3 -'!D31*100</f>
        <v>1.7169921200870482</v>
      </c>
      <c r="J31" s="285">
        <f>H31/'- 7 -'!E31</f>
        <v>198.03442975714725</v>
      </c>
    </row>
    <row r="32" spans="1:10" ht="14.1" customHeight="1" x14ac:dyDescent="0.2">
      <c r="A32" s="19" t="s">
        <v>130</v>
      </c>
      <c r="B32" s="20">
        <f>SUM('- 30 -'!D32,'- 30 -'!B32,'- 29 -'!F32,'- 29 -'!D32,'- 29 -'!B32)</f>
        <v>2204771</v>
      </c>
      <c r="C32" s="70">
        <f>B32/'- 3 -'!D32*100</f>
        <v>7.5255556698254189</v>
      </c>
      <c r="D32" s="20">
        <f>B32/'- 7 -'!E32</f>
        <v>1023.9508638305779</v>
      </c>
      <c r="E32" s="20">
        <f>SUM('- 32 -'!D32,'- 32 -'!B32,'- 31 -'!F32,'- 31 -'!D32,'- 31 -'!B32)</f>
        <v>2907828</v>
      </c>
      <c r="F32" s="70">
        <f>E32/'- 3 -'!D32*100</f>
        <v>9.9253035767783171</v>
      </c>
      <c r="G32" s="20">
        <f>E32/'- 7 -'!E32</f>
        <v>1350.4681404421328</v>
      </c>
      <c r="H32" s="20">
        <f>SUM('- 33 -'!B32,'- 33 -'!D32,'- 33 -'!F32)</f>
        <v>556416</v>
      </c>
      <c r="I32" s="70">
        <f>H32/'- 3 -'!D32*100</f>
        <v>1.8992174623040579</v>
      </c>
      <c r="J32" s="20">
        <f>H32/'- 7 -'!E32</f>
        <v>258.41352405721716</v>
      </c>
    </row>
    <row r="33" spans="1:10" ht="14.1" customHeight="1" x14ac:dyDescent="0.2">
      <c r="A33" s="284" t="s">
        <v>131</v>
      </c>
      <c r="B33" s="285">
        <f>SUM('- 30 -'!D33,'- 30 -'!B33,'- 29 -'!F33,'- 29 -'!D33,'- 29 -'!B33)</f>
        <v>2280727</v>
      </c>
      <c r="C33" s="291">
        <f>B33/'- 3 -'!D33*100</f>
        <v>8.2000079313383392</v>
      </c>
      <c r="D33" s="285">
        <f>B33/'- 7 -'!E33</f>
        <v>1129.3523149294381</v>
      </c>
      <c r="E33" s="285">
        <f>SUM('- 32 -'!D33,'- 32 -'!B33,'- 31 -'!F33,'- 31 -'!D33,'- 31 -'!B33)</f>
        <v>3336896</v>
      </c>
      <c r="F33" s="291">
        <f>E33/'- 3 -'!D33*100</f>
        <v>11.997303344964646</v>
      </c>
      <c r="G33" s="285">
        <f>E33/'- 7 -'!E33</f>
        <v>1652.3377073533052</v>
      </c>
      <c r="H33" s="285">
        <f>SUM('- 33 -'!B33,'- 33 -'!D33,'- 33 -'!F33)</f>
        <v>480013</v>
      </c>
      <c r="I33" s="291">
        <f>H33/'- 3 -'!D33*100</f>
        <v>1.7258139212389341</v>
      </c>
      <c r="J33" s="285">
        <f>H33/'- 7 -'!E33</f>
        <v>237.68903193859867</v>
      </c>
    </row>
    <row r="34" spans="1:10" ht="14.1" customHeight="1" x14ac:dyDescent="0.2">
      <c r="A34" s="19" t="s">
        <v>132</v>
      </c>
      <c r="B34" s="20">
        <f>SUM('- 30 -'!D34,'- 30 -'!B34,'- 29 -'!F34,'- 29 -'!D34,'- 29 -'!B34)</f>
        <v>2787248</v>
      </c>
      <c r="C34" s="70">
        <f>B34/'- 3 -'!D34*100</f>
        <v>9.584675567139131</v>
      </c>
      <c r="D34" s="20">
        <f>B34/'- 7 -'!E34</f>
        <v>1369.7223450783822</v>
      </c>
      <c r="E34" s="20">
        <f>SUM('- 32 -'!D34,'- 32 -'!B34,'- 31 -'!F34,'- 31 -'!D34,'- 31 -'!B34)</f>
        <v>2795968</v>
      </c>
      <c r="F34" s="70">
        <f>E34/'- 3 -'!D34*100</f>
        <v>9.6146615500676162</v>
      </c>
      <c r="G34" s="20">
        <f>E34/'- 7 -'!E34</f>
        <v>1374.0075679394565</v>
      </c>
      <c r="H34" s="20">
        <f>SUM('- 33 -'!B34,'- 33 -'!D34,'- 33 -'!F34)</f>
        <v>547011</v>
      </c>
      <c r="I34" s="70">
        <f>H34/'- 3 -'!D34*100</f>
        <v>1.8810392784052024</v>
      </c>
      <c r="J34" s="20">
        <f>H34/'- 7 -'!E34</f>
        <v>268.81468376824415</v>
      </c>
    </row>
    <row r="35" spans="1:10" ht="14.1" customHeight="1" x14ac:dyDescent="0.2">
      <c r="A35" s="284" t="s">
        <v>133</v>
      </c>
      <c r="B35" s="285">
        <f>SUM('- 30 -'!D35,'- 30 -'!B35,'- 29 -'!F35,'- 29 -'!D35,'- 29 -'!B35)</f>
        <v>4713708</v>
      </c>
      <c r="C35" s="291">
        <f>B35/'- 3 -'!D35*100</f>
        <v>2.5582944226242352</v>
      </c>
      <c r="D35" s="285">
        <f>B35/'- 7 -'!E35</f>
        <v>302.0058944131215</v>
      </c>
      <c r="E35" s="285">
        <f>SUM('- 32 -'!D35,'- 32 -'!B35,'- 31 -'!F35,'- 31 -'!D35,'- 31 -'!B35)</f>
        <v>20813874</v>
      </c>
      <c r="F35" s="291">
        <f>E35/'- 3 -'!D35*100</f>
        <v>11.296418396600634</v>
      </c>
      <c r="G35" s="285">
        <f>E35/'- 7 -'!E35</f>
        <v>1333.5388262429524</v>
      </c>
      <c r="H35" s="285">
        <f>SUM('- 33 -'!B35,'- 33 -'!D35,'- 33 -'!F35)</f>
        <v>3225567</v>
      </c>
      <c r="I35" s="291">
        <f>H35/'- 3 -'!D35*100</f>
        <v>1.7506281818688783</v>
      </c>
      <c r="J35" s="285">
        <f>H35/'- 7 -'!E35</f>
        <v>206.66113531522296</v>
      </c>
    </row>
    <row r="36" spans="1:10" ht="14.1" customHeight="1" x14ac:dyDescent="0.2">
      <c r="A36" s="19" t="s">
        <v>134</v>
      </c>
      <c r="B36" s="20">
        <f>SUM('- 30 -'!D36,'- 30 -'!B36,'- 29 -'!F36,'- 29 -'!D36,'- 29 -'!B36)</f>
        <v>1592667</v>
      </c>
      <c r="C36" s="70">
        <f>B36/'- 3 -'!D36*100</f>
        <v>6.7940202510106991</v>
      </c>
      <c r="D36" s="20">
        <f>B36/'- 7 -'!E36</f>
        <v>955.12263868065963</v>
      </c>
      <c r="E36" s="20">
        <f>SUM('- 32 -'!D36,'- 32 -'!B36,'- 31 -'!F36,'- 31 -'!D36,'- 31 -'!B36)</f>
        <v>3038043</v>
      </c>
      <c r="F36" s="70">
        <f>E36/'- 3 -'!D36*100</f>
        <v>12.959724578610155</v>
      </c>
      <c r="G36" s="20">
        <f>E36/'- 7 -'!E36</f>
        <v>1821.9148425787107</v>
      </c>
      <c r="H36" s="20">
        <f>SUM('- 33 -'!B36,'- 33 -'!D36,'- 33 -'!F36)</f>
        <v>422317</v>
      </c>
      <c r="I36" s="70">
        <f>H36/'- 3 -'!D36*100</f>
        <v>1.8015255231294964</v>
      </c>
      <c r="J36" s="20">
        <f>H36/'- 7 -'!E36</f>
        <v>253.26356821589206</v>
      </c>
    </row>
    <row r="37" spans="1:10" ht="14.1" customHeight="1" x14ac:dyDescent="0.2">
      <c r="A37" s="284" t="s">
        <v>135</v>
      </c>
      <c r="B37" s="285">
        <f>SUM('- 30 -'!D37,'- 30 -'!B37,'- 29 -'!F37,'- 29 -'!D37,'- 29 -'!B37)</f>
        <v>3171465</v>
      </c>
      <c r="C37" s="291">
        <f>B37/'- 3 -'!D37*100</f>
        <v>6.3191510346565876</v>
      </c>
      <c r="D37" s="285">
        <f>B37/'- 7 -'!E37</f>
        <v>758.17953621802531</v>
      </c>
      <c r="E37" s="285">
        <f>SUM('- 32 -'!D37,'- 32 -'!B37,'- 31 -'!F37,'- 31 -'!D37,'- 31 -'!B37)</f>
        <v>5071713</v>
      </c>
      <c r="F37" s="291">
        <f>E37/'- 3 -'!D37*100</f>
        <v>10.105399382125063</v>
      </c>
      <c r="G37" s="285">
        <f>E37/'- 7 -'!E37</f>
        <v>1212.458283528568</v>
      </c>
      <c r="H37" s="285">
        <f>SUM('- 33 -'!B37,'- 33 -'!D37,'- 33 -'!F37)</f>
        <v>884033</v>
      </c>
      <c r="I37" s="291">
        <f>H37/'- 3 -'!D37*100</f>
        <v>1.761437709897655</v>
      </c>
      <c r="J37" s="285">
        <f>H37/'- 7 -'!E37</f>
        <v>211.33946928042076</v>
      </c>
    </row>
    <row r="38" spans="1:10" ht="14.1" customHeight="1" x14ac:dyDescent="0.2">
      <c r="A38" s="19" t="s">
        <v>136</v>
      </c>
      <c r="B38" s="20">
        <f>SUM('- 30 -'!D38,'- 30 -'!B38,'- 29 -'!F38,'- 29 -'!D38,'- 29 -'!B38)</f>
        <v>3978464</v>
      </c>
      <c r="C38" s="70">
        <f>B38/'- 3 -'!D38*100</f>
        <v>2.9321284501592024</v>
      </c>
      <c r="D38" s="20">
        <f>B38/'- 7 -'!E38</f>
        <v>361.88251559970166</v>
      </c>
      <c r="E38" s="20">
        <f>SUM('- 32 -'!D38,'- 32 -'!B38,'- 31 -'!F38,'- 31 -'!D38,'- 31 -'!B38)</f>
        <v>12598081</v>
      </c>
      <c r="F38" s="70">
        <f>E38/'- 3 -'!D38*100</f>
        <v>9.2847872237904117</v>
      </c>
      <c r="G38" s="20">
        <f>E38/'- 7 -'!E38</f>
        <v>1145.925976459459</v>
      </c>
      <c r="H38" s="20">
        <f>SUM('- 33 -'!B38,'- 33 -'!D38,'- 33 -'!F38)</f>
        <v>2335212</v>
      </c>
      <c r="I38" s="70">
        <f>H38/'- 3 -'!D38*100</f>
        <v>1.7210515270097131</v>
      </c>
      <c r="J38" s="20">
        <f>H38/'- 7 -'!E38</f>
        <v>212.41172297112919</v>
      </c>
    </row>
    <row r="39" spans="1:10" ht="14.1" customHeight="1" x14ac:dyDescent="0.2">
      <c r="A39" s="284" t="s">
        <v>137</v>
      </c>
      <c r="B39" s="285">
        <f>SUM('- 30 -'!D39,'- 30 -'!B39,'- 29 -'!F39,'- 29 -'!D39,'- 29 -'!B39)</f>
        <v>1918846</v>
      </c>
      <c r="C39" s="291">
        <f>B39/'- 3 -'!D39*100</f>
        <v>8.9431728309678782</v>
      </c>
      <c r="D39" s="285">
        <f>B39/'- 7 -'!E39</f>
        <v>1279.2306666666666</v>
      </c>
      <c r="E39" s="285">
        <f>SUM('- 32 -'!D39,'- 32 -'!B39,'- 31 -'!F39,'- 31 -'!D39,'- 31 -'!B39)</f>
        <v>2369891</v>
      </c>
      <c r="F39" s="291">
        <f>E39/'- 3 -'!D39*100</f>
        <v>11.045359973419073</v>
      </c>
      <c r="G39" s="285">
        <f>E39/'- 7 -'!E39</f>
        <v>1579.9273333333333</v>
      </c>
      <c r="H39" s="285">
        <f>SUM('- 33 -'!B39,'- 33 -'!D39,'- 33 -'!F39)</f>
        <v>387855</v>
      </c>
      <c r="I39" s="291">
        <f>H39/'- 3 -'!D39*100</f>
        <v>1.8076772697522607</v>
      </c>
      <c r="J39" s="285">
        <f>H39/'- 7 -'!E39</f>
        <v>258.57</v>
      </c>
    </row>
    <row r="40" spans="1:10" ht="14.1" customHeight="1" x14ac:dyDescent="0.2">
      <c r="A40" s="19" t="s">
        <v>138</v>
      </c>
      <c r="B40" s="20">
        <f>SUM('- 30 -'!D40,'- 30 -'!B40,'- 29 -'!F40,'- 29 -'!D40,'- 29 -'!B40)</f>
        <v>2560230</v>
      </c>
      <c r="C40" s="70">
        <f>B40/'- 3 -'!D40*100</f>
        <v>2.4536457157084817</v>
      </c>
      <c r="D40" s="20">
        <f>B40/'- 7 -'!E40</f>
        <v>309.9401966006489</v>
      </c>
      <c r="E40" s="20">
        <f>SUM('- 32 -'!D40,'- 32 -'!B40,'- 31 -'!F40,'- 31 -'!D40,'- 31 -'!B40)</f>
        <v>10473510</v>
      </c>
      <c r="F40" s="70">
        <f>E40/'- 3 -'!D40*100</f>
        <v>10.037489967670851</v>
      </c>
      <c r="G40" s="20">
        <f>E40/'- 7 -'!E40</f>
        <v>1267.9180184978936</v>
      </c>
      <c r="H40" s="20">
        <f>SUM('- 33 -'!B40,'- 33 -'!D40,'- 33 -'!F40)</f>
        <v>1820278</v>
      </c>
      <c r="I40" s="70">
        <f>H40/'- 3 -'!D40*100</f>
        <v>1.7444984693165866</v>
      </c>
      <c r="J40" s="20">
        <f>H40/'- 7 -'!E40</f>
        <v>220.36196794344102</v>
      </c>
    </row>
    <row r="41" spans="1:10" ht="14.1" customHeight="1" x14ac:dyDescent="0.2">
      <c r="A41" s="284" t="s">
        <v>139</v>
      </c>
      <c r="B41" s="285">
        <f>SUM('- 30 -'!D41,'- 30 -'!B41,'- 29 -'!F41,'- 29 -'!D41,'- 29 -'!B41)</f>
        <v>5201417</v>
      </c>
      <c r="C41" s="291">
        <f>B41/'- 3 -'!D41*100</f>
        <v>8.3036158174376506</v>
      </c>
      <c r="D41" s="285">
        <f>B41/'- 7 -'!E41</f>
        <v>1166.6293596501066</v>
      </c>
      <c r="E41" s="285">
        <f>SUM('- 32 -'!D41,'- 32 -'!B41,'- 31 -'!F41,'- 31 -'!D41,'- 31 -'!B41)</f>
        <v>6215940</v>
      </c>
      <c r="F41" s="291">
        <f>E41/'- 3 -'!D41*100</f>
        <v>9.9232147132682087</v>
      </c>
      <c r="G41" s="285">
        <f>E41/'- 7 -'!E41</f>
        <v>1394.1774139284512</v>
      </c>
      <c r="H41" s="285">
        <f>SUM('- 33 -'!B41,'- 33 -'!D41,'- 33 -'!F41)</f>
        <v>1170348</v>
      </c>
      <c r="I41" s="291">
        <f>H41/'- 3 -'!D41*100</f>
        <v>1.8683601343069629</v>
      </c>
      <c r="J41" s="285">
        <f>H41/'- 7 -'!E41</f>
        <v>262.49814960188405</v>
      </c>
    </row>
    <row r="42" spans="1:10" ht="14.1" customHeight="1" x14ac:dyDescent="0.2">
      <c r="A42" s="19" t="s">
        <v>140</v>
      </c>
      <c r="B42" s="20">
        <f>SUM('- 30 -'!D42,'- 30 -'!B42,'- 29 -'!F42,'- 29 -'!D42,'- 29 -'!B42)</f>
        <v>1648590</v>
      </c>
      <c r="C42" s="70">
        <f>B42/'- 3 -'!D42*100</f>
        <v>8.1366921238849734</v>
      </c>
      <c r="D42" s="20">
        <f>B42/'- 7 -'!E42</f>
        <v>1195.8436094588715</v>
      </c>
      <c r="E42" s="20">
        <f>SUM('- 32 -'!D42,'- 32 -'!B42,'- 31 -'!F42,'- 31 -'!D42,'- 31 -'!B42)</f>
        <v>2556964</v>
      </c>
      <c r="F42" s="70">
        <f>E42/'- 3 -'!D42*100</f>
        <v>12.620013975492645</v>
      </c>
      <c r="G42" s="20">
        <f>E42/'- 7 -'!E42</f>
        <v>1854.7540983606559</v>
      </c>
      <c r="H42" s="20">
        <f>SUM('- 33 -'!B42,'- 33 -'!D42,'- 33 -'!F42)</f>
        <v>324735</v>
      </c>
      <c r="I42" s="70">
        <f>H42/'- 3 -'!D42*100</f>
        <v>1.602744598019997</v>
      </c>
      <c r="J42" s="20">
        <f>H42/'- 7 -'!E42</f>
        <v>235.55418540548385</v>
      </c>
    </row>
    <row r="43" spans="1:10" ht="14.1" customHeight="1" x14ac:dyDescent="0.2">
      <c r="A43" s="284" t="s">
        <v>141</v>
      </c>
      <c r="B43" s="285">
        <f>SUM('- 30 -'!D43,'- 30 -'!B43,'- 29 -'!F43,'- 29 -'!D43,'- 29 -'!B43)</f>
        <v>1178040</v>
      </c>
      <c r="C43" s="291">
        <f>B43/'- 3 -'!D43*100</f>
        <v>8.892442390177159</v>
      </c>
      <c r="D43" s="285">
        <f>B43/'- 7 -'!E43</f>
        <v>1223.683390464319</v>
      </c>
      <c r="E43" s="285">
        <f>SUM('- 32 -'!D43,'- 32 -'!B43,'- 31 -'!F43,'- 31 -'!D43,'- 31 -'!B43)</f>
        <v>1043819</v>
      </c>
      <c r="F43" s="291">
        <f>E43/'- 3 -'!D43*100</f>
        <v>7.8792743228348199</v>
      </c>
      <c r="G43" s="285">
        <f>E43/'- 7 -'!E43</f>
        <v>1084.2619715383817</v>
      </c>
      <c r="H43" s="285">
        <f>SUM('- 33 -'!B43,'- 33 -'!D43,'- 33 -'!F43)</f>
        <v>274401</v>
      </c>
      <c r="I43" s="291">
        <f>H43/'- 3 -'!D43*100</f>
        <v>2.0713176838706686</v>
      </c>
      <c r="J43" s="285">
        <f>H43/'- 7 -'!E43</f>
        <v>285.03272047366778</v>
      </c>
    </row>
    <row r="44" spans="1:10" ht="14.1" customHeight="1" x14ac:dyDescent="0.2">
      <c r="A44" s="19" t="s">
        <v>142</v>
      </c>
      <c r="B44" s="20">
        <f>SUM('- 30 -'!D44,'- 30 -'!B44,'- 29 -'!F44,'- 29 -'!D44,'- 29 -'!B44)</f>
        <v>1056929</v>
      </c>
      <c r="C44" s="70">
        <f>B44/'- 3 -'!D44*100</f>
        <v>9.7787440603092044</v>
      </c>
      <c r="D44" s="20">
        <f>B44/'- 7 -'!E44</f>
        <v>1524.0504686373467</v>
      </c>
      <c r="E44" s="20">
        <f>SUM('- 32 -'!D44,'- 32 -'!B44,'- 31 -'!F44,'- 31 -'!D44,'- 31 -'!B44)</f>
        <v>1133189</v>
      </c>
      <c r="F44" s="70">
        <f>E44/'- 3 -'!D44*100</f>
        <v>10.484304246508259</v>
      </c>
      <c r="G44" s="20">
        <f>E44/'- 7 -'!E44</f>
        <v>1634.0144196106705</v>
      </c>
      <c r="H44" s="20">
        <f>SUM('- 33 -'!B44,'- 33 -'!D44,'- 33 -'!F44)</f>
        <v>168441</v>
      </c>
      <c r="I44" s="70">
        <f>H44/'- 3 -'!D44*100</f>
        <v>1.55842202102747</v>
      </c>
      <c r="J44" s="20">
        <f>H44/'- 7 -'!E44</f>
        <v>242.88536409516942</v>
      </c>
    </row>
    <row r="45" spans="1:10" ht="14.1" customHeight="1" x14ac:dyDescent="0.2">
      <c r="A45" s="284" t="s">
        <v>143</v>
      </c>
      <c r="B45" s="285">
        <f>SUM('- 30 -'!D45,'- 30 -'!B45,'- 29 -'!F45,'- 29 -'!D45,'- 29 -'!B45)</f>
        <v>823903</v>
      </c>
      <c r="C45" s="291">
        <f>B45/'- 3 -'!D45*100</f>
        <v>4.2774815376906066</v>
      </c>
      <c r="D45" s="285">
        <f>B45/'- 7 -'!E45</f>
        <v>488.96320474777445</v>
      </c>
      <c r="E45" s="285">
        <f>SUM('- 32 -'!D45,'- 32 -'!B45,'- 31 -'!F45,'- 31 -'!D45,'- 31 -'!B45)</f>
        <v>1889874</v>
      </c>
      <c r="F45" s="291">
        <f>E45/'- 3 -'!D45*100</f>
        <v>9.811714660052818</v>
      </c>
      <c r="G45" s="285">
        <f>E45/'- 7 -'!E45</f>
        <v>1121.5869436201781</v>
      </c>
      <c r="H45" s="285">
        <f>SUM('- 33 -'!B45,'- 33 -'!D45,'- 33 -'!F45)</f>
        <v>350948</v>
      </c>
      <c r="I45" s="291">
        <f>H45/'- 3 -'!D45*100</f>
        <v>1.822027096259442</v>
      </c>
      <c r="J45" s="285">
        <f>H45/'- 7 -'!E45</f>
        <v>208.27774480712165</v>
      </c>
    </row>
    <row r="46" spans="1:10" ht="14.1" customHeight="1" x14ac:dyDescent="0.2">
      <c r="A46" s="19" t="s">
        <v>144</v>
      </c>
      <c r="B46" s="20">
        <f>SUM('- 30 -'!D46,'- 30 -'!B46,'- 29 -'!F46,'- 29 -'!D46,'- 29 -'!B46)</f>
        <v>6928384</v>
      </c>
      <c r="C46" s="70">
        <f>B46/'- 3 -'!D46*100</f>
        <v>1.7707589184474797</v>
      </c>
      <c r="D46" s="20">
        <f>B46/'- 7 -'!E46</f>
        <v>231.88138826600621</v>
      </c>
      <c r="E46" s="20">
        <f>SUM('- 32 -'!D46,'- 32 -'!B46,'- 31 -'!F46,'- 31 -'!D46,'- 31 -'!B46)</f>
        <v>46485414</v>
      </c>
      <c r="F46" s="70">
        <f>E46/'- 3 -'!D46*100</f>
        <v>11.880759123371817</v>
      </c>
      <c r="G46" s="20">
        <f>E46/'- 7 -'!E46</f>
        <v>1555.7888148867098</v>
      </c>
      <c r="H46" s="20">
        <f>SUM('- 33 -'!B46,'- 33 -'!D46,'- 33 -'!F46)</f>
        <v>6967503</v>
      </c>
      <c r="I46" s="70">
        <f>H46/'- 3 -'!D46*100</f>
        <v>1.7807569667846888</v>
      </c>
      <c r="J46" s="20">
        <f>H46/'- 7 -'!E46</f>
        <v>233.1906355634392</v>
      </c>
    </row>
    <row r="47" spans="1:10" ht="5.0999999999999996" customHeight="1" x14ac:dyDescent="0.2">
      <c r="A47" s="21"/>
      <c r="B47" s="22"/>
      <c r="C47"/>
      <c r="D47"/>
      <c r="E47"/>
      <c r="F47"/>
      <c r="G47"/>
      <c r="H47"/>
      <c r="I47"/>
      <c r="J47"/>
    </row>
    <row r="48" spans="1:10" ht="14.1" customHeight="1" x14ac:dyDescent="0.2">
      <c r="A48" s="286" t="s">
        <v>145</v>
      </c>
      <c r="B48" s="287">
        <f>SUM(B11:B46)</f>
        <v>99838688</v>
      </c>
      <c r="C48" s="294">
        <f>B48/'- 3 -'!D48*100</f>
        <v>4.3540409414591519</v>
      </c>
      <c r="D48" s="287">
        <f>B48/'- 7 -'!E48</f>
        <v>567.14480969658973</v>
      </c>
      <c r="E48" s="287">
        <f>SUM(E11:E46)</f>
        <v>260715813</v>
      </c>
      <c r="F48" s="294">
        <f>E48/'- 3 -'!D48*100</f>
        <v>11.370014436565995</v>
      </c>
      <c r="G48" s="287">
        <f>E48/'- 7 -'!E48</f>
        <v>1481.02527297611</v>
      </c>
      <c r="H48" s="287">
        <f>SUM(H11:H46)</f>
        <v>39018587</v>
      </c>
      <c r="I48" s="294">
        <f>H48/'- 3 -'!D48*100</f>
        <v>1.7016301864452168</v>
      </c>
      <c r="J48" s="287">
        <f>H48/'- 7 -'!E48</f>
        <v>221.64943812908311</v>
      </c>
    </row>
    <row r="49" spans="1:10" ht="5.0999999999999996" customHeight="1" x14ac:dyDescent="0.2">
      <c r="A49" s="21" t="s">
        <v>7</v>
      </c>
      <c r="B49" s="22"/>
      <c r="C49"/>
      <c r="D49"/>
      <c r="E49"/>
      <c r="F49"/>
      <c r="G49"/>
      <c r="H49"/>
      <c r="I49"/>
      <c r="J49"/>
    </row>
    <row r="50" spans="1:10" ht="14.1" customHeight="1" x14ac:dyDescent="0.2">
      <c r="A50" s="284" t="s">
        <v>146</v>
      </c>
      <c r="B50" s="285">
        <f>SUM('- 30 -'!D50,'- 30 -'!B50,'- 29 -'!F50,'- 29 -'!D50,'- 29 -'!B50)</f>
        <v>44486</v>
      </c>
      <c r="C50" s="291">
        <f>B50/'- 3 -'!D50*100</f>
        <v>1.3873339275278163</v>
      </c>
      <c r="D50" s="285">
        <f>B50/'- 7 -'!E50</f>
        <v>287.00645161290322</v>
      </c>
      <c r="E50" s="285">
        <f>SUM('- 32 -'!D50,'- 32 -'!B50,'- 31 -'!F50,'- 31 -'!D50,'- 31 -'!B50)</f>
        <v>433211</v>
      </c>
      <c r="F50" s="291">
        <f>E50/'- 3 -'!D50*100</f>
        <v>13.510055255097173</v>
      </c>
      <c r="G50" s="285">
        <f>E50/'- 7 -'!E50</f>
        <v>2794.9096774193549</v>
      </c>
      <c r="H50" s="285">
        <f>SUM('- 33 -'!B50,'- 33 -'!D50,'- 33 -'!F50)</f>
        <v>43864</v>
      </c>
      <c r="I50" s="291">
        <f>H50/'- 3 -'!D50*100</f>
        <v>1.3679363259695214</v>
      </c>
      <c r="J50" s="285">
        <f>H50/'- 7 -'!E50</f>
        <v>282.99354838709678</v>
      </c>
    </row>
    <row r="51" spans="1:10" ht="14.1" customHeight="1" x14ac:dyDescent="0.2">
      <c r="A51" s="19" t="s">
        <v>609</v>
      </c>
      <c r="B51" s="20">
        <f>SUM('- 30 -'!D51,'- 30 -'!B51,'- 29 -'!F51,'- 29 -'!D51,'- 29 -'!B51)</f>
        <v>0</v>
      </c>
      <c r="C51" s="70">
        <f>B51/'- 3 -'!D51*100</f>
        <v>0</v>
      </c>
      <c r="D51" s="20">
        <f>B51/'- 7 -'!E51</f>
        <v>0</v>
      </c>
      <c r="E51" s="20">
        <f>SUM('- 32 -'!D51,'- 32 -'!B51,'- 31 -'!F51,'- 31 -'!D51,'- 31 -'!B51)</f>
        <v>3790957</v>
      </c>
      <c r="F51" s="70">
        <f>E51/'- 3 -'!D51*100</f>
        <v>13.06458399235677</v>
      </c>
      <c r="G51" s="20">
        <f>E51/'- 7 -'!E51</f>
        <v>3205.8832980972516</v>
      </c>
      <c r="H51" s="20">
        <f>SUM('- 33 -'!B51,'- 33 -'!D51,'- 33 -'!F51)</f>
        <v>534275</v>
      </c>
      <c r="I51" s="70">
        <f>H51/'- 3 -'!D51*100</f>
        <v>1.8412449976394913</v>
      </c>
      <c r="J51" s="20">
        <f>H51/'- 7 -'!E51</f>
        <v>451.81818181818181</v>
      </c>
    </row>
    <row r="52" spans="1:10" ht="50.1" customHeight="1" x14ac:dyDescent="0.2"/>
  </sheetData>
  <mergeCells count="6">
    <mergeCell ref="D8:D9"/>
    <mergeCell ref="G8:G9"/>
    <mergeCell ref="J8:J9"/>
    <mergeCell ref="B6:D7"/>
    <mergeCell ref="E6:G7"/>
    <mergeCell ref="H7: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G52"/>
  <sheetViews>
    <sheetView showGridLines="0" showZeros="0" workbookViewId="0"/>
  </sheetViews>
  <sheetFormatPr defaultColWidth="15.83203125" defaultRowHeight="12" x14ac:dyDescent="0.2"/>
  <cols>
    <col min="1" max="1" width="33.83203125" style="2" customWidth="1"/>
    <col min="2" max="2" width="21.83203125" style="2" customWidth="1"/>
    <col min="3" max="3" width="12.83203125" style="2" customWidth="1"/>
    <col min="4" max="4" width="15.33203125" style="2" customWidth="1"/>
    <col min="5" max="5" width="20.83203125" style="2" customWidth="1"/>
    <col min="6" max="6" width="12.83203125" style="2" customWidth="1"/>
    <col min="7" max="7" width="15.33203125" style="2" customWidth="1"/>
    <col min="8" max="16384" width="15.83203125" style="2"/>
  </cols>
  <sheetData>
    <row r="1" spans="1:7" ht="6.95" customHeight="1" x14ac:dyDescent="0.2">
      <c r="A1" s="7"/>
      <c r="B1" s="89"/>
      <c r="C1" s="89"/>
      <c r="D1" s="89"/>
      <c r="E1" s="89"/>
      <c r="F1" s="89"/>
      <c r="G1" s="89"/>
    </row>
    <row r="2" spans="1:7" ht="15.95" customHeight="1" x14ac:dyDescent="0.2">
      <c r="A2" s="134"/>
      <c r="B2" s="90" t="s">
        <v>263</v>
      </c>
      <c r="C2" s="201"/>
      <c r="D2" s="91"/>
      <c r="E2" s="91"/>
      <c r="F2" s="91"/>
      <c r="G2" s="395" t="s">
        <v>399</v>
      </c>
    </row>
    <row r="3" spans="1:7" ht="15.95" customHeight="1" x14ac:dyDescent="0.2">
      <c r="A3" s="541"/>
      <c r="B3" s="202" t="str">
        <f>OPYEAR</f>
        <v>OPERATING FUND 2016/2017 ACTUAL</v>
      </c>
      <c r="C3" s="94"/>
      <c r="D3" s="203"/>
      <c r="E3" s="94"/>
      <c r="F3" s="94"/>
      <c r="G3" s="96"/>
    </row>
    <row r="4" spans="1:7" ht="15.95" customHeight="1" x14ac:dyDescent="0.2">
      <c r="B4" s="89"/>
      <c r="C4" s="89"/>
      <c r="D4" s="89"/>
      <c r="E4" s="89"/>
      <c r="F4" s="89"/>
      <c r="G4" s="89"/>
    </row>
    <row r="5" spans="1:7" ht="15.95" customHeight="1" x14ac:dyDescent="0.2">
      <c r="B5" s="188" t="s">
        <v>13</v>
      </c>
      <c r="C5" s="175"/>
      <c r="D5" s="176"/>
      <c r="E5" s="176"/>
      <c r="F5" s="176"/>
      <c r="G5" s="177"/>
    </row>
    <row r="6" spans="1:7" ht="15.95" customHeight="1" x14ac:dyDescent="0.2">
      <c r="B6" s="309"/>
      <c r="C6" s="312"/>
      <c r="D6" s="310"/>
      <c r="E6" s="643" t="s">
        <v>479</v>
      </c>
      <c r="F6" s="651"/>
      <c r="G6" s="644"/>
    </row>
    <row r="7" spans="1:7" ht="15.95" customHeight="1" x14ac:dyDescent="0.2">
      <c r="B7" s="648" t="s">
        <v>19</v>
      </c>
      <c r="C7" s="650"/>
      <c r="D7" s="649"/>
      <c r="E7" s="645"/>
      <c r="F7" s="652"/>
      <c r="G7" s="646"/>
    </row>
    <row r="8" spans="1:7" ht="15.95" customHeight="1" x14ac:dyDescent="0.2">
      <c r="A8" s="67"/>
      <c r="B8" s="137"/>
      <c r="C8" s="138"/>
      <c r="D8" s="596" t="s">
        <v>477</v>
      </c>
      <c r="E8" s="137"/>
      <c r="F8" s="139"/>
      <c r="G8" s="596" t="s">
        <v>478</v>
      </c>
    </row>
    <row r="9" spans="1:7" ht="15.95" customHeight="1" x14ac:dyDescent="0.2">
      <c r="A9" s="35" t="s">
        <v>42</v>
      </c>
      <c r="B9" s="77" t="s">
        <v>43</v>
      </c>
      <c r="C9" s="77" t="s">
        <v>44</v>
      </c>
      <c r="D9" s="598"/>
      <c r="E9" s="77" t="s">
        <v>43</v>
      </c>
      <c r="F9" s="77" t="s">
        <v>44</v>
      </c>
      <c r="G9" s="598"/>
    </row>
    <row r="10" spans="1:7" ht="5.0999999999999996" customHeight="1" x14ac:dyDescent="0.2">
      <c r="A10" s="6"/>
    </row>
    <row r="11" spans="1:7" ht="14.1" customHeight="1" x14ac:dyDescent="0.2">
      <c r="A11" s="284" t="s">
        <v>110</v>
      </c>
      <c r="B11" s="285">
        <v>1284833</v>
      </c>
      <c r="C11" s="291">
        <f>B11/'- 3 -'!D11*100</f>
        <v>6.7206044789941783</v>
      </c>
      <c r="D11" s="285">
        <f>B11/'- 7 -'!C11</f>
        <v>727.53850509626272</v>
      </c>
      <c r="E11" s="285">
        <v>0</v>
      </c>
      <c r="F11" s="291">
        <f>E11/'- 3 -'!D11*100</f>
        <v>0</v>
      </c>
      <c r="G11" s="285" t="str">
        <f>IF('- 7 -'!B11=0,"",E11/'- 7 -'!B11)</f>
        <v/>
      </c>
    </row>
    <row r="12" spans="1:7" ht="14.1" customHeight="1" x14ac:dyDescent="0.2">
      <c r="A12" s="19" t="s">
        <v>111</v>
      </c>
      <c r="B12" s="20">
        <v>2654370</v>
      </c>
      <c r="C12" s="70">
        <f>B12/'- 3 -'!D12*100</f>
        <v>7.9427597757509503</v>
      </c>
      <c r="D12" s="20">
        <f>B12/'- 7 -'!C12</f>
        <v>1252.3271449128351</v>
      </c>
      <c r="E12" s="20">
        <v>1336279</v>
      </c>
      <c r="F12" s="70">
        <f>E12/'- 3 -'!D12*100</f>
        <v>3.9985921670229492</v>
      </c>
      <c r="G12" s="20">
        <f>IF('- 7 -'!B12=0,"",E12/'- 7 -'!B12)</f>
        <v>5974.3327223141241</v>
      </c>
    </row>
    <row r="13" spans="1:7" ht="14.1" customHeight="1" x14ac:dyDescent="0.2">
      <c r="A13" s="284" t="s">
        <v>112</v>
      </c>
      <c r="B13" s="285">
        <v>6662837</v>
      </c>
      <c r="C13" s="291">
        <f>B13/'- 3 -'!D13*100</f>
        <v>6.946822839818882</v>
      </c>
      <c r="D13" s="285">
        <f>B13/'- 7 -'!C13</f>
        <v>795.70514121932285</v>
      </c>
      <c r="E13" s="285">
        <v>3575853</v>
      </c>
      <c r="F13" s="291">
        <f>E13/'- 3 -'!D13*100</f>
        <v>3.7282642952596423</v>
      </c>
      <c r="G13" s="285">
        <f>IF('- 7 -'!B13=0,"",E13/'- 7 -'!B13)</f>
        <v>8147.3069036226934</v>
      </c>
    </row>
    <row r="14" spans="1:7" ht="14.1" customHeight="1" x14ac:dyDescent="0.2">
      <c r="A14" s="19" t="s">
        <v>359</v>
      </c>
      <c r="B14" s="20">
        <v>6263389</v>
      </c>
      <c r="C14" s="70">
        <f>B14/'- 3 -'!D14*100</f>
        <v>7.5519050905902843</v>
      </c>
      <c r="D14" s="20">
        <f>B14/'- 7 -'!C14</f>
        <v>1142.2996677086487</v>
      </c>
      <c r="E14" s="20">
        <v>179019</v>
      </c>
      <c r="F14" s="70">
        <f>E14/'- 3 -'!D14*100</f>
        <v>0.21584712324468147</v>
      </c>
      <c r="G14" s="20">
        <f>IF('- 7 -'!B14=0,"",E14/'- 7 -'!B14)</f>
        <v>11091.635687732341</v>
      </c>
    </row>
    <row r="15" spans="1:7" ht="14.1" customHeight="1" x14ac:dyDescent="0.2">
      <c r="A15" s="284" t="s">
        <v>113</v>
      </c>
      <c r="B15" s="285">
        <v>1574003</v>
      </c>
      <c r="C15" s="291">
        <f>B15/'- 3 -'!D15*100</f>
        <v>8.0650533960343065</v>
      </c>
      <c r="D15" s="285">
        <f>B15/'- 7 -'!C15</f>
        <v>1124.9306746712407</v>
      </c>
      <c r="E15" s="285">
        <v>127596</v>
      </c>
      <c r="F15" s="291">
        <f>E15/'- 3 -'!D15*100</f>
        <v>0.65379071902683372</v>
      </c>
      <c r="G15" s="285">
        <f>IF('- 7 -'!B15=0,"",E15/'- 7 -'!B15)</f>
        <v>5103.84</v>
      </c>
    </row>
    <row r="16" spans="1:7" ht="14.1" customHeight="1" x14ac:dyDescent="0.2">
      <c r="A16" s="19" t="s">
        <v>114</v>
      </c>
      <c r="B16" s="20">
        <v>1085840</v>
      </c>
      <c r="C16" s="70">
        <f>B16/'- 3 -'!D16*100</f>
        <v>7.4903101390147038</v>
      </c>
      <c r="D16" s="20">
        <f>B16/'- 7 -'!C16</f>
        <v>1201.4162425315335</v>
      </c>
      <c r="E16" s="20">
        <v>42156</v>
      </c>
      <c r="F16" s="70">
        <f>E16/'- 3 -'!D16*100</f>
        <v>0.29079930212582317</v>
      </c>
      <c r="G16" s="20">
        <f>IF('- 7 -'!B16=0,"",E16/'- 7 -'!B16)</f>
        <v>6485.5384615384619</v>
      </c>
    </row>
    <row r="17" spans="1:7" ht="14.1" customHeight="1" x14ac:dyDescent="0.2">
      <c r="A17" s="284" t="s">
        <v>115</v>
      </c>
      <c r="B17" s="285">
        <v>1245603</v>
      </c>
      <c r="C17" s="291">
        <f>B17/'- 3 -'!D17*100</f>
        <v>6.9408569753382849</v>
      </c>
      <c r="D17" s="285">
        <f>B17/'- 7 -'!C17</f>
        <v>891.30805008944549</v>
      </c>
      <c r="E17" s="285">
        <v>193629</v>
      </c>
      <c r="F17" s="291">
        <f>E17/'- 3 -'!D17*100</f>
        <v>1.0789562928780492</v>
      </c>
      <c r="G17" s="285">
        <f>IF('- 7 -'!B17=0,"",E17/'- 7 -'!B17)</f>
        <v>9220.4285714285706</v>
      </c>
    </row>
    <row r="18" spans="1:7" ht="14.1" customHeight="1" x14ac:dyDescent="0.2">
      <c r="A18" s="19" t="s">
        <v>116</v>
      </c>
      <c r="B18" s="20">
        <v>7359859</v>
      </c>
      <c r="C18" s="70">
        <f>B18/'- 3 -'!D18*100</f>
        <v>5.7206620872925713</v>
      </c>
      <c r="D18" s="20">
        <f>B18/'- 7 -'!C18</f>
        <v>1207.5438481353262</v>
      </c>
      <c r="E18" s="20">
        <v>521414</v>
      </c>
      <c r="F18" s="70">
        <f>E18/'- 3 -'!D18*100</f>
        <v>0.4052840280749358</v>
      </c>
      <c r="G18" s="20">
        <f>IF('- 7 -'!B18=0,"",E18/'- 7 -'!B18)</f>
        <v>15335.705882352941</v>
      </c>
    </row>
    <row r="19" spans="1:7" ht="14.1" customHeight="1" x14ac:dyDescent="0.2">
      <c r="A19" s="284" t="s">
        <v>117</v>
      </c>
      <c r="B19" s="285">
        <v>2864240</v>
      </c>
      <c r="C19" s="291">
        <f>B19/'- 3 -'!D19*100</f>
        <v>6.2061437329692941</v>
      </c>
      <c r="D19" s="285">
        <f>B19/'- 7 -'!C19</f>
        <v>653.78680666514492</v>
      </c>
      <c r="E19" s="285">
        <v>1265221</v>
      </c>
      <c r="F19" s="291">
        <f>E19/'- 3 -'!D19*100</f>
        <v>2.7414404449247072</v>
      </c>
      <c r="G19" s="285">
        <f>IF('- 7 -'!B19=0,"",E19/'- 7 -'!B19)</f>
        <v>10897.683031869077</v>
      </c>
    </row>
    <row r="20" spans="1:7" ht="14.1" customHeight="1" x14ac:dyDescent="0.2">
      <c r="A20" s="19" t="s">
        <v>118</v>
      </c>
      <c r="B20" s="20">
        <v>5947321</v>
      </c>
      <c r="C20" s="70">
        <f>B20/'- 3 -'!D20*100</f>
        <v>7.2308315645783754</v>
      </c>
      <c r="D20" s="20">
        <f>B20/'- 7 -'!C20</f>
        <v>778.90393556414119</v>
      </c>
      <c r="E20" s="20">
        <v>2859195</v>
      </c>
      <c r="F20" s="70">
        <f>E20/'- 3 -'!D20*100</f>
        <v>3.4762471128235162</v>
      </c>
      <c r="G20" s="20">
        <f>IF('- 7 -'!B20=0,"",E20/'- 7 -'!B20)</f>
        <v>6024.8119350148554</v>
      </c>
    </row>
    <row r="21" spans="1:7" ht="14.1" customHeight="1" x14ac:dyDescent="0.2">
      <c r="A21" s="284" t="s">
        <v>119</v>
      </c>
      <c r="B21" s="285">
        <v>2978491</v>
      </c>
      <c r="C21" s="291">
        <f>B21/'- 3 -'!D21*100</f>
        <v>8.280974810886125</v>
      </c>
      <c r="D21" s="285">
        <f>B21/'- 7 -'!C21</f>
        <v>1086.2080157543489</v>
      </c>
      <c r="E21" s="285">
        <v>0</v>
      </c>
      <c r="F21" s="291">
        <f>E21/'- 3 -'!D21*100</f>
        <v>0</v>
      </c>
      <c r="G21" s="285" t="str">
        <f>IF('- 7 -'!B21=0,"",E21/'- 7 -'!B21)</f>
        <v/>
      </c>
    </row>
    <row r="22" spans="1:7" ht="14.1" customHeight="1" x14ac:dyDescent="0.2">
      <c r="A22" s="19" t="s">
        <v>120</v>
      </c>
      <c r="B22" s="20">
        <v>1530796</v>
      </c>
      <c r="C22" s="70">
        <f>B22/'- 3 -'!D22*100</f>
        <v>7.6267954317030098</v>
      </c>
      <c r="D22" s="20">
        <f>B22/'- 7 -'!C22</f>
        <v>1004.7230244158573</v>
      </c>
      <c r="E22" s="20">
        <v>0</v>
      </c>
      <c r="F22" s="70">
        <f>E22/'- 3 -'!D22*100</f>
        <v>0</v>
      </c>
      <c r="G22" s="20" t="str">
        <f>IF('- 7 -'!B22=0,"",E22/'- 7 -'!B22)</f>
        <v/>
      </c>
    </row>
    <row r="23" spans="1:7" ht="14.1" customHeight="1" x14ac:dyDescent="0.2">
      <c r="A23" s="284" t="s">
        <v>121</v>
      </c>
      <c r="B23" s="285">
        <v>1052436</v>
      </c>
      <c r="C23" s="291">
        <f>B23/'- 3 -'!D23*100</f>
        <v>6.0843781419196832</v>
      </c>
      <c r="D23" s="285">
        <f>B23/'- 7 -'!C23</f>
        <v>944.31224764468368</v>
      </c>
      <c r="E23" s="285">
        <v>216922</v>
      </c>
      <c r="F23" s="291">
        <f>E23/'- 3 -'!D23*100</f>
        <v>1.2540767089889566</v>
      </c>
      <c r="G23" s="285">
        <f>IF('- 7 -'!B23=0,"",E23/'- 7 -'!B23)</f>
        <v>10846.1</v>
      </c>
    </row>
    <row r="24" spans="1:7" ht="14.1" customHeight="1" x14ac:dyDescent="0.2">
      <c r="A24" s="19" t="s">
        <v>122</v>
      </c>
      <c r="B24" s="20">
        <v>4441276</v>
      </c>
      <c r="C24" s="70">
        <f>B24/'- 3 -'!D24*100</f>
        <v>7.7473873032347402</v>
      </c>
      <c r="D24" s="20">
        <f>B24/'- 7 -'!C24</f>
        <v>1124.8577868956258</v>
      </c>
      <c r="E24" s="20">
        <v>1854178</v>
      </c>
      <c r="F24" s="70">
        <f>E24/'- 3 -'!D24*100</f>
        <v>3.2344387277748972</v>
      </c>
      <c r="G24" s="20">
        <f>IF('- 7 -'!B24=0,"",E24/'- 7 -'!B24)</f>
        <v>7271.2862745098037</v>
      </c>
    </row>
    <row r="25" spans="1:7" ht="14.1" customHeight="1" x14ac:dyDescent="0.2">
      <c r="A25" s="284" t="s">
        <v>123</v>
      </c>
      <c r="B25" s="285">
        <v>13728568</v>
      </c>
      <c r="C25" s="291">
        <f>B25/'- 3 -'!D25*100</f>
        <v>7.7407702548399948</v>
      </c>
      <c r="D25" s="285">
        <f>B25/'- 7 -'!C25</f>
        <v>957.63558618572961</v>
      </c>
      <c r="E25" s="285">
        <v>1310142</v>
      </c>
      <c r="F25" s="291">
        <f>E25/'- 3 -'!D25*100</f>
        <v>0.73871566380532772</v>
      </c>
      <c r="G25" s="285">
        <f>IF('- 7 -'!B25=0,"",E25/'- 7 -'!B25)</f>
        <v>13520.557275541794</v>
      </c>
    </row>
    <row r="26" spans="1:7" ht="14.1" customHeight="1" x14ac:dyDescent="0.2">
      <c r="A26" s="19" t="s">
        <v>124</v>
      </c>
      <c r="B26" s="20">
        <v>3408275</v>
      </c>
      <c r="C26" s="70">
        <f>B26/'- 3 -'!D26*100</f>
        <v>8.3155038965654295</v>
      </c>
      <c r="D26" s="20">
        <f>B26/'- 7 -'!C26</f>
        <v>1115.2732329842931</v>
      </c>
      <c r="E26" s="20">
        <v>985744</v>
      </c>
      <c r="F26" s="70">
        <f>E26/'- 3 -'!D26*100</f>
        <v>2.4050166353994302</v>
      </c>
      <c r="G26" s="20">
        <f>IF('- 7 -'!B26=0,"",E26/'- 7 -'!B26)</f>
        <v>7163.8372093023263</v>
      </c>
    </row>
    <row r="27" spans="1:7" ht="14.1" customHeight="1" x14ac:dyDescent="0.2">
      <c r="A27" s="284" t="s">
        <v>125</v>
      </c>
      <c r="B27" s="285">
        <v>2684562</v>
      </c>
      <c r="C27" s="291">
        <f>B27/'- 3 -'!D27*100</f>
        <v>6.4771293369495693</v>
      </c>
      <c r="D27" s="285">
        <f>B27/'- 7 -'!C27</f>
        <v>898.52296878922255</v>
      </c>
      <c r="E27" s="285">
        <v>984391</v>
      </c>
      <c r="F27" s="291">
        <f>E27/'- 3 -'!D27*100</f>
        <v>2.3750719205327062</v>
      </c>
      <c r="G27" s="285">
        <f>IF('- 7 -'!B27=0,"",E27/'- 7 -'!B27)</f>
        <v>9006.3220494053076</v>
      </c>
    </row>
    <row r="28" spans="1:7" ht="14.1" customHeight="1" x14ac:dyDescent="0.2">
      <c r="A28" s="19" t="s">
        <v>126</v>
      </c>
      <c r="B28" s="20">
        <v>2063378</v>
      </c>
      <c r="C28" s="70">
        <f>B28/'- 3 -'!D28*100</f>
        <v>7.315264642641754</v>
      </c>
      <c r="D28" s="20">
        <f>B28/'- 7 -'!C28</f>
        <v>1051.1349974528782</v>
      </c>
      <c r="E28" s="20">
        <v>0</v>
      </c>
      <c r="F28" s="70">
        <f>E28/'- 3 -'!D28*100</f>
        <v>0</v>
      </c>
      <c r="G28" s="20" t="str">
        <f>IF('- 7 -'!B28=0,"",E28/'- 7 -'!B28)</f>
        <v/>
      </c>
    </row>
    <row r="29" spans="1:7" ht="14.1" customHeight="1" x14ac:dyDescent="0.2">
      <c r="A29" s="284" t="s">
        <v>127</v>
      </c>
      <c r="B29" s="285">
        <v>12205941</v>
      </c>
      <c r="C29" s="291">
        <f>B29/'- 3 -'!D29*100</f>
        <v>7.6627281669010783</v>
      </c>
      <c r="D29" s="285">
        <f>B29/'- 7 -'!C29</f>
        <v>933.00472390387085</v>
      </c>
      <c r="E29" s="285">
        <v>0</v>
      </c>
      <c r="F29" s="291">
        <f>E29/'- 3 -'!D29*100</f>
        <v>0</v>
      </c>
      <c r="G29" s="285" t="str">
        <f>IF('- 7 -'!B29=0,"",E29/'- 7 -'!B29)</f>
        <v/>
      </c>
    </row>
    <row r="30" spans="1:7" ht="14.1" customHeight="1" x14ac:dyDescent="0.2">
      <c r="A30" s="19" t="s">
        <v>128</v>
      </c>
      <c r="B30" s="20">
        <v>1050771</v>
      </c>
      <c r="C30" s="70">
        <f>B30/'- 3 -'!D30*100</f>
        <v>7.4513887706996611</v>
      </c>
      <c r="D30" s="20">
        <f>B30/'- 7 -'!C30</f>
        <v>1051.6724335144411</v>
      </c>
      <c r="E30" s="20">
        <v>47184</v>
      </c>
      <c r="F30" s="70">
        <f>E30/'- 3 -'!D30*100</f>
        <v>0.33459843082526336</v>
      </c>
      <c r="G30" s="20">
        <f>IF('- 7 -'!B30=0,"",E30/'- 7 -'!B30)</f>
        <v>5160.75</v>
      </c>
    </row>
    <row r="31" spans="1:7" ht="14.1" customHeight="1" x14ac:dyDescent="0.2">
      <c r="A31" s="284" t="s">
        <v>129</v>
      </c>
      <c r="B31" s="285">
        <v>2935402</v>
      </c>
      <c r="C31" s="291">
        <f>B31/'- 3 -'!D31*100</f>
        <v>7.823680784233245</v>
      </c>
      <c r="D31" s="285">
        <f>B31/'- 7 -'!C31</f>
        <v>902.36766062096524</v>
      </c>
      <c r="E31" s="285">
        <v>868603</v>
      </c>
      <c r="F31" s="291">
        <f>E31/'- 3 -'!D31*100</f>
        <v>2.3150739149960886</v>
      </c>
      <c r="G31" s="285">
        <f>IF('- 7 -'!B31=0,"",E31/'- 7 -'!B31)</f>
        <v>5868.9391891891892</v>
      </c>
    </row>
    <row r="32" spans="1:7" ht="14.1" customHeight="1" x14ac:dyDescent="0.2">
      <c r="A32" s="19" t="s">
        <v>130</v>
      </c>
      <c r="B32" s="20">
        <v>2183046</v>
      </c>
      <c r="C32" s="70">
        <f>B32/'- 3 -'!D32*100</f>
        <v>7.4514016207532219</v>
      </c>
      <c r="D32" s="20">
        <f>B32/'- 7 -'!C32</f>
        <v>1013.8612297975108</v>
      </c>
      <c r="E32" s="20">
        <v>839891</v>
      </c>
      <c r="F32" s="70">
        <f>E32/'- 3 -'!D32*100</f>
        <v>2.8668040703934063</v>
      </c>
      <c r="G32" s="20">
        <f>IF('- 7 -'!B32=0,"",E32/'- 7 -'!B32)</f>
        <v>7034.2629815745395</v>
      </c>
    </row>
    <row r="33" spans="1:7" ht="14.1" customHeight="1" x14ac:dyDescent="0.2">
      <c r="A33" s="284" t="s">
        <v>131</v>
      </c>
      <c r="B33" s="285">
        <v>2624307</v>
      </c>
      <c r="C33" s="291">
        <f>B33/'- 3 -'!D33*100</f>
        <v>9.4352976986139598</v>
      </c>
      <c r="D33" s="285">
        <f>B33/'- 7 -'!C33</f>
        <v>1299.4835355285961</v>
      </c>
      <c r="E33" s="285">
        <v>231300</v>
      </c>
      <c r="F33" s="291">
        <f>E33/'- 3 -'!D33*100</f>
        <v>0.83160406068703441</v>
      </c>
      <c r="G33" s="285">
        <f>IF('- 7 -'!B33=0,"",E33/'- 7 -'!B33)</f>
        <v>4456.6473988439311</v>
      </c>
    </row>
    <row r="34" spans="1:7" ht="14.1" customHeight="1" x14ac:dyDescent="0.2">
      <c r="A34" s="19" t="s">
        <v>132</v>
      </c>
      <c r="B34" s="20">
        <v>2660413</v>
      </c>
      <c r="C34" s="70">
        <f>B34/'- 3 -'!D34*100</f>
        <v>9.1485205046695945</v>
      </c>
      <c r="D34" s="20">
        <f>B34/'- 7 -'!C34</f>
        <v>1307.3925008599931</v>
      </c>
      <c r="E34" s="20">
        <v>276509</v>
      </c>
      <c r="F34" s="70">
        <f>E34/'- 3 -'!D34*100</f>
        <v>0.95084795339132866</v>
      </c>
      <c r="G34" s="20">
        <f>IF('- 7 -'!B34=0,"",E34/'- 7 -'!B34)</f>
        <v>14707.925531914892</v>
      </c>
    </row>
    <row r="35" spans="1:7" ht="14.1" customHeight="1" x14ac:dyDescent="0.2">
      <c r="A35" s="284" t="s">
        <v>133</v>
      </c>
      <c r="B35" s="285">
        <v>13113308</v>
      </c>
      <c r="C35" s="291">
        <f>B35/'- 3 -'!D35*100</f>
        <v>7.1170515268560903</v>
      </c>
      <c r="D35" s="285">
        <f>B35/'- 7 -'!C35</f>
        <v>840.16581240389542</v>
      </c>
      <c r="E35" s="285">
        <v>3955918</v>
      </c>
      <c r="F35" s="291">
        <f>E35/'- 3 -'!D35*100</f>
        <v>2.1470152490902743</v>
      </c>
      <c r="G35" s="285">
        <f>IF('- 7 -'!B35=0,"",E35/'- 7 -'!B35)</f>
        <v>6095.4052388289674</v>
      </c>
    </row>
    <row r="36" spans="1:7" ht="14.1" customHeight="1" x14ac:dyDescent="0.2">
      <c r="A36" s="19" t="s">
        <v>134</v>
      </c>
      <c r="B36" s="20">
        <v>1950367</v>
      </c>
      <c r="C36" s="70">
        <f>B36/'- 3 -'!D36*100</f>
        <v>8.3199017088336635</v>
      </c>
      <c r="D36" s="20">
        <f>B36/'- 7 -'!C36</f>
        <v>1169.6353823088455</v>
      </c>
      <c r="E36" s="20">
        <v>128134</v>
      </c>
      <c r="F36" s="70">
        <f>E36/'- 3 -'!D36*100</f>
        <v>0.54659573585878585</v>
      </c>
      <c r="G36" s="20">
        <f>IF('- 7 -'!B36=0,"",E36/'- 7 -'!B36)</f>
        <v>16859.736842105263</v>
      </c>
    </row>
    <row r="37" spans="1:7" ht="14.1" customHeight="1" x14ac:dyDescent="0.2">
      <c r="A37" s="284" t="s">
        <v>135</v>
      </c>
      <c r="B37" s="285">
        <v>4510684</v>
      </c>
      <c r="C37" s="291">
        <f>B37/'- 3 -'!D37*100</f>
        <v>8.9875478574125562</v>
      </c>
      <c r="D37" s="285">
        <f>B37/'- 7 -'!C37</f>
        <v>1078.3370786516855</v>
      </c>
      <c r="E37" s="285">
        <v>0</v>
      </c>
      <c r="F37" s="291">
        <f>E37/'- 3 -'!D37*100</f>
        <v>0</v>
      </c>
      <c r="G37" s="285" t="str">
        <f>IF('- 7 -'!B37=0,"",E37/'- 7 -'!B37)</f>
        <v/>
      </c>
    </row>
    <row r="38" spans="1:7" ht="14.1" customHeight="1" x14ac:dyDescent="0.2">
      <c r="A38" s="19" t="s">
        <v>136</v>
      </c>
      <c r="B38" s="20">
        <v>10601084</v>
      </c>
      <c r="C38" s="70">
        <f>B38/'- 3 -'!D38*100</f>
        <v>7.8130001927697519</v>
      </c>
      <c r="D38" s="20">
        <f>B38/'- 7 -'!C38</f>
        <v>964.27841146828223</v>
      </c>
      <c r="E38" s="20">
        <v>1214017</v>
      </c>
      <c r="F38" s="70">
        <f>E38/'- 3 -'!D38*100</f>
        <v>0.8947306761295124</v>
      </c>
      <c r="G38" s="20">
        <f>IF('- 7 -'!B38=0,"",E38/'- 7 -'!B38)</f>
        <v>7313.3554216867469</v>
      </c>
    </row>
    <row r="39" spans="1:7" ht="14.1" customHeight="1" x14ac:dyDescent="0.2">
      <c r="A39" s="284" t="s">
        <v>137</v>
      </c>
      <c r="B39" s="285">
        <v>1395819</v>
      </c>
      <c r="C39" s="291">
        <f>B39/'- 3 -'!D39*100</f>
        <v>6.505498908067012</v>
      </c>
      <c r="D39" s="285">
        <f>B39/'- 7 -'!C39</f>
        <v>930.54600000000005</v>
      </c>
      <c r="E39" s="285">
        <v>272568</v>
      </c>
      <c r="F39" s="291">
        <f>E39/'- 3 -'!D39*100</f>
        <v>1.2703587115335222</v>
      </c>
      <c r="G39" s="285">
        <f>IF('- 7 -'!B39=0,"",E39/'- 7 -'!B39)</f>
        <v>5925.391304347826</v>
      </c>
    </row>
    <row r="40" spans="1:7" ht="14.1" customHeight="1" x14ac:dyDescent="0.2">
      <c r="A40" s="19" t="s">
        <v>138</v>
      </c>
      <c r="B40" s="20">
        <v>8320117</v>
      </c>
      <c r="C40" s="70">
        <f>B40/'- 3 -'!D40*100</f>
        <v>7.9737443242377859</v>
      </c>
      <c r="D40" s="20">
        <f>B40/'- 7 -'!C40</f>
        <v>1007.2293109292528</v>
      </c>
      <c r="E40" s="20">
        <v>1766852</v>
      </c>
      <c r="F40" s="70">
        <f>E40/'- 3 -'!D40*100</f>
        <v>1.6932966335411126</v>
      </c>
      <c r="G40" s="20">
        <f>IF('- 7 -'!B40=0,"",E40/'- 7 -'!B40)</f>
        <v>6685.0245932652288</v>
      </c>
    </row>
    <row r="41" spans="1:7" ht="14.1" customHeight="1" x14ac:dyDescent="0.2">
      <c r="A41" s="284" t="s">
        <v>139</v>
      </c>
      <c r="B41" s="285">
        <v>4180262</v>
      </c>
      <c r="C41" s="291">
        <f>B41/'- 3 -'!D41*100</f>
        <v>6.6734295028130903</v>
      </c>
      <c r="D41" s="285">
        <f>B41/'- 7 -'!C41</f>
        <v>937.59380957721203</v>
      </c>
      <c r="E41" s="285">
        <v>0</v>
      </c>
      <c r="F41" s="291">
        <f>E41/'- 3 -'!D41*100</f>
        <v>0</v>
      </c>
      <c r="G41" s="285" t="str">
        <f>IF('- 7 -'!B41=0,"",E41/'- 7 -'!B41)</f>
        <v/>
      </c>
    </row>
    <row r="42" spans="1:7" ht="14.1" customHeight="1" x14ac:dyDescent="0.2">
      <c r="A42" s="19" t="s">
        <v>140</v>
      </c>
      <c r="B42" s="20">
        <v>1761819</v>
      </c>
      <c r="C42" s="70">
        <f>B42/'- 3 -'!D42*100</f>
        <v>8.6955390855281784</v>
      </c>
      <c r="D42" s="20">
        <f>B42/'- 7 -'!C42</f>
        <v>1277.9769331205571</v>
      </c>
      <c r="E42" s="20">
        <v>1040243</v>
      </c>
      <c r="F42" s="70">
        <f>E42/'- 3 -'!D42*100</f>
        <v>5.1341673945774735</v>
      </c>
      <c r="G42" s="20">
        <f>IF('- 7 -'!B42=0,"",E42/'- 7 -'!B42)</f>
        <v>8190.8897637795271</v>
      </c>
    </row>
    <row r="43" spans="1:7" ht="14.1" customHeight="1" x14ac:dyDescent="0.2">
      <c r="A43" s="284" t="s">
        <v>141</v>
      </c>
      <c r="B43" s="285">
        <v>776208</v>
      </c>
      <c r="C43" s="291">
        <f>B43/'- 3 -'!D43*100</f>
        <v>5.8592109969055652</v>
      </c>
      <c r="D43" s="285">
        <f>B43/'- 7 -'!C43</f>
        <v>806.28233094421932</v>
      </c>
      <c r="E43" s="285">
        <v>129452</v>
      </c>
      <c r="F43" s="291">
        <f>E43/'- 3 -'!D43*100</f>
        <v>0.97716924068216149</v>
      </c>
      <c r="G43" s="285">
        <f>IF('- 7 -'!B43=0,"",E43/'- 7 -'!B43)</f>
        <v>6164.3809523809523</v>
      </c>
    </row>
    <row r="44" spans="1:7" ht="14.1" customHeight="1" x14ac:dyDescent="0.2">
      <c r="A44" s="19" t="s">
        <v>142</v>
      </c>
      <c r="B44" s="20">
        <v>608844</v>
      </c>
      <c r="C44" s="70">
        <f>B44/'- 3 -'!D44*100</f>
        <v>5.6330459743794501</v>
      </c>
      <c r="D44" s="20">
        <f>B44/'- 7 -'!C44</f>
        <v>877.9293439077145</v>
      </c>
      <c r="E44" s="20">
        <v>0</v>
      </c>
      <c r="F44" s="70">
        <f>E44/'- 3 -'!D44*100</f>
        <v>0</v>
      </c>
      <c r="G44" s="20" t="str">
        <f>IF('- 7 -'!B44=0,"",E44/'- 7 -'!B44)</f>
        <v/>
      </c>
    </row>
    <row r="45" spans="1:7" ht="14.1" customHeight="1" x14ac:dyDescent="0.2">
      <c r="A45" s="284" t="s">
        <v>143</v>
      </c>
      <c r="B45" s="285">
        <v>1234763</v>
      </c>
      <c r="C45" s="291">
        <f>B45/'- 3 -'!D45*100</f>
        <v>6.4105555337502906</v>
      </c>
      <c r="D45" s="285">
        <f>B45/'- 7 -'!C45</f>
        <v>732.79703264094951</v>
      </c>
      <c r="E45" s="285">
        <v>448565</v>
      </c>
      <c r="F45" s="291">
        <f>E45/'- 3 -'!D45*100</f>
        <v>2.3288281581134997</v>
      </c>
      <c r="G45" s="285">
        <f>IF('- 7 -'!B45=0,"",E45/'- 7 -'!B45)</f>
        <v>10680.119047619048</v>
      </c>
    </row>
    <row r="46" spans="1:7" ht="14.1" customHeight="1" x14ac:dyDescent="0.2">
      <c r="A46" s="19" t="s">
        <v>144</v>
      </c>
      <c r="B46" s="20">
        <v>28553009</v>
      </c>
      <c r="C46" s="70">
        <f>B46/'- 3 -'!D46*100</f>
        <v>7.2975884903696375</v>
      </c>
      <c r="D46" s="20">
        <f>B46/'- 7 -'!C46</f>
        <v>955.62130593393351</v>
      </c>
      <c r="E46" s="20">
        <v>5408730</v>
      </c>
      <c r="F46" s="70">
        <f>E46/'- 3 -'!D46*100</f>
        <v>1.3823651929475091</v>
      </c>
      <c r="G46" s="20">
        <f>IF('- 7 -'!B46=0,"",E46/'- 7 -'!B46)</f>
        <v>7747.7868500214863</v>
      </c>
    </row>
    <row r="47" spans="1:7" ht="5.0999999999999996" customHeight="1" x14ac:dyDescent="0.2">
      <c r="A47" s="21"/>
      <c r="B47" s="22"/>
      <c r="C47"/>
      <c r="D47" s="22"/>
      <c r="E47" s="22"/>
      <c r="F47"/>
      <c r="G47" s="22"/>
    </row>
    <row r="48" spans="1:7" ht="14.1" customHeight="1" x14ac:dyDescent="0.2">
      <c r="A48" s="286" t="s">
        <v>145</v>
      </c>
      <c r="B48" s="287">
        <f>SUM(B11:B46)</f>
        <v>169496241</v>
      </c>
      <c r="C48" s="294">
        <f>B48/'- 3 -'!D48*100</f>
        <v>7.3918596840678363</v>
      </c>
      <c r="D48" s="287">
        <f>B48/'- 7 -'!C48</f>
        <v>962.84231365532685</v>
      </c>
      <c r="E48" s="287">
        <f>SUM(E11:E46)</f>
        <v>32079705</v>
      </c>
      <c r="F48" s="294">
        <f>E48/'- 3 -'!D48*100</f>
        <v>1.3990202771888576</v>
      </c>
      <c r="G48" s="287">
        <f>E48/'- 7 -'!B48</f>
        <v>7386.6624057662275</v>
      </c>
    </row>
    <row r="49" spans="1:7" ht="5.0999999999999996" customHeight="1" x14ac:dyDescent="0.2">
      <c r="A49" s="21" t="s">
        <v>7</v>
      </c>
      <c r="B49" s="22"/>
      <c r="C49"/>
      <c r="D49" s="22"/>
      <c r="E49" s="22"/>
      <c r="F49"/>
    </row>
    <row r="50" spans="1:7" ht="14.1" customHeight="1" x14ac:dyDescent="0.2">
      <c r="A50" s="19" t="s">
        <v>146</v>
      </c>
      <c r="B50" s="20">
        <v>235804</v>
      </c>
      <c r="C50" s="70">
        <f>B50/'- 3 -'!D50*100</f>
        <v>7.3537492569970135</v>
      </c>
      <c r="D50" s="20">
        <f>B50/'- 7 -'!C50</f>
        <v>1521.316129032258</v>
      </c>
      <c r="E50" s="20">
        <v>0</v>
      </c>
      <c r="F50" s="70">
        <f>E50/'- 3 -'!D50*100</f>
        <v>0</v>
      </c>
      <c r="G50" s="20" t="str">
        <f>IF('- 7 -'!B50=0,"",E50/'- 7 -'!B50)</f>
        <v/>
      </c>
    </row>
    <row r="51" spans="1:7" ht="14.1" customHeight="1" x14ac:dyDescent="0.2">
      <c r="A51" s="284" t="s">
        <v>609</v>
      </c>
      <c r="B51" s="285">
        <v>1289076</v>
      </c>
      <c r="C51" s="291">
        <f>B51/'- 3 -'!D51*100</f>
        <v>4.4424776315139676</v>
      </c>
      <c r="D51" s="285">
        <f>B51/'- 7 -'!C51</f>
        <v>1090.1276955602536</v>
      </c>
      <c r="E51" s="285">
        <v>4225109</v>
      </c>
      <c r="F51" s="291">
        <f>E51/'- 3 -'!D51*100</f>
        <v>14.560780142682313</v>
      </c>
      <c r="G51" s="285">
        <f>IF('- 7 -'!B51=0,"",E51/'- 7 -'!B51)</f>
        <v>3976.5731764705884</v>
      </c>
    </row>
    <row r="52" spans="1:7" ht="50.1" customHeight="1" x14ac:dyDescent="0.2">
      <c r="B52" s="85"/>
      <c r="C52" s="85"/>
      <c r="D52" s="85"/>
      <c r="E52" s="85"/>
      <c r="F52" s="85"/>
      <c r="G52" s="85"/>
    </row>
  </sheetData>
  <mergeCells count="4">
    <mergeCell ref="D8:D9"/>
    <mergeCell ref="G8:G9"/>
    <mergeCell ref="B7:D7"/>
    <mergeCell ref="E6:G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3"/>
  <sheetViews>
    <sheetView showGridLines="0" showZeros="0" workbookViewId="0"/>
  </sheetViews>
  <sheetFormatPr defaultColWidth="15.83203125" defaultRowHeight="12" x14ac:dyDescent="0.2"/>
  <cols>
    <col min="1" max="1" width="32.83203125" style="2" customWidth="1"/>
    <col min="2" max="2" width="16.83203125" style="2" customWidth="1"/>
    <col min="3" max="3" width="7.83203125" style="2" customWidth="1"/>
    <col min="4" max="4" width="9.83203125" style="2" customWidth="1"/>
    <col min="5" max="5" width="14.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7"/>
      <c r="C1" s="7"/>
      <c r="D1" s="7"/>
      <c r="E1" s="7"/>
      <c r="F1" s="7"/>
      <c r="G1" s="7"/>
      <c r="H1" s="89"/>
      <c r="I1" s="89"/>
      <c r="J1" s="89"/>
    </row>
    <row r="2" spans="1:10" ht="15.95" customHeight="1" x14ac:dyDescent="0.2">
      <c r="A2" s="134"/>
      <c r="B2" s="90" t="s">
        <v>263</v>
      </c>
      <c r="C2" s="91"/>
      <c r="D2" s="91"/>
      <c r="E2" s="169"/>
      <c r="F2" s="169"/>
      <c r="G2" s="169"/>
      <c r="H2" s="169"/>
      <c r="I2" s="63"/>
      <c r="J2" s="395" t="s">
        <v>400</v>
      </c>
    </row>
    <row r="3" spans="1:10" ht="15.95" customHeight="1" x14ac:dyDescent="0.2">
      <c r="A3" s="541"/>
      <c r="B3" s="74" t="str">
        <f>OPYEAR</f>
        <v>OPERATING FUND 2016/2017 ACTUAL</v>
      </c>
      <c r="C3" s="94"/>
      <c r="D3" s="94"/>
      <c r="E3" s="29"/>
      <c r="F3" s="29"/>
      <c r="G3" s="29"/>
      <c r="H3" s="29"/>
      <c r="I3" s="65"/>
      <c r="J3" s="186"/>
    </row>
    <row r="4" spans="1:10" ht="15.95" customHeight="1" x14ac:dyDescent="0.2">
      <c r="H4" s="89"/>
      <c r="I4" s="89"/>
      <c r="J4" s="89"/>
    </row>
    <row r="5" spans="1:10" ht="15.95" customHeight="1" x14ac:dyDescent="0.2">
      <c r="B5" s="188" t="s">
        <v>13</v>
      </c>
      <c r="C5" s="39"/>
      <c r="D5" s="39"/>
      <c r="E5" s="39"/>
      <c r="F5" s="39"/>
      <c r="G5" s="39"/>
      <c r="H5" s="39"/>
      <c r="I5" s="198"/>
      <c r="J5" s="199"/>
    </row>
    <row r="6" spans="1:10" ht="15.95" customHeight="1" x14ac:dyDescent="0.2">
      <c r="B6" s="324" t="s">
        <v>244</v>
      </c>
      <c r="C6" s="325"/>
      <c r="D6" s="325"/>
      <c r="E6" s="325"/>
      <c r="F6" s="325"/>
      <c r="G6" s="326"/>
      <c r="H6" s="327"/>
      <c r="I6" s="325"/>
      <c r="J6" s="326"/>
    </row>
    <row r="7" spans="1:10" ht="15.95" customHeight="1" x14ac:dyDescent="0.2">
      <c r="B7" s="653" t="s">
        <v>20</v>
      </c>
      <c r="C7" s="654"/>
      <c r="D7" s="655"/>
      <c r="E7" s="653" t="s">
        <v>21</v>
      </c>
      <c r="F7" s="654"/>
      <c r="G7" s="655"/>
      <c r="H7" s="653" t="s">
        <v>22</v>
      </c>
      <c r="I7" s="654"/>
      <c r="J7" s="655"/>
    </row>
    <row r="8" spans="1:10" ht="15.95" customHeight="1" x14ac:dyDescent="0.2">
      <c r="A8" s="67"/>
      <c r="B8" s="200"/>
      <c r="C8" s="191"/>
      <c r="D8" s="596" t="s">
        <v>477</v>
      </c>
      <c r="E8" s="200"/>
      <c r="F8" s="191"/>
      <c r="G8" s="596" t="s">
        <v>477</v>
      </c>
      <c r="H8" s="179"/>
      <c r="I8" s="178"/>
      <c r="J8" s="596" t="s">
        <v>477</v>
      </c>
    </row>
    <row r="9" spans="1:10" ht="15.95" customHeight="1" x14ac:dyDescent="0.2">
      <c r="A9" s="35" t="s">
        <v>42</v>
      </c>
      <c r="B9" s="101" t="s">
        <v>43</v>
      </c>
      <c r="C9" s="101" t="s">
        <v>44</v>
      </c>
      <c r="D9" s="598"/>
      <c r="E9" s="101" t="s">
        <v>43</v>
      </c>
      <c r="F9" s="101" t="s">
        <v>44</v>
      </c>
      <c r="G9" s="598"/>
      <c r="H9" s="180" t="s">
        <v>43</v>
      </c>
      <c r="I9" s="101" t="s">
        <v>44</v>
      </c>
      <c r="J9" s="598"/>
    </row>
    <row r="10" spans="1:10" ht="5.0999999999999996" customHeight="1" x14ac:dyDescent="0.2">
      <c r="A10" s="6"/>
      <c r="B10" s="85"/>
      <c r="C10" s="85"/>
      <c r="D10" s="85"/>
      <c r="E10" s="85"/>
      <c r="F10" s="85"/>
      <c r="G10" s="85"/>
      <c r="H10" s="85"/>
      <c r="I10" s="85"/>
      <c r="J10" s="85"/>
    </row>
    <row r="11" spans="1:10" ht="14.1" customHeight="1" x14ac:dyDescent="0.2">
      <c r="A11" s="284" t="s">
        <v>110</v>
      </c>
      <c r="B11" s="285">
        <v>10627636</v>
      </c>
      <c r="C11" s="291">
        <f>B11/'- 3 -'!D11*100</f>
        <v>55.590211414806255</v>
      </c>
      <c r="D11" s="285">
        <f>B11/'- 6 -'!B11</f>
        <v>6017.9139297848242</v>
      </c>
      <c r="E11" s="285">
        <v>0</v>
      </c>
      <c r="F11" s="291">
        <f>E11/'- 3 -'!D11*100</f>
        <v>0</v>
      </c>
      <c r="G11" s="285" t="str">
        <f>IF('- 6 -'!C11=0,"",E11/'- 6 -'!C11)</f>
        <v/>
      </c>
      <c r="H11" s="285">
        <v>0</v>
      </c>
      <c r="I11" s="291">
        <f>H11/'- 3 -'!D11*100</f>
        <v>0</v>
      </c>
      <c r="J11" s="285" t="str">
        <f>IF('- 6 -'!D11=0,"",H11/'- 6 -'!D11)</f>
        <v/>
      </c>
    </row>
    <row r="12" spans="1:10" ht="14.1" customHeight="1" x14ac:dyDescent="0.2">
      <c r="A12" s="19" t="s">
        <v>111</v>
      </c>
      <c r="B12" s="20">
        <v>15374178</v>
      </c>
      <c r="C12" s="70">
        <f>B12/'- 3 -'!D12*100</f>
        <v>46.004664987788139</v>
      </c>
      <c r="D12" s="20">
        <f>B12/'- 6 -'!B12</f>
        <v>8109.2569149946194</v>
      </c>
      <c r="E12" s="20">
        <v>0</v>
      </c>
      <c r="F12" s="70">
        <f>E12/'- 3 -'!D12*100</f>
        <v>0</v>
      </c>
      <c r="G12" s="20" t="str">
        <f>IF('- 6 -'!C12=0,"",E12/'- 6 -'!C12)</f>
        <v/>
      </c>
      <c r="H12" s="20">
        <v>0</v>
      </c>
      <c r="I12" s="70">
        <f>H12/'- 3 -'!D12*100</f>
        <v>0</v>
      </c>
      <c r="J12" s="20" t="str">
        <f>IF('- 6 -'!D12=0,"",H12/'- 6 -'!D12)</f>
        <v/>
      </c>
    </row>
    <row r="13" spans="1:10" ht="14.1" customHeight="1" x14ac:dyDescent="0.2">
      <c r="A13" s="284" t="s">
        <v>112</v>
      </c>
      <c r="B13" s="285">
        <v>38142474</v>
      </c>
      <c r="C13" s="291">
        <f>B13/'- 3 -'!D13*100</f>
        <v>39.768196272908654</v>
      </c>
      <c r="D13" s="285">
        <f>B13/'- 6 -'!B13</f>
        <v>6176.8188369419113</v>
      </c>
      <c r="E13" s="285">
        <v>0</v>
      </c>
      <c r="F13" s="291">
        <f>E13/'- 3 -'!D13*100</f>
        <v>0</v>
      </c>
      <c r="G13" s="285" t="str">
        <f>IF('- 6 -'!C13=0,"",E13/'- 6 -'!C13)</f>
        <v/>
      </c>
      <c r="H13" s="285">
        <v>1763019</v>
      </c>
      <c r="I13" s="291">
        <f>H13/'- 3 -'!D13*100</f>
        <v>1.8381630311884631</v>
      </c>
      <c r="J13" s="285">
        <f>IF('- 6 -'!D13=0,"",H13/'- 6 -'!D13)</f>
        <v>5095.43063583815</v>
      </c>
    </row>
    <row r="14" spans="1:10" ht="14.1" customHeight="1" x14ac:dyDescent="0.2">
      <c r="A14" s="19" t="s">
        <v>359</v>
      </c>
      <c r="B14" s="20">
        <v>0</v>
      </c>
      <c r="C14" s="70">
        <f>B14/'- 3 -'!D14*100</f>
        <v>0</v>
      </c>
      <c r="D14" s="20"/>
      <c r="E14" s="20">
        <v>39988401</v>
      </c>
      <c r="F14" s="70">
        <f>E14/'- 3 -'!D14*100</f>
        <v>48.214889587165295</v>
      </c>
      <c r="G14" s="20">
        <f>IF('- 6 -'!C14=0,"",E14/'- 6 -'!C14)</f>
        <v>7314.5053960124378</v>
      </c>
      <c r="H14" s="20">
        <v>0</v>
      </c>
      <c r="I14" s="70">
        <f>H14/'- 3 -'!D14*100</f>
        <v>0</v>
      </c>
      <c r="J14" s="20" t="str">
        <f>IF('- 6 -'!D14=0,"",H14/'- 6 -'!D14)</f>
        <v/>
      </c>
    </row>
    <row r="15" spans="1:10" ht="14.1" customHeight="1" x14ac:dyDescent="0.2">
      <c r="A15" s="284" t="s">
        <v>113</v>
      </c>
      <c r="B15" s="285">
        <v>8891279</v>
      </c>
      <c r="C15" s="291">
        <f>B15/'- 3 -'!D15*100</f>
        <v>45.558134192907204</v>
      </c>
      <c r="D15" s="285">
        <f>B15/'- 6 -'!B15</f>
        <v>6470.1491777033907</v>
      </c>
      <c r="E15" s="285">
        <v>0</v>
      </c>
      <c r="F15" s="291">
        <f>E15/'- 3 -'!D15*100</f>
        <v>0</v>
      </c>
      <c r="G15" s="285" t="str">
        <f>IF('- 6 -'!C15=0,"",E15/'- 6 -'!C15)</f>
        <v/>
      </c>
      <c r="H15" s="285">
        <v>0</v>
      </c>
      <c r="I15" s="291">
        <f>H15/'- 3 -'!D15*100</f>
        <v>0</v>
      </c>
      <c r="J15" s="285" t="str">
        <f>IF('- 6 -'!D15=0,"",H15/'- 6 -'!D15)</f>
        <v/>
      </c>
    </row>
    <row r="16" spans="1:10" ht="14.1" customHeight="1" x14ac:dyDescent="0.2">
      <c r="A16" s="19" t="s">
        <v>114</v>
      </c>
      <c r="B16" s="20">
        <v>4044115</v>
      </c>
      <c r="C16" s="70">
        <f>B16/'- 3 -'!D16*100</f>
        <v>27.896997336478162</v>
      </c>
      <c r="D16" s="20">
        <f>B16/'- 6 -'!B16</f>
        <v>7597.4356565846338</v>
      </c>
      <c r="E16" s="20">
        <v>0</v>
      </c>
      <c r="F16" s="70">
        <f>E16/'- 3 -'!D16*100</f>
        <v>0</v>
      </c>
      <c r="G16" s="20" t="str">
        <f>IF('- 6 -'!C16=0,"",E16/'- 6 -'!C16)</f>
        <v/>
      </c>
      <c r="H16" s="20">
        <v>0</v>
      </c>
      <c r="I16" s="70">
        <f>H16/'- 3 -'!D16*100</f>
        <v>0</v>
      </c>
      <c r="J16" s="20" t="str">
        <f>IF('- 6 -'!D16=0,"",H16/'- 6 -'!D16)</f>
        <v/>
      </c>
    </row>
    <row r="17" spans="1:10" ht="14.1" customHeight="1" x14ac:dyDescent="0.2">
      <c r="A17" s="284" t="s">
        <v>115</v>
      </c>
      <c r="B17" s="285">
        <v>8804742</v>
      </c>
      <c r="C17" s="291">
        <f>B17/'- 3 -'!D17*100</f>
        <v>49.06254635445962</v>
      </c>
      <c r="D17" s="285">
        <f>B17/'- 6 -'!B17</f>
        <v>6396.4707591718125</v>
      </c>
      <c r="E17" s="285">
        <v>0</v>
      </c>
      <c r="F17" s="291">
        <f>E17/'- 3 -'!D17*100</f>
        <v>0</v>
      </c>
      <c r="G17" s="285" t="str">
        <f>IF('- 6 -'!C17=0,"",E17/'- 6 -'!C17)</f>
        <v/>
      </c>
      <c r="H17" s="285">
        <v>0</v>
      </c>
      <c r="I17" s="291">
        <f>H17/'- 3 -'!D17*100</f>
        <v>0</v>
      </c>
      <c r="J17" s="285" t="str">
        <f>IF('- 6 -'!D17=0,"",H17/'- 6 -'!D17)</f>
        <v/>
      </c>
    </row>
    <row r="18" spans="1:10" ht="14.1" customHeight="1" x14ac:dyDescent="0.2">
      <c r="A18" s="19" t="s">
        <v>116</v>
      </c>
      <c r="B18" s="20">
        <v>47533245</v>
      </c>
      <c r="C18" s="70">
        <f>B18/'- 3 -'!D18*100</f>
        <v>36.946581796945999</v>
      </c>
      <c r="D18" s="20">
        <f>B18/'- 6 -'!B18</f>
        <v>7842.6050586546553</v>
      </c>
      <c r="E18" s="20">
        <v>0</v>
      </c>
      <c r="F18" s="70">
        <f>E18/'- 3 -'!D18*100</f>
        <v>0</v>
      </c>
      <c r="G18" s="20" t="str">
        <f>IF('- 6 -'!C18=0,"",E18/'- 6 -'!C18)</f>
        <v/>
      </c>
      <c r="H18" s="20">
        <v>0</v>
      </c>
      <c r="I18" s="70">
        <f>H18/'- 3 -'!D18*100</f>
        <v>0</v>
      </c>
      <c r="J18" s="20" t="str">
        <f>IF('- 6 -'!D18=0,"",H18/'- 6 -'!D18)</f>
        <v/>
      </c>
    </row>
    <row r="19" spans="1:10" ht="14.1" customHeight="1" x14ac:dyDescent="0.2">
      <c r="A19" s="284" t="s">
        <v>117</v>
      </c>
      <c r="B19" s="285">
        <v>22273211.509999998</v>
      </c>
      <c r="C19" s="291">
        <f>B19/'- 3 -'!D19*100</f>
        <v>48.260883175252786</v>
      </c>
      <c r="D19" s="285">
        <f>B19/'- 6 -'!B19</f>
        <v>5222.4463668550261</v>
      </c>
      <c r="E19" s="285">
        <v>0</v>
      </c>
      <c r="F19" s="291">
        <f>E19/'- 3 -'!D19*100</f>
        <v>0</v>
      </c>
      <c r="G19" s="285" t="str">
        <f>IF('- 6 -'!C19=0,"",E19/'- 6 -'!C19)</f>
        <v/>
      </c>
      <c r="H19" s="285">
        <v>0</v>
      </c>
      <c r="I19" s="291">
        <f>H19/'- 3 -'!D19*100</f>
        <v>0</v>
      </c>
      <c r="J19" s="285" t="str">
        <f>IF('- 6 -'!D19=0,"",H19/'- 6 -'!D19)</f>
        <v/>
      </c>
    </row>
    <row r="20" spans="1:10" ht="14.1" customHeight="1" x14ac:dyDescent="0.2">
      <c r="A20" s="19" t="s">
        <v>118</v>
      </c>
      <c r="B20" s="20">
        <v>41514748</v>
      </c>
      <c r="C20" s="70">
        <f>B20/'- 3 -'!D20*100</f>
        <v>50.474179926376429</v>
      </c>
      <c r="D20" s="20">
        <f>B20/'- 6 -'!B20</f>
        <v>5797.3961482656578</v>
      </c>
      <c r="E20" s="20">
        <v>0</v>
      </c>
      <c r="F20" s="70">
        <f>E20/'- 3 -'!D20*100</f>
        <v>0</v>
      </c>
      <c r="G20" s="20" t="str">
        <f>IF('- 6 -'!C20=0,"",E20/'- 6 -'!C20)</f>
        <v/>
      </c>
      <c r="H20" s="20">
        <v>0</v>
      </c>
      <c r="I20" s="70">
        <f>H20/'- 3 -'!D20*100</f>
        <v>0</v>
      </c>
      <c r="J20" s="20" t="str">
        <f>IF('- 6 -'!D20=0,"",H20/'- 6 -'!D20)</f>
        <v/>
      </c>
    </row>
    <row r="21" spans="1:10" ht="14.1" customHeight="1" x14ac:dyDescent="0.2">
      <c r="A21" s="284" t="s">
        <v>119</v>
      </c>
      <c r="B21" s="285">
        <v>13799514</v>
      </c>
      <c r="C21" s="291">
        <f>B21/'- 3 -'!D21*100</f>
        <v>38.366215589192791</v>
      </c>
      <c r="D21" s="285">
        <f>B21/'- 6 -'!B21</f>
        <v>6727.8601725903181</v>
      </c>
      <c r="E21" s="285">
        <v>0</v>
      </c>
      <c r="F21" s="291">
        <f>E21/'- 3 -'!D21*100</f>
        <v>0</v>
      </c>
      <c r="G21" s="285" t="str">
        <f>IF('- 6 -'!C21=0,"",E21/'- 6 -'!C21)</f>
        <v/>
      </c>
      <c r="H21" s="285">
        <v>0</v>
      </c>
      <c r="I21" s="291">
        <f>H21/'- 3 -'!D21*100</f>
        <v>0</v>
      </c>
      <c r="J21" s="285" t="str">
        <f>IF('- 6 -'!D21=0,"",H21/'- 6 -'!D21)</f>
        <v/>
      </c>
    </row>
    <row r="22" spans="1:10" ht="14.1" customHeight="1" x14ac:dyDescent="0.2">
      <c r="A22" s="19" t="s">
        <v>120</v>
      </c>
      <c r="B22" s="20">
        <v>4609697</v>
      </c>
      <c r="C22" s="70">
        <f>B22/'- 3 -'!D22*100</f>
        <v>22.966623914051947</v>
      </c>
      <c r="D22" s="20">
        <f>B22/'- 6 -'!B22</f>
        <v>5412.9837952090184</v>
      </c>
      <c r="E22" s="20">
        <v>0</v>
      </c>
      <c r="F22" s="70">
        <f>E22/'- 3 -'!D22*100</f>
        <v>0</v>
      </c>
      <c r="G22" s="20" t="str">
        <f>IF('- 6 -'!C22=0,"",E22/'- 6 -'!C22)</f>
        <v/>
      </c>
      <c r="H22" s="20">
        <v>0</v>
      </c>
      <c r="I22" s="70">
        <f>H22/'- 3 -'!D22*100</f>
        <v>0</v>
      </c>
      <c r="J22" s="20" t="str">
        <f>IF('- 6 -'!D22=0,"",H22/'- 6 -'!D22)</f>
        <v/>
      </c>
    </row>
    <row r="23" spans="1:10" ht="14.1" customHeight="1" x14ac:dyDescent="0.2">
      <c r="A23" s="284" t="s">
        <v>121</v>
      </c>
      <c r="B23" s="285">
        <v>7855504</v>
      </c>
      <c r="C23" s="291">
        <f>B23/'- 3 -'!D23*100</f>
        <v>45.4145020042669</v>
      </c>
      <c r="D23" s="285">
        <f>B23/'- 6 -'!B23</f>
        <v>7177.2535404294194</v>
      </c>
      <c r="E23" s="285">
        <v>0</v>
      </c>
      <c r="F23" s="291">
        <f>E23/'- 3 -'!D23*100</f>
        <v>0</v>
      </c>
      <c r="G23" s="285" t="str">
        <f>IF('- 6 -'!C23=0,"",E23/'- 6 -'!C23)</f>
        <v/>
      </c>
      <c r="H23" s="285">
        <v>0</v>
      </c>
      <c r="I23" s="291">
        <f>H23/'- 3 -'!D23*100</f>
        <v>0</v>
      </c>
      <c r="J23" s="285" t="str">
        <f>IF('- 6 -'!D23=0,"",H23/'- 6 -'!D23)</f>
        <v/>
      </c>
    </row>
    <row r="24" spans="1:10" ht="14.1" customHeight="1" x14ac:dyDescent="0.2">
      <c r="A24" s="19" t="s">
        <v>122</v>
      </c>
      <c r="B24" s="20">
        <v>21418802</v>
      </c>
      <c r="C24" s="70">
        <f>B24/'- 3 -'!D24*100</f>
        <v>37.363080940094441</v>
      </c>
      <c r="D24" s="20">
        <f>B24/'- 6 -'!B24</f>
        <v>7661.0637384648398</v>
      </c>
      <c r="E24" s="20">
        <v>0</v>
      </c>
      <c r="F24" s="70">
        <f>E24/'- 3 -'!D24*100</f>
        <v>0</v>
      </c>
      <c r="G24" s="20" t="str">
        <f>IF('- 6 -'!C24=0,"",E24/'- 6 -'!C24)</f>
        <v/>
      </c>
      <c r="H24" s="20">
        <v>1625723</v>
      </c>
      <c r="I24" s="70">
        <f>H24/'- 3 -'!D24*100</f>
        <v>2.835920516711119</v>
      </c>
      <c r="J24" s="20">
        <f>IF('- 6 -'!D24=0,"",H24/'- 6 -'!D24)</f>
        <v>6759.7629937629936</v>
      </c>
    </row>
    <row r="25" spans="1:10" ht="14.1" customHeight="1" x14ac:dyDescent="0.2">
      <c r="A25" s="284" t="s">
        <v>123</v>
      </c>
      <c r="B25" s="285">
        <v>57455908</v>
      </c>
      <c r="C25" s="291">
        <f>B25/'- 3 -'!D25*100</f>
        <v>32.396167146582464</v>
      </c>
      <c r="D25" s="285">
        <f>B25/'- 6 -'!B25</f>
        <v>5874.4768214628957</v>
      </c>
      <c r="E25" s="285">
        <v>0</v>
      </c>
      <c r="F25" s="291">
        <f>E25/'- 3 -'!D25*100</f>
        <v>0</v>
      </c>
      <c r="G25" s="285" t="str">
        <f>IF('- 6 -'!C25=0,"",E25/'- 6 -'!C25)</f>
        <v/>
      </c>
      <c r="H25" s="285">
        <v>24979453</v>
      </c>
      <c r="I25" s="291">
        <f>H25/'- 3 -'!D25*100</f>
        <v>14.084513895737244</v>
      </c>
      <c r="J25" s="285">
        <f>IF('- 6 -'!D25=0,"",H25/'- 6 -'!D25)</f>
        <v>5602.784182666428</v>
      </c>
    </row>
    <row r="26" spans="1:10" ht="14.1" customHeight="1" x14ac:dyDescent="0.2">
      <c r="A26" s="19" t="s">
        <v>124</v>
      </c>
      <c r="B26" s="20">
        <v>16127772</v>
      </c>
      <c r="C26" s="70">
        <f>B26/'- 3 -'!D26*100</f>
        <v>39.348512343903835</v>
      </c>
      <c r="D26" s="20">
        <f>B26/'- 6 -'!B26</f>
        <v>6746.8925702811239</v>
      </c>
      <c r="E26" s="20">
        <v>0</v>
      </c>
      <c r="F26" s="70">
        <f>E26/'- 3 -'!D26*100</f>
        <v>0</v>
      </c>
      <c r="G26" s="20" t="str">
        <f>IF('- 6 -'!C26=0,"",E26/'- 6 -'!C26)</f>
        <v/>
      </c>
      <c r="H26" s="20">
        <v>1122318</v>
      </c>
      <c r="I26" s="70">
        <f>H26/'- 3 -'!D26*100</f>
        <v>2.7382296622735902</v>
      </c>
      <c r="J26" s="20">
        <f>IF('- 6 -'!D26=0,"",H26/'- 6 -'!D26)</f>
        <v>5611.59</v>
      </c>
    </row>
    <row r="27" spans="1:10" ht="14.1" customHeight="1" x14ac:dyDescent="0.2">
      <c r="A27" s="284" t="s">
        <v>125</v>
      </c>
      <c r="B27" s="285">
        <v>17548982</v>
      </c>
      <c r="C27" s="291">
        <f>B27/'- 3 -'!D27*100</f>
        <v>42.34099497266218</v>
      </c>
      <c r="D27" s="285">
        <f>B27/'- 6 -'!B27</f>
        <v>6975.091714859198</v>
      </c>
      <c r="E27" s="285">
        <v>0</v>
      </c>
      <c r="F27" s="291">
        <f>E27/'- 3 -'!D27*100</f>
        <v>0</v>
      </c>
      <c r="G27" s="285" t="str">
        <f>IF('- 6 -'!C27=0,"",E27/'- 6 -'!C27)</f>
        <v/>
      </c>
      <c r="H27" s="285">
        <v>0</v>
      </c>
      <c r="I27" s="291">
        <f>H27/'- 3 -'!D27*100</f>
        <v>0</v>
      </c>
      <c r="J27" s="285" t="str">
        <f>IF('- 6 -'!D27=0,"",H27/'- 6 -'!D27)</f>
        <v/>
      </c>
    </row>
    <row r="28" spans="1:10" ht="14.1" customHeight="1" x14ac:dyDescent="0.2">
      <c r="A28" s="19" t="s">
        <v>126</v>
      </c>
      <c r="B28" s="20">
        <v>14735051</v>
      </c>
      <c r="C28" s="70">
        <f>B28/'- 3 -'!D28*100</f>
        <v>52.239966495631442</v>
      </c>
      <c r="D28" s="20">
        <f>B28/'- 6 -'!B28</f>
        <v>7506.393785022924</v>
      </c>
      <c r="E28" s="20">
        <v>0</v>
      </c>
      <c r="F28" s="70">
        <f>E28/'- 3 -'!D28*100</f>
        <v>0</v>
      </c>
      <c r="G28" s="20" t="str">
        <f>IF('- 6 -'!C28=0,"",E28/'- 6 -'!C28)</f>
        <v/>
      </c>
      <c r="H28" s="20">
        <v>0</v>
      </c>
      <c r="I28" s="70">
        <f>H28/'- 3 -'!D28*100</f>
        <v>0</v>
      </c>
      <c r="J28" s="20" t="str">
        <f>IF('- 6 -'!D28=0,"",H28/'- 6 -'!D28)</f>
        <v/>
      </c>
    </row>
    <row r="29" spans="1:10" ht="14.1" customHeight="1" x14ac:dyDescent="0.2">
      <c r="A29" s="284" t="s">
        <v>127</v>
      </c>
      <c r="B29" s="285">
        <v>47801940</v>
      </c>
      <c r="C29" s="291">
        <f>B29/'- 3 -'!D29*100</f>
        <v>30.009425088202157</v>
      </c>
      <c r="D29" s="285">
        <f>B29/'- 6 -'!B29</f>
        <v>6029.1278299804499</v>
      </c>
      <c r="E29" s="285">
        <v>0</v>
      </c>
      <c r="F29" s="291">
        <f>E29/'- 3 -'!D29*100</f>
        <v>0</v>
      </c>
      <c r="G29" s="285" t="str">
        <f>IF('- 6 -'!C29=0,"",E29/'- 6 -'!C29)</f>
        <v/>
      </c>
      <c r="H29" s="285">
        <v>7064151</v>
      </c>
      <c r="I29" s="291">
        <f>H29/'- 3 -'!D29*100</f>
        <v>4.4347804764042698</v>
      </c>
      <c r="J29" s="285">
        <f>IF('- 6 -'!D29=0,"",H29/'- 6 -'!D29)</f>
        <v>5830.9129178704088</v>
      </c>
    </row>
    <row r="30" spans="1:10" ht="14.1" customHeight="1" x14ac:dyDescent="0.2">
      <c r="A30" s="19" t="s">
        <v>128</v>
      </c>
      <c r="B30" s="20">
        <v>7429118</v>
      </c>
      <c r="C30" s="70">
        <f>B30/'- 3 -'!D30*100</f>
        <v>52.682503077647489</v>
      </c>
      <c r="D30" s="20">
        <f>B30/'- 6 -'!B30</f>
        <v>7504.1595959595961</v>
      </c>
      <c r="E30" s="20">
        <v>0</v>
      </c>
      <c r="F30" s="70">
        <f>E30/'- 3 -'!D30*100</f>
        <v>0</v>
      </c>
      <c r="G30" s="20" t="str">
        <f>IF('- 6 -'!C30=0,"",E30/'- 6 -'!C30)</f>
        <v/>
      </c>
      <c r="H30" s="20">
        <v>0</v>
      </c>
      <c r="I30" s="70">
        <f>H30/'- 3 -'!D30*100</f>
        <v>0</v>
      </c>
      <c r="J30" s="20" t="str">
        <f>IF('- 6 -'!D30=0,"",H30/'- 6 -'!D30)</f>
        <v/>
      </c>
    </row>
    <row r="31" spans="1:10" ht="14.1" customHeight="1" x14ac:dyDescent="0.2">
      <c r="A31" s="284" t="s">
        <v>129</v>
      </c>
      <c r="B31" s="285">
        <v>14479047</v>
      </c>
      <c r="C31" s="291">
        <f>B31/'- 3 -'!D31*100</f>
        <v>38.590776250717965</v>
      </c>
      <c r="D31" s="285">
        <f>B31/'- 6 -'!B31</f>
        <v>6081.078118437631</v>
      </c>
      <c r="E31" s="285">
        <v>0</v>
      </c>
      <c r="F31" s="291">
        <f>E31/'- 3 -'!D31*100</f>
        <v>0</v>
      </c>
      <c r="G31" s="285" t="str">
        <f>IF('- 6 -'!C31=0,"",E31/'- 6 -'!C31)</f>
        <v/>
      </c>
      <c r="H31" s="285">
        <v>0</v>
      </c>
      <c r="I31" s="291">
        <f>H31/'- 3 -'!D31*100</f>
        <v>0</v>
      </c>
      <c r="J31" s="285" t="str">
        <f>IF('- 6 -'!D31=0,"",H31/'- 6 -'!D31)</f>
        <v/>
      </c>
    </row>
    <row r="32" spans="1:10" ht="14.1" customHeight="1" x14ac:dyDescent="0.2">
      <c r="A32" s="19" t="s">
        <v>130</v>
      </c>
      <c r="B32" s="20">
        <v>12149872</v>
      </c>
      <c r="C32" s="70">
        <f>B32/'- 3 -'!D32*100</f>
        <v>41.471217698914352</v>
      </c>
      <c r="D32" s="20">
        <f>B32/'- 6 -'!B32</f>
        <v>7044.2207792207801</v>
      </c>
      <c r="E32" s="20">
        <v>0</v>
      </c>
      <c r="F32" s="70">
        <f>E32/'- 3 -'!D32*100</f>
        <v>0</v>
      </c>
      <c r="G32" s="20" t="str">
        <f>IF('- 6 -'!C32=0,"",E32/'- 6 -'!C32)</f>
        <v/>
      </c>
      <c r="H32" s="20">
        <v>722675</v>
      </c>
      <c r="I32" s="70">
        <f>H32/'- 3 -'!D32*100</f>
        <v>2.4667101225891872</v>
      </c>
      <c r="J32" s="20">
        <f>IF('- 6 -'!D32=0,"",H32/'- 6 -'!D32)</f>
        <v>5997.3029045643152</v>
      </c>
    </row>
    <row r="33" spans="1:10" ht="14.1" customHeight="1" x14ac:dyDescent="0.2">
      <c r="A33" s="284" t="s">
        <v>131</v>
      </c>
      <c r="B33" s="285">
        <v>10831453</v>
      </c>
      <c r="C33" s="291">
        <f>B33/'- 3 -'!D33*100</f>
        <v>38.942846078429575</v>
      </c>
      <c r="D33" s="285">
        <f>B33/'- 6 -'!B33</f>
        <v>6667.1506832451068</v>
      </c>
      <c r="E33" s="285">
        <v>0</v>
      </c>
      <c r="F33" s="291">
        <f>E33/'- 3 -'!D33*100</f>
        <v>0</v>
      </c>
      <c r="G33" s="285" t="str">
        <f>IF('- 6 -'!C33=0,"",E33/'- 6 -'!C33)</f>
        <v/>
      </c>
      <c r="H33" s="285">
        <v>0</v>
      </c>
      <c r="I33" s="291">
        <f>H33/'- 3 -'!D33*100</f>
        <v>0</v>
      </c>
      <c r="J33" s="285" t="str">
        <f>IF('- 6 -'!D33=0,"",H33/'- 6 -'!D33)</f>
        <v/>
      </c>
    </row>
    <row r="34" spans="1:10" ht="14.1" customHeight="1" x14ac:dyDescent="0.2">
      <c r="A34" s="19" t="s">
        <v>132</v>
      </c>
      <c r="B34" s="20">
        <v>10049413</v>
      </c>
      <c r="C34" s="70">
        <f>B34/'- 3 -'!D34*100</f>
        <v>34.557514525148228</v>
      </c>
      <c r="D34" s="20">
        <f>B34/'- 6 -'!B34</f>
        <v>6297.8084853042546</v>
      </c>
      <c r="E34" s="20">
        <v>0</v>
      </c>
      <c r="F34" s="70">
        <f>E34/'- 3 -'!D34*100</f>
        <v>0</v>
      </c>
      <c r="G34" s="20" t="str">
        <f>IF('- 6 -'!C34=0,"",E34/'- 6 -'!C34)</f>
        <v/>
      </c>
      <c r="H34" s="20">
        <v>1727276</v>
      </c>
      <c r="I34" s="70">
        <f>H34/'- 3 -'!D34*100</f>
        <v>5.9396867716492432</v>
      </c>
      <c r="J34" s="20">
        <f>IF('- 6 -'!D34=0,"",H34/'- 6 -'!D34)</f>
        <v>7908.7728937728934</v>
      </c>
    </row>
    <row r="35" spans="1:10" ht="14.1" customHeight="1" x14ac:dyDescent="0.2">
      <c r="A35" s="284" t="s">
        <v>133</v>
      </c>
      <c r="B35" s="285">
        <v>54157148</v>
      </c>
      <c r="C35" s="291">
        <f>B35/'- 3 -'!D35*100</f>
        <v>29.392980997897038</v>
      </c>
      <c r="D35" s="285">
        <f>B35/'- 6 -'!B35</f>
        <v>5902.6864305177114</v>
      </c>
      <c r="E35" s="285">
        <v>0</v>
      </c>
      <c r="F35" s="291">
        <f>E35/'- 3 -'!D35*100</f>
        <v>0</v>
      </c>
      <c r="G35" s="285" t="str">
        <f>IF('- 6 -'!C35=0,"",E35/'- 6 -'!C35)</f>
        <v/>
      </c>
      <c r="H35" s="285">
        <v>6661471</v>
      </c>
      <c r="I35" s="291">
        <f>H35/'- 3 -'!D35*100</f>
        <v>3.6154136203967422</v>
      </c>
      <c r="J35" s="285">
        <f>IF('- 6 -'!D35=0,"",H35/'- 6 -'!D35)</f>
        <v>5446.8282910874896</v>
      </c>
    </row>
    <row r="36" spans="1:10" ht="14.1" customHeight="1" x14ac:dyDescent="0.2">
      <c r="A36" s="19" t="s">
        <v>134</v>
      </c>
      <c r="B36" s="20">
        <v>11552214</v>
      </c>
      <c r="C36" s="70">
        <f>B36/'- 3 -'!D36*100</f>
        <v>49.279589430815932</v>
      </c>
      <c r="D36" s="20">
        <f>B36/'- 6 -'!B36</f>
        <v>6959.5843123079703</v>
      </c>
      <c r="E36" s="20">
        <v>0</v>
      </c>
      <c r="F36" s="70">
        <f>E36/'- 3 -'!D36*100</f>
        <v>0</v>
      </c>
      <c r="G36" s="20" t="str">
        <f>IF('- 6 -'!C36=0,"",E36/'- 6 -'!C36)</f>
        <v/>
      </c>
      <c r="H36" s="20">
        <v>0</v>
      </c>
      <c r="I36" s="70">
        <f>H36/'- 3 -'!D36*100</f>
        <v>0</v>
      </c>
      <c r="J36" s="20" t="str">
        <f>IF('- 6 -'!D36=0,"",H36/'- 6 -'!D36)</f>
        <v/>
      </c>
    </row>
    <row r="37" spans="1:10" ht="14.1" customHeight="1" x14ac:dyDescent="0.2">
      <c r="A37" s="284" t="s">
        <v>135</v>
      </c>
      <c r="B37" s="285">
        <v>12170628</v>
      </c>
      <c r="C37" s="291">
        <f>B37/'- 3 -'!D37*100</f>
        <v>24.250003237816099</v>
      </c>
      <c r="D37" s="285">
        <f>B37/'- 6 -'!B37</f>
        <v>5763.972531375799</v>
      </c>
      <c r="E37" s="285">
        <v>0</v>
      </c>
      <c r="F37" s="291">
        <f>E37/'- 3 -'!D37*100</f>
        <v>0</v>
      </c>
      <c r="G37" s="285" t="str">
        <f>IF('- 6 -'!C37=0,"",E37/'- 6 -'!C37)</f>
        <v/>
      </c>
      <c r="H37" s="285">
        <v>4317923</v>
      </c>
      <c r="I37" s="291">
        <f>H37/'- 3 -'!D37*100</f>
        <v>8.6034711381073024</v>
      </c>
      <c r="J37" s="285">
        <f>IF('- 6 -'!D37=0,"",H37/'- 6 -'!D37)</f>
        <v>5711.5383597883601</v>
      </c>
    </row>
    <row r="38" spans="1:10" ht="14.1" customHeight="1" x14ac:dyDescent="0.2">
      <c r="A38" s="19" t="s">
        <v>136</v>
      </c>
      <c r="B38" s="20">
        <v>39929311</v>
      </c>
      <c r="C38" s="70">
        <f>B38/'- 3 -'!D38*100</f>
        <v>29.427907046125036</v>
      </c>
      <c r="D38" s="20">
        <f>B38/'- 6 -'!B38</f>
        <v>6377.7710160205734</v>
      </c>
      <c r="E38" s="20">
        <v>0</v>
      </c>
      <c r="F38" s="70">
        <f>E38/'- 3 -'!D38*100</f>
        <v>0</v>
      </c>
      <c r="G38" s="20" t="str">
        <f>IF('- 6 -'!C38=0,"",E38/'- 6 -'!C38)</f>
        <v/>
      </c>
      <c r="H38" s="20">
        <v>4081767</v>
      </c>
      <c r="I38" s="70">
        <f>H38/'- 3 -'!D38*100</f>
        <v>3.0082627736787306</v>
      </c>
      <c r="J38" s="20">
        <f>IF('- 6 -'!D38=0,"",H38/'- 6 -'!D38)</f>
        <v>7037.5293103448275</v>
      </c>
    </row>
    <row r="39" spans="1:10" ht="14.1" customHeight="1" x14ac:dyDescent="0.2">
      <c r="A39" s="284" t="s">
        <v>137</v>
      </c>
      <c r="B39" s="285">
        <v>10777504</v>
      </c>
      <c r="C39" s="291">
        <f>B39/'- 3 -'!D39*100</f>
        <v>50.230753775158419</v>
      </c>
      <c r="D39" s="285">
        <f>B39/'- 6 -'!B39</f>
        <v>7412.3136176066027</v>
      </c>
      <c r="E39" s="285">
        <v>0</v>
      </c>
      <c r="F39" s="291">
        <f>E39/'- 3 -'!D39*100</f>
        <v>0</v>
      </c>
      <c r="G39" s="285" t="str">
        <f>IF('- 6 -'!C39=0,"",E39/'- 6 -'!C39)</f>
        <v/>
      </c>
      <c r="H39" s="285">
        <v>0</v>
      </c>
      <c r="I39" s="291">
        <f>H39/'- 3 -'!D39*100</f>
        <v>0</v>
      </c>
      <c r="J39" s="285" t="str">
        <f>IF('- 6 -'!D39=0,"",H39/'- 6 -'!D39)</f>
        <v/>
      </c>
    </row>
    <row r="40" spans="1:10" ht="14.1" customHeight="1" x14ac:dyDescent="0.2">
      <c r="A40" s="19" t="s">
        <v>138</v>
      </c>
      <c r="B40" s="20">
        <v>34605586</v>
      </c>
      <c r="C40" s="70">
        <f>B40/'- 3 -'!D40*100</f>
        <v>33.16492964635264</v>
      </c>
      <c r="D40" s="20">
        <f>B40/'- 6 -'!B40</f>
        <v>6261.7544558038544</v>
      </c>
      <c r="E40" s="20">
        <v>0</v>
      </c>
      <c r="F40" s="70">
        <f>E40/'- 3 -'!D40*100</f>
        <v>0</v>
      </c>
      <c r="G40" s="20" t="str">
        <f>IF('- 6 -'!C40=0,"",E40/'- 6 -'!C40)</f>
        <v/>
      </c>
      <c r="H40" s="20">
        <v>5240444</v>
      </c>
      <c r="I40" s="70">
        <f>H40/'- 3 -'!D40*100</f>
        <v>5.0222804080142094</v>
      </c>
      <c r="J40" s="20">
        <f>IF('- 6 -'!D40=0,"",H40/'- 6 -'!D40)</f>
        <v>5628.8335123523093</v>
      </c>
    </row>
    <row r="41" spans="1:10" ht="14.1" customHeight="1" x14ac:dyDescent="0.2">
      <c r="A41" s="284" t="s">
        <v>139</v>
      </c>
      <c r="B41" s="285">
        <v>14468277</v>
      </c>
      <c r="C41" s="291">
        <f>B41/'- 3 -'!D41*100</f>
        <v>23.097362458781785</v>
      </c>
      <c r="D41" s="285">
        <f>B41/'- 6 -'!B41</f>
        <v>6965.949446316803</v>
      </c>
      <c r="E41" s="285">
        <v>0</v>
      </c>
      <c r="F41" s="291">
        <f>E41/'- 3 -'!D41*100</f>
        <v>0</v>
      </c>
      <c r="G41" s="285" t="str">
        <f>IF('- 6 -'!C41=0,"",E41/'- 6 -'!C41)</f>
        <v/>
      </c>
      <c r="H41" s="285">
        <v>0</v>
      </c>
      <c r="I41" s="291">
        <f>H41/'- 3 -'!D41*100</f>
        <v>0</v>
      </c>
      <c r="J41" s="285" t="str">
        <f>IF('- 6 -'!D41=0,"",H41/'- 6 -'!D41)</f>
        <v/>
      </c>
    </row>
    <row r="42" spans="1:10" ht="14.1" customHeight="1" x14ac:dyDescent="0.2">
      <c r="A42" s="19" t="s">
        <v>140</v>
      </c>
      <c r="B42" s="20">
        <v>6860896</v>
      </c>
      <c r="C42" s="70">
        <f>B42/'- 3 -'!D42*100</f>
        <v>33.86226923977091</v>
      </c>
      <c r="D42" s="20">
        <f>B42/'- 6 -'!B42</f>
        <v>6832.8811871327553</v>
      </c>
      <c r="E42" s="20">
        <v>0</v>
      </c>
      <c r="F42" s="70">
        <f>E42/'- 3 -'!D42*100</f>
        <v>0</v>
      </c>
      <c r="G42" s="20" t="str">
        <f>IF('- 6 -'!C42=0,"",E42/'- 6 -'!C42)</f>
        <v/>
      </c>
      <c r="H42" s="20">
        <v>0</v>
      </c>
      <c r="I42" s="70">
        <f>H42/'- 3 -'!D42*100</f>
        <v>0</v>
      </c>
      <c r="J42" s="20" t="str">
        <f>IF('- 6 -'!D42=0,"",H42/'- 6 -'!D42)</f>
        <v/>
      </c>
    </row>
    <row r="43" spans="1:10" ht="14.1" customHeight="1" x14ac:dyDescent="0.2">
      <c r="A43" s="284" t="s">
        <v>141</v>
      </c>
      <c r="B43" s="285">
        <v>6217767</v>
      </c>
      <c r="C43" s="291">
        <f>B43/'- 3 -'!D43*100</f>
        <v>46.934853521989631</v>
      </c>
      <c r="D43" s="285">
        <f>B43/'- 6 -'!B43</f>
        <v>6602.7046830200698</v>
      </c>
      <c r="E43" s="285">
        <v>0</v>
      </c>
      <c r="F43" s="291">
        <f>E43/'- 3 -'!D43*100</f>
        <v>0</v>
      </c>
      <c r="G43" s="285" t="str">
        <f>IF('- 6 -'!C43=0,"",E43/'- 6 -'!C43)</f>
        <v/>
      </c>
      <c r="H43" s="285">
        <v>0</v>
      </c>
      <c r="I43" s="291">
        <f>H43/'- 3 -'!D43*100</f>
        <v>0</v>
      </c>
      <c r="J43" s="285" t="str">
        <f>IF('- 6 -'!D43=0,"",H43/'- 6 -'!D43)</f>
        <v/>
      </c>
    </row>
    <row r="44" spans="1:10" ht="14.1" customHeight="1" x14ac:dyDescent="0.2">
      <c r="A44" s="19" t="s">
        <v>142</v>
      </c>
      <c r="B44" s="20">
        <v>5216074</v>
      </c>
      <c r="C44" s="70">
        <f>B44/'- 3 -'!D44*100</f>
        <v>48.259299012169478</v>
      </c>
      <c r="D44" s="20">
        <f>B44/'- 6 -'!B44</f>
        <v>7879.2658610271901</v>
      </c>
      <c r="E44" s="20">
        <v>0</v>
      </c>
      <c r="F44" s="70">
        <f>E44/'- 3 -'!D44*100</f>
        <v>0</v>
      </c>
      <c r="G44" s="20" t="str">
        <f>IF('- 6 -'!C44=0,"",E44/'- 6 -'!C44)</f>
        <v/>
      </c>
      <c r="H44" s="20">
        <v>352181</v>
      </c>
      <c r="I44" s="70">
        <f>H44/'- 3 -'!D44*100</f>
        <v>3.258390924937963</v>
      </c>
      <c r="J44" s="20">
        <f>IF('- 6 -'!D44=0,"",H44/'- 6 -'!D44)</f>
        <v>11180.349206349207</v>
      </c>
    </row>
    <row r="45" spans="1:10" ht="14.1" customHeight="1" x14ac:dyDescent="0.2">
      <c r="A45" s="284" t="s">
        <v>143</v>
      </c>
      <c r="B45" s="285">
        <v>4789621</v>
      </c>
      <c r="C45" s="291">
        <f>B45/'- 3 -'!D45*100</f>
        <v>24.866416799107689</v>
      </c>
      <c r="D45" s="285">
        <f>B45/'- 6 -'!B45</f>
        <v>6373.4145043246835</v>
      </c>
      <c r="E45" s="285">
        <v>0</v>
      </c>
      <c r="F45" s="291">
        <f>E45/'- 3 -'!D45*100</f>
        <v>0</v>
      </c>
      <c r="G45" s="285" t="str">
        <f>IF('- 6 -'!C45=0,"",E45/'- 6 -'!C45)</f>
        <v/>
      </c>
      <c r="H45" s="285">
        <v>0</v>
      </c>
      <c r="I45" s="291">
        <f>H45/'- 3 -'!D45*100</f>
        <v>0</v>
      </c>
      <c r="J45" s="285" t="str">
        <f>IF('- 6 -'!D45=0,"",H45/'- 6 -'!D45)</f>
        <v/>
      </c>
    </row>
    <row r="46" spans="1:10" ht="14.1" customHeight="1" x14ac:dyDescent="0.2">
      <c r="A46" s="19" t="s">
        <v>144</v>
      </c>
      <c r="B46" s="20">
        <v>134944427</v>
      </c>
      <c r="C46" s="70">
        <f>B46/'- 3 -'!D46*100</f>
        <v>34.489146041130923</v>
      </c>
      <c r="D46" s="20">
        <f>B46/'- 6 -'!B46</f>
        <v>6100.313594835653</v>
      </c>
      <c r="E46" s="20">
        <v>0</v>
      </c>
      <c r="F46" s="70">
        <f>E46/'- 3 -'!D46*100</f>
        <v>0</v>
      </c>
      <c r="G46" s="20" t="str">
        <f>IF('- 6 -'!C46=0,"",E46/'- 6 -'!C46)</f>
        <v/>
      </c>
      <c r="H46" s="20">
        <v>7352062</v>
      </c>
      <c r="I46" s="70">
        <f>H46/'- 3 -'!D46*100</f>
        <v>1.8790426967498934</v>
      </c>
      <c r="J46" s="20">
        <f>IF('- 6 -'!D46=0,"",H46/'- 6 -'!D46)</f>
        <v>5642.4113584036841</v>
      </c>
    </row>
    <row r="47" spans="1:10" ht="5.0999999999999996" customHeight="1" x14ac:dyDescent="0.2">
      <c r="A47" s="21"/>
      <c r="B47" s="22"/>
      <c r="C47"/>
      <c r="D47" s="22"/>
      <c r="E47" s="22"/>
      <c r="F47"/>
      <c r="G47" s="22"/>
      <c r="H47" s="22"/>
      <c r="I47"/>
      <c r="J47"/>
    </row>
    <row r="48" spans="1:10" ht="14.1" customHeight="1" x14ac:dyDescent="0.2">
      <c r="A48" s="286" t="s">
        <v>145</v>
      </c>
      <c r="B48" s="287">
        <f>SUM(B11:B46)</f>
        <v>789187154.50999999</v>
      </c>
      <c r="C48" s="294">
        <f>B48/'- 3 -'!D48*100</f>
        <v>34.417050644838099</v>
      </c>
      <c r="D48" s="287">
        <f>B48/'- 6 -'!B48</f>
        <v>6362.408377731982</v>
      </c>
      <c r="E48" s="287">
        <f>SUM(E11:E46)</f>
        <v>39988401</v>
      </c>
      <c r="F48" s="294">
        <f>E48/'- 3 -'!D48*100</f>
        <v>1.7439245108818546</v>
      </c>
      <c r="G48" s="287">
        <f>E48/'- 6 -'!C48</f>
        <v>7314.5053960124378</v>
      </c>
      <c r="H48" s="287">
        <f>SUM(H11:H46)</f>
        <v>67010463</v>
      </c>
      <c r="I48" s="294">
        <f>H48/'- 3 -'!D48*100</f>
        <v>2.9223771390919486</v>
      </c>
      <c r="J48" s="287">
        <f>H48/'- 6 -'!D48</f>
        <v>5766.9205149830468</v>
      </c>
    </row>
    <row r="49" spans="1:10" ht="5.0999999999999996" customHeight="1" x14ac:dyDescent="0.2">
      <c r="A49" s="21" t="s">
        <v>7</v>
      </c>
      <c r="B49" s="22"/>
      <c r="C49"/>
      <c r="D49" s="22"/>
      <c r="E49" s="22"/>
      <c r="F49"/>
      <c r="I49"/>
      <c r="J49"/>
    </row>
    <row r="50" spans="1:10" ht="14.1" customHeight="1" x14ac:dyDescent="0.2">
      <c r="A50" s="19" t="s">
        <v>146</v>
      </c>
      <c r="B50" s="20">
        <v>1557615</v>
      </c>
      <c r="C50" s="70">
        <f>B50/'- 3 -'!D50*100</f>
        <v>48.575554905503743</v>
      </c>
      <c r="D50" s="20">
        <f>B50/'- 6 -'!B50</f>
        <v>10049.129032258064</v>
      </c>
      <c r="E50" s="20">
        <v>0</v>
      </c>
      <c r="F50" s="70">
        <f>E50/'- 3 -'!D50*100</f>
        <v>0</v>
      </c>
      <c r="G50" s="20" t="str">
        <f>IF('- 6 -'!C50=0,"",E50/'- 6 -'!C50)</f>
        <v/>
      </c>
      <c r="H50" s="20">
        <v>0</v>
      </c>
      <c r="I50" s="70">
        <f>H50/'- 3 -'!D50*100</f>
        <v>0</v>
      </c>
      <c r="J50" s="20" t="str">
        <f>IF('- 6 -'!D50=0,"",H50/'- 6 -'!D50)</f>
        <v/>
      </c>
    </row>
    <row r="51" spans="1:10" ht="14.1" customHeight="1" x14ac:dyDescent="0.2">
      <c r="A51" s="284" t="s">
        <v>609</v>
      </c>
      <c r="B51" s="285">
        <v>418901</v>
      </c>
      <c r="C51" s="291">
        <f>B51/'- 3 -'!D51*100</f>
        <v>1.4436373978871939</v>
      </c>
      <c r="D51" s="285">
        <f>B51/'- 6 -'!B51</f>
        <v>3490.8416666666667</v>
      </c>
      <c r="E51" s="285">
        <v>0</v>
      </c>
      <c r="F51" s="291">
        <f>E51/'- 3 -'!D51*100</f>
        <v>0</v>
      </c>
      <c r="G51" s="285" t="str">
        <f>IF('- 6 -'!C51=0,"",E51/'- 6 -'!C51)</f>
        <v/>
      </c>
      <c r="H51" s="285">
        <v>0</v>
      </c>
      <c r="I51" s="291">
        <f>H51/'- 3 -'!D51*100</f>
        <v>0</v>
      </c>
      <c r="J51" s="285" t="str">
        <f>IF('- 6 -'!D51=0,"",H51/'- 6 -'!D51)</f>
        <v/>
      </c>
    </row>
    <row r="52" spans="1:10" ht="50.1" customHeight="1" x14ac:dyDescent="0.2">
      <c r="A52" s="23"/>
      <c r="B52" s="23"/>
      <c r="C52" s="23"/>
      <c r="D52" s="23"/>
      <c r="E52" s="23"/>
      <c r="F52" s="23"/>
      <c r="G52" s="23"/>
      <c r="H52" s="108"/>
      <c r="I52" s="108"/>
      <c r="J52" s="108"/>
    </row>
    <row r="53" spans="1:10" ht="15" customHeight="1" x14ac:dyDescent="0.2">
      <c r="A53" s="85" t="s">
        <v>343</v>
      </c>
      <c r="B53" s="85"/>
      <c r="C53" s="85"/>
      <c r="D53" s="85"/>
      <c r="E53" s="85"/>
      <c r="F53" s="85"/>
      <c r="G53" s="85"/>
      <c r="I53" s="85"/>
      <c r="J53" s="85"/>
    </row>
  </sheetData>
  <mergeCells count="6">
    <mergeCell ref="B7:D7"/>
    <mergeCell ref="E7:G7"/>
    <mergeCell ref="H7:J7"/>
    <mergeCell ref="D8:D9"/>
    <mergeCell ref="G8:G9"/>
    <mergeCell ref="J8:J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J53"/>
  <sheetViews>
    <sheetView showGridLines="0" showZeros="0" workbookViewId="0"/>
  </sheetViews>
  <sheetFormatPr defaultColWidth="15.83203125" defaultRowHeight="12" x14ac:dyDescent="0.2"/>
  <cols>
    <col min="1" max="1" width="31.83203125" style="2" customWidth="1"/>
    <col min="2" max="2" width="14.83203125" style="2" customWidth="1"/>
    <col min="3" max="3" width="7.83203125" style="2" customWidth="1"/>
    <col min="4" max="4" width="9.83203125" style="2" customWidth="1"/>
    <col min="5" max="5" width="10.83203125" style="2" customWidth="1"/>
    <col min="6" max="7" width="13.83203125" style="2" customWidth="1"/>
    <col min="8" max="8" width="15.83203125" style="2" customWidth="1"/>
    <col min="9" max="9" width="13.83203125" style="2" customWidth="1"/>
    <col min="10" max="16384" width="15.83203125" style="2"/>
  </cols>
  <sheetData>
    <row r="1" spans="1:9" ht="6.95" customHeight="1" x14ac:dyDescent="0.2">
      <c r="A1" s="7"/>
      <c r="B1" s="89"/>
      <c r="C1" s="89"/>
      <c r="D1" s="89"/>
      <c r="E1" s="89"/>
      <c r="F1" s="89"/>
      <c r="G1" s="89"/>
      <c r="H1" s="89"/>
      <c r="I1" s="89"/>
    </row>
    <row r="2" spans="1:9" ht="15.95" customHeight="1" x14ac:dyDescent="0.2">
      <c r="A2" s="134"/>
      <c r="B2" s="90" t="s">
        <v>263</v>
      </c>
      <c r="C2" s="91"/>
      <c r="D2" s="91"/>
      <c r="E2" s="91"/>
      <c r="F2" s="91"/>
      <c r="G2" s="91"/>
      <c r="H2" s="185"/>
      <c r="I2" s="395" t="s">
        <v>401</v>
      </c>
    </row>
    <row r="3" spans="1:9" ht="15.95" customHeight="1" x14ac:dyDescent="0.2">
      <c r="A3" s="541"/>
      <c r="B3" s="74" t="str">
        <f>OPYEAR</f>
        <v>OPERATING FUND 2016/2017 ACTUAL</v>
      </c>
      <c r="C3" s="94"/>
      <c r="D3" s="94"/>
      <c r="E3" s="94"/>
      <c r="F3" s="94"/>
      <c r="G3" s="94"/>
      <c r="H3" s="186"/>
      <c r="I3" s="187"/>
    </row>
    <row r="4" spans="1:9" ht="15.95" customHeight="1" x14ac:dyDescent="0.2">
      <c r="B4" s="89"/>
      <c r="C4" s="89"/>
      <c r="D4" s="89"/>
      <c r="E4" s="89"/>
      <c r="F4" s="89"/>
      <c r="G4" s="89"/>
      <c r="H4" s="89"/>
      <c r="I4" s="89"/>
    </row>
    <row r="5" spans="1:9" ht="15.95" customHeight="1" x14ac:dyDescent="0.2">
      <c r="B5" s="188" t="s">
        <v>13</v>
      </c>
      <c r="C5" s="189"/>
      <c r="D5" s="189"/>
      <c r="E5" s="189"/>
      <c r="F5" s="189"/>
      <c r="G5" s="189"/>
      <c r="H5" s="189"/>
      <c r="I5" s="190"/>
    </row>
    <row r="6" spans="1:9" ht="15.95" customHeight="1" x14ac:dyDescent="0.2">
      <c r="B6" s="328" t="s">
        <v>245</v>
      </c>
      <c r="C6" s="329"/>
      <c r="D6" s="329"/>
      <c r="E6" s="329"/>
      <c r="F6" s="329"/>
      <c r="G6" s="329"/>
      <c r="H6" s="329"/>
      <c r="I6" s="330"/>
    </row>
    <row r="7" spans="1:9" ht="15.95" customHeight="1" x14ac:dyDescent="0.2">
      <c r="B7" s="179"/>
      <c r="C7" s="191"/>
      <c r="D7" s="191"/>
      <c r="E7" s="658" t="s">
        <v>480</v>
      </c>
      <c r="F7" s="661" t="s">
        <v>83</v>
      </c>
      <c r="G7" s="662"/>
      <c r="H7" s="662"/>
      <c r="I7" s="663"/>
    </row>
    <row r="8" spans="1:9" ht="15.95" customHeight="1" x14ac:dyDescent="0.2">
      <c r="A8" s="67"/>
      <c r="B8" s="192"/>
      <c r="C8" s="192"/>
      <c r="D8" s="656" t="s">
        <v>327</v>
      </c>
      <c r="E8" s="659"/>
      <c r="F8" s="192"/>
      <c r="G8" s="193"/>
      <c r="H8" s="664" t="s">
        <v>22</v>
      </c>
      <c r="I8" s="192"/>
    </row>
    <row r="9" spans="1:9" ht="15.95" customHeight="1" x14ac:dyDescent="0.2">
      <c r="A9" s="35" t="s">
        <v>42</v>
      </c>
      <c r="B9" s="101" t="s">
        <v>43</v>
      </c>
      <c r="C9" s="101" t="s">
        <v>44</v>
      </c>
      <c r="D9" s="657"/>
      <c r="E9" s="660"/>
      <c r="F9" s="101" t="s">
        <v>38</v>
      </c>
      <c r="G9" s="194" t="s">
        <v>21</v>
      </c>
      <c r="H9" s="665"/>
      <c r="I9" s="101" t="s">
        <v>24</v>
      </c>
    </row>
    <row r="10" spans="1:9" ht="5.0999999999999996" customHeight="1" x14ac:dyDescent="0.2">
      <c r="A10" s="6"/>
      <c r="B10" s="85"/>
      <c r="C10" s="85"/>
      <c r="D10" s="85"/>
      <c r="E10" s="85"/>
      <c r="F10" s="85"/>
      <c r="G10" s="85"/>
      <c r="H10" s="85"/>
      <c r="I10" s="85"/>
    </row>
    <row r="11" spans="1:9" ht="14.1" customHeight="1" x14ac:dyDescent="0.2">
      <c r="A11" s="331" t="s">
        <v>110</v>
      </c>
      <c r="B11" s="285">
        <v>0</v>
      </c>
      <c r="C11" s="291">
        <f>B11/'- 3 -'!D11*100</f>
        <v>0</v>
      </c>
      <c r="D11" s="332" t="str">
        <f>IF(E11=0,"",B11/E11)</f>
        <v/>
      </c>
      <c r="E11" s="333">
        <f>SUM('- 6 -'!E11:H11)</f>
        <v>0</v>
      </c>
      <c r="F11" s="291" t="str">
        <f>IF(E11=0,"",'- 6 -'!E11/E11*100)</f>
        <v/>
      </c>
      <c r="G11" s="291" t="str">
        <f>IF(E11=0,"",'- 6 -'!F11/E11*100)</f>
        <v/>
      </c>
      <c r="H11" s="291" t="str">
        <f>IF(E11=0,"",'- 6 -'!G11/E11*100)</f>
        <v/>
      </c>
      <c r="I11" s="291" t="str">
        <f>IF(E11=0,"",'- 6 -'!H11/E11*100)</f>
        <v/>
      </c>
    </row>
    <row r="12" spans="1:9" ht="14.1" customHeight="1" x14ac:dyDescent="0.2">
      <c r="A12" s="19" t="s">
        <v>111</v>
      </c>
      <c r="B12" s="20">
        <v>0</v>
      </c>
      <c r="C12" s="70">
        <f>B12/'- 3 -'!D12*100</f>
        <v>0</v>
      </c>
      <c r="D12" s="195" t="str">
        <f t="shared" ref="D12:D46" si="0">IF(E12=0,"",B12/E12)</f>
        <v/>
      </c>
      <c r="E12" s="196">
        <f>SUM('- 6 -'!E12:H12)</f>
        <v>0</v>
      </c>
      <c r="F12" s="70" t="str">
        <f>IF(E12=0,"",'- 6 -'!E12/E12*100)</f>
        <v/>
      </c>
      <c r="G12" s="70" t="str">
        <f>IF(E12=0,"",'- 6 -'!F12/E12*100)</f>
        <v/>
      </c>
      <c r="H12" s="70" t="str">
        <f>IF(E12=0,"",'- 6 -'!G12/E12*100)</f>
        <v/>
      </c>
      <c r="I12" s="70" t="str">
        <f>IF(E12=0,"",'- 6 -'!H12/E12*100)</f>
        <v/>
      </c>
    </row>
    <row r="13" spans="1:9" ht="14.1" customHeight="1" x14ac:dyDescent="0.2">
      <c r="A13" s="331" t="s">
        <v>112</v>
      </c>
      <c r="B13" s="285">
        <v>6911253</v>
      </c>
      <c r="C13" s="291">
        <f>B13/'- 3 -'!D13*100</f>
        <v>7.2058269160969672</v>
      </c>
      <c r="D13" s="332">
        <f t="shared" si="0"/>
        <v>4889.4609126282276</v>
      </c>
      <c r="E13" s="333">
        <f>SUM('- 6 -'!E13:H13)</f>
        <v>1413.5</v>
      </c>
      <c r="F13" s="291">
        <f>IF(E13=0,"",'- 6 -'!E13/E13*100)</f>
        <v>71.595330739299612</v>
      </c>
      <c r="G13" s="291">
        <f>IF(E13=0,"",'- 6 -'!F13/E13*100)</f>
        <v>0</v>
      </c>
      <c r="H13" s="291">
        <f>IF(E13=0,"",'- 6 -'!G13/E13*100)</f>
        <v>28.404669260700388</v>
      </c>
      <c r="I13" s="291">
        <f>IF(E13=0,"",'- 6 -'!H13/E13*100)</f>
        <v>0</v>
      </c>
    </row>
    <row r="14" spans="1:9" ht="14.1" customHeight="1" x14ac:dyDescent="0.2">
      <c r="A14" s="19" t="s">
        <v>359</v>
      </c>
      <c r="B14" s="20">
        <v>0</v>
      </c>
      <c r="C14" s="70">
        <f>B14/'- 3 -'!D14*100</f>
        <v>0</v>
      </c>
      <c r="D14" s="195" t="str">
        <f t="shared" si="0"/>
        <v/>
      </c>
      <c r="E14" s="196">
        <f>SUM('- 6 -'!E14:H14)</f>
        <v>0</v>
      </c>
      <c r="F14" s="70" t="str">
        <f>IF(E14=0,"",'- 6 -'!E14/E14*100)</f>
        <v/>
      </c>
      <c r="G14" s="70" t="str">
        <f>IF(E14=0,"",'- 6 -'!F14/E14*100)</f>
        <v/>
      </c>
      <c r="H14" s="70" t="str">
        <f>IF(E14=0,"",'- 6 -'!G14/E14*100)</f>
        <v/>
      </c>
      <c r="I14" s="70" t="str">
        <f>IF(E14=0,"",'- 6 -'!H14/E14*100)</f>
        <v/>
      </c>
    </row>
    <row r="15" spans="1:9" ht="14.1" customHeight="1" x14ac:dyDescent="0.2">
      <c r="A15" s="331" t="s">
        <v>113</v>
      </c>
      <c r="B15" s="285">
        <v>0</v>
      </c>
      <c r="C15" s="291">
        <f>B15/'- 3 -'!D15*100</f>
        <v>0</v>
      </c>
      <c r="D15" s="332" t="str">
        <f t="shared" si="0"/>
        <v/>
      </c>
      <c r="E15" s="333">
        <f>SUM('- 6 -'!E15:H15)</f>
        <v>0</v>
      </c>
      <c r="F15" s="291" t="str">
        <f>IF(E15=0,"",'- 6 -'!E15/E15*100)</f>
        <v/>
      </c>
      <c r="G15" s="291" t="str">
        <f>IF(E15=0,"",'- 6 -'!F15/E15*100)</f>
        <v/>
      </c>
      <c r="H15" s="291" t="str">
        <f>IF(E15=0,"",'- 6 -'!G15/E15*100)</f>
        <v/>
      </c>
      <c r="I15" s="291" t="str">
        <f>IF(E15=0,"",'- 6 -'!H15/E15*100)</f>
        <v/>
      </c>
    </row>
    <row r="16" spans="1:9" ht="14.1" customHeight="1" x14ac:dyDescent="0.2">
      <c r="A16" s="19" t="s">
        <v>114</v>
      </c>
      <c r="B16" s="20">
        <v>2322369</v>
      </c>
      <c r="C16" s="70">
        <f>B16/'- 3 -'!D16*100</f>
        <v>16.020098787329111</v>
      </c>
      <c r="D16" s="195">
        <f t="shared" si="0"/>
        <v>6362.6547945205475</v>
      </c>
      <c r="E16" s="196">
        <f>SUM('- 6 -'!E16:H16)</f>
        <v>365</v>
      </c>
      <c r="F16" s="70">
        <f>IF(E16=0,"",'- 6 -'!E16/E16*100)</f>
        <v>70.821917808219183</v>
      </c>
      <c r="G16" s="70">
        <f>IF(E16=0,"",'- 6 -'!F16/E16*100)</f>
        <v>0</v>
      </c>
      <c r="H16" s="70">
        <f>IF(E16=0,"",'- 6 -'!G16/E16*100)</f>
        <v>29.178082191780824</v>
      </c>
      <c r="I16" s="70">
        <f>IF(E16=0,"",'- 6 -'!H16/E16*100)</f>
        <v>0</v>
      </c>
    </row>
    <row r="17" spans="1:9" ht="14.1" customHeight="1" x14ac:dyDescent="0.2">
      <c r="A17" s="331" t="s">
        <v>115</v>
      </c>
      <c r="B17" s="285">
        <v>0</v>
      </c>
      <c r="C17" s="291">
        <f>B17/'- 3 -'!D17*100</f>
        <v>0</v>
      </c>
      <c r="D17" s="332" t="str">
        <f t="shared" si="0"/>
        <v/>
      </c>
      <c r="E17" s="333">
        <f>SUM('- 6 -'!E17:H17)</f>
        <v>0</v>
      </c>
      <c r="F17" s="291" t="str">
        <f>IF(E17=0,"",'- 6 -'!E17/E17*100)</f>
        <v/>
      </c>
      <c r="G17" s="291" t="str">
        <f>IF(E17=0,"",'- 6 -'!F17/E17*100)</f>
        <v/>
      </c>
      <c r="H17" s="291" t="str">
        <f>IF(E17=0,"",'- 6 -'!G17/E17*100)</f>
        <v/>
      </c>
      <c r="I17" s="291" t="str">
        <f>IF(E17=0,"",'- 6 -'!H17/E17*100)</f>
        <v/>
      </c>
    </row>
    <row r="18" spans="1:9" ht="14.1" customHeight="1" x14ac:dyDescent="0.2">
      <c r="A18" s="19" t="s">
        <v>116</v>
      </c>
      <c r="B18" s="20">
        <v>0</v>
      </c>
      <c r="C18" s="70">
        <f>B18/'- 3 -'!D18*100</f>
        <v>0</v>
      </c>
      <c r="D18" s="195" t="str">
        <f t="shared" si="0"/>
        <v/>
      </c>
      <c r="E18" s="196">
        <f>SUM('- 6 -'!E18:H18)</f>
        <v>0</v>
      </c>
      <c r="F18" s="70" t="str">
        <f>IF(E18=0,"",'- 6 -'!E18/E18*100)</f>
        <v/>
      </c>
      <c r="G18" s="70" t="str">
        <f>IF(E18=0,"",'- 6 -'!F18/E18*100)</f>
        <v/>
      </c>
      <c r="H18" s="70" t="str">
        <f>IF(E18=0,"",'- 6 -'!G18/E18*100)</f>
        <v/>
      </c>
      <c r="I18" s="70" t="str">
        <f>IF(E18=0,"",'- 6 -'!H18/E18*100)</f>
        <v/>
      </c>
    </row>
    <row r="19" spans="1:9" ht="14.1" customHeight="1" x14ac:dyDescent="0.2">
      <c r="A19" s="331" t="s">
        <v>117</v>
      </c>
      <c r="B19" s="285">
        <v>0</v>
      </c>
      <c r="C19" s="291">
        <f>B19/'- 3 -'!D19*100</f>
        <v>0</v>
      </c>
      <c r="D19" s="332" t="str">
        <f t="shared" si="0"/>
        <v/>
      </c>
      <c r="E19" s="333">
        <f>SUM('- 6 -'!E19:H19)</f>
        <v>0</v>
      </c>
      <c r="F19" s="291" t="str">
        <f>IF(E19=0,"",'- 6 -'!E19/E19*100)</f>
        <v/>
      </c>
      <c r="G19" s="291" t="str">
        <f>IF(E19=0,"",'- 6 -'!F19/E19*100)</f>
        <v/>
      </c>
      <c r="H19" s="291" t="str">
        <f>IF(E19=0,"",'- 6 -'!G19/E19*100)</f>
        <v/>
      </c>
      <c r="I19" s="291" t="str">
        <f>IF(E19=0,"",'- 6 -'!H19/E19*100)</f>
        <v/>
      </c>
    </row>
    <row r="20" spans="1:9" ht="14.1" customHeight="1" x14ac:dyDescent="0.2">
      <c r="A20" s="19" t="s">
        <v>118</v>
      </c>
      <c r="B20" s="20">
        <v>0</v>
      </c>
      <c r="C20" s="70">
        <f>B20/'- 3 -'!D20*100</f>
        <v>0</v>
      </c>
      <c r="D20" s="195" t="str">
        <f t="shared" si="0"/>
        <v/>
      </c>
      <c r="E20" s="196">
        <f>SUM('- 6 -'!E20:H20)</f>
        <v>0</v>
      </c>
      <c r="F20" s="70" t="str">
        <f>IF(E20=0,"",'- 6 -'!E20/E20*100)</f>
        <v/>
      </c>
      <c r="G20" s="70" t="str">
        <f>IF(E20=0,"",'- 6 -'!F20/E20*100)</f>
        <v/>
      </c>
      <c r="H20" s="70" t="str">
        <f>IF(E20=0,"",'- 6 -'!G20/E20*100)</f>
        <v/>
      </c>
      <c r="I20" s="70" t="str">
        <f>IF(E20=0,"",'- 6 -'!H20/E20*100)</f>
        <v/>
      </c>
    </row>
    <row r="21" spans="1:9" ht="14.1" customHeight="1" x14ac:dyDescent="0.2">
      <c r="A21" s="331" t="s">
        <v>119</v>
      </c>
      <c r="B21" s="285">
        <v>3959915</v>
      </c>
      <c r="C21" s="291">
        <f>B21/'- 3 -'!D21*100</f>
        <v>11.009587193061899</v>
      </c>
      <c r="D21" s="332">
        <f t="shared" si="0"/>
        <v>5730.7018813314035</v>
      </c>
      <c r="E21" s="333">
        <f>SUM('- 6 -'!E21:H21)</f>
        <v>691</v>
      </c>
      <c r="F21" s="291">
        <f>IF(E21=0,"",'- 6 -'!E21/E21*100)</f>
        <v>64.978292329956588</v>
      </c>
      <c r="G21" s="291">
        <f>IF(E21=0,"",'- 6 -'!F21/E21*100)</f>
        <v>0</v>
      </c>
      <c r="H21" s="291">
        <f>IF(E21=0,"",'- 6 -'!G21/E21*100)</f>
        <v>35.021707670043419</v>
      </c>
      <c r="I21" s="291">
        <f>IF(E21=0,"",'- 6 -'!H21/E21*100)</f>
        <v>0</v>
      </c>
    </row>
    <row r="22" spans="1:9" ht="14.1" customHeight="1" x14ac:dyDescent="0.2">
      <c r="A22" s="19" t="s">
        <v>120</v>
      </c>
      <c r="B22" s="20">
        <v>4236286</v>
      </c>
      <c r="C22" s="70">
        <f>B22/'- 3 -'!D22*100</f>
        <v>21.106200115617899</v>
      </c>
      <c r="D22" s="195">
        <f t="shared" si="0"/>
        <v>6303.9970238095239</v>
      </c>
      <c r="E22" s="196">
        <f>SUM('- 6 -'!E22:H22)</f>
        <v>672</v>
      </c>
      <c r="F22" s="70">
        <f>IF(E22=0,"",'- 6 -'!E22/E22*100)</f>
        <v>81.62202380952381</v>
      </c>
      <c r="G22" s="70">
        <f>IF(E22=0,"",'- 6 -'!F22/E22*100)</f>
        <v>0</v>
      </c>
      <c r="H22" s="70">
        <f>IF(E22=0,"",'- 6 -'!G22/E22*100)</f>
        <v>18.377976190476193</v>
      </c>
      <c r="I22" s="70">
        <f>IF(E22=0,"",'- 6 -'!H22/E22*100)</f>
        <v>0</v>
      </c>
    </row>
    <row r="23" spans="1:9" ht="14.1" customHeight="1" x14ac:dyDescent="0.2">
      <c r="A23" s="331" t="s">
        <v>121</v>
      </c>
      <c r="B23" s="285">
        <v>0</v>
      </c>
      <c r="C23" s="291">
        <f>B23/'- 3 -'!D23*100</f>
        <v>0</v>
      </c>
      <c r="D23" s="332" t="str">
        <f t="shared" si="0"/>
        <v/>
      </c>
      <c r="E23" s="333">
        <f>SUM('- 6 -'!E23:H23)</f>
        <v>0</v>
      </c>
      <c r="F23" s="291" t="str">
        <f>IF(E23=0,"",'- 6 -'!E23/E23*100)</f>
        <v/>
      </c>
      <c r="G23" s="291" t="str">
        <f>IF(E23=0,"",'- 6 -'!F23/E23*100)</f>
        <v/>
      </c>
      <c r="H23" s="291" t="str">
        <f>IF(E23=0,"",'- 6 -'!G23/E23*100)</f>
        <v/>
      </c>
      <c r="I23" s="291" t="str">
        <f>IF(E23=0,"",'- 6 -'!H23/E23*100)</f>
        <v/>
      </c>
    </row>
    <row r="24" spans="1:9" ht="14.1" customHeight="1" x14ac:dyDescent="0.2">
      <c r="A24" s="19" t="s">
        <v>122</v>
      </c>
      <c r="B24" s="20">
        <v>4432973</v>
      </c>
      <c r="C24" s="70">
        <f>B24/'- 3 -'!D24*100</f>
        <v>7.7329035024579467</v>
      </c>
      <c r="D24" s="195">
        <f t="shared" si="0"/>
        <v>6747.2952815829531</v>
      </c>
      <c r="E24" s="196">
        <f>SUM('- 6 -'!E24:H24)</f>
        <v>657</v>
      </c>
      <c r="F24" s="70">
        <f>IF(E24=0,"",'- 6 -'!E24/E24*100)</f>
        <v>73.439878234398776</v>
      </c>
      <c r="G24" s="70">
        <f>IF(E24=0,"",'- 6 -'!F24/E24*100)</f>
        <v>0</v>
      </c>
      <c r="H24" s="70">
        <f>IF(E24=0,"",'- 6 -'!G24/E24*100)</f>
        <v>14.30745814307458</v>
      </c>
      <c r="I24" s="70">
        <f>IF(E24=0,"",'- 6 -'!H24/E24*100)</f>
        <v>12.252663622526635</v>
      </c>
    </row>
    <row r="25" spans="1:9" ht="14.1" customHeight="1" x14ac:dyDescent="0.2">
      <c r="A25" s="331" t="s">
        <v>123</v>
      </c>
      <c r="B25" s="285">
        <v>0</v>
      </c>
      <c r="C25" s="291">
        <f>B25/'- 3 -'!D25*100</f>
        <v>0</v>
      </c>
      <c r="D25" s="332" t="str">
        <f t="shared" si="0"/>
        <v/>
      </c>
      <c r="E25" s="333">
        <f>SUM('- 6 -'!E25:H25)</f>
        <v>0</v>
      </c>
      <c r="F25" s="291" t="str">
        <f>IF(E25=0,"",'- 6 -'!E25/E25*100)</f>
        <v/>
      </c>
      <c r="G25" s="291" t="str">
        <f>IF(E25=0,"",'- 6 -'!F25/E25*100)</f>
        <v/>
      </c>
      <c r="H25" s="291" t="str">
        <f>IF(E25=0,"",'- 6 -'!G25/E25*100)</f>
        <v/>
      </c>
      <c r="I25" s="291" t="str">
        <f>IF(E25=0,"",'- 6 -'!H25/E25*100)</f>
        <v/>
      </c>
    </row>
    <row r="26" spans="1:9" ht="14.1" customHeight="1" x14ac:dyDescent="0.2">
      <c r="A26" s="19" t="s">
        <v>124</v>
      </c>
      <c r="B26" s="20">
        <v>1786948</v>
      </c>
      <c r="C26" s="70">
        <f>B26/'- 3 -'!D26*100</f>
        <v>4.3597928738026717</v>
      </c>
      <c r="D26" s="195">
        <f t="shared" si="0"/>
        <v>5448.0121951219517</v>
      </c>
      <c r="E26" s="196">
        <f>SUM('- 6 -'!E26:H26)</f>
        <v>328</v>
      </c>
      <c r="F26" s="70">
        <f>IF(E26=0,"",'- 6 -'!E26/E26*100)</f>
        <v>62.195121951219512</v>
      </c>
      <c r="G26" s="70">
        <f>IF(E26=0,"",'- 6 -'!F26/E26*100)</f>
        <v>0</v>
      </c>
      <c r="H26" s="70">
        <f>IF(E26=0,"",'- 6 -'!G26/E26*100)</f>
        <v>14.939024390243901</v>
      </c>
      <c r="I26" s="70">
        <f>IF(E26=0,"",'- 6 -'!H26/E26*100)</f>
        <v>22.865853658536587</v>
      </c>
    </row>
    <row r="27" spans="1:9" ht="14.1" customHeight="1" x14ac:dyDescent="0.2">
      <c r="A27" s="331" t="s">
        <v>125</v>
      </c>
      <c r="B27" s="285">
        <v>2465367</v>
      </c>
      <c r="C27" s="291">
        <f>B27/'- 3 -'!D27*100</f>
        <v>5.9482704895798069</v>
      </c>
      <c r="D27" s="332">
        <f t="shared" si="0"/>
        <v>6801.0124137931034</v>
      </c>
      <c r="E27" s="333">
        <f>SUM('- 6 -'!E27:H27)</f>
        <v>362.5</v>
      </c>
      <c r="F27" s="291">
        <f>IF(E27=0,"",'- 6 -'!E27/E27*100)</f>
        <v>36.137931034482754</v>
      </c>
      <c r="G27" s="291">
        <f>IF(E27=0,"",'- 6 -'!F27/E27*100)</f>
        <v>0</v>
      </c>
      <c r="H27" s="291">
        <f>IF(E27=0,"",'- 6 -'!G27/E27*100)</f>
        <v>63.862068965517238</v>
      </c>
      <c r="I27" s="291">
        <f>IF(E27=0,"",'- 6 -'!H27/E27*100)</f>
        <v>0</v>
      </c>
    </row>
    <row r="28" spans="1:9" ht="14.1" customHeight="1" x14ac:dyDescent="0.2">
      <c r="A28" s="19" t="s">
        <v>126</v>
      </c>
      <c r="B28" s="20">
        <v>0</v>
      </c>
      <c r="C28" s="70">
        <f>B28/'- 3 -'!D28*100</f>
        <v>0</v>
      </c>
      <c r="D28" s="195" t="str">
        <f t="shared" si="0"/>
        <v/>
      </c>
      <c r="E28" s="196">
        <f>SUM('- 6 -'!E28:H28)</f>
        <v>0</v>
      </c>
      <c r="F28" s="70" t="str">
        <f>IF(E28=0,"",'- 6 -'!E28/E28*100)</f>
        <v/>
      </c>
      <c r="G28" s="70" t="str">
        <f>IF(E28=0,"",'- 6 -'!F28/E28*100)</f>
        <v/>
      </c>
      <c r="H28" s="70" t="str">
        <f>IF(E28=0,"",'- 6 -'!G28/E28*100)</f>
        <v/>
      </c>
      <c r="I28" s="70" t="str">
        <f>IF(E28=0,"",'- 6 -'!H28/E28*100)</f>
        <v/>
      </c>
    </row>
    <row r="29" spans="1:9" ht="14.1" customHeight="1" x14ac:dyDescent="0.2">
      <c r="A29" s="331" t="s">
        <v>127</v>
      </c>
      <c r="B29" s="285">
        <v>23683451</v>
      </c>
      <c r="C29" s="291">
        <f>B29/'- 3 -'!D29*100</f>
        <v>14.868156995607427</v>
      </c>
      <c r="D29" s="332">
        <f t="shared" si="0"/>
        <v>6007.3688616071431</v>
      </c>
      <c r="E29" s="333">
        <f>SUM('- 6 -'!E29:H29)</f>
        <v>3942.4</v>
      </c>
      <c r="F29" s="291">
        <f>IF(E29=0,"",'- 6 -'!E29/E29*100)</f>
        <v>61.926745129870127</v>
      </c>
      <c r="G29" s="291">
        <f>IF(E29=0,"",'- 6 -'!F29/E29*100)</f>
        <v>0</v>
      </c>
      <c r="H29" s="291">
        <f>IF(E29=0,"",'- 6 -'!G29/E29*100)</f>
        <v>38.073254870129873</v>
      </c>
      <c r="I29" s="291">
        <f>IF(E29=0,"",'- 6 -'!H29/E29*100)</f>
        <v>0</v>
      </c>
    </row>
    <row r="30" spans="1:9" ht="14.1" customHeight="1" x14ac:dyDescent="0.2">
      <c r="A30" s="19" t="s">
        <v>128</v>
      </c>
      <c r="B30" s="20">
        <v>0</v>
      </c>
      <c r="C30" s="70">
        <f>B30/'- 3 -'!D30*100</f>
        <v>0</v>
      </c>
      <c r="D30" s="195" t="str">
        <f t="shared" si="0"/>
        <v/>
      </c>
      <c r="E30" s="196">
        <f>SUM('- 6 -'!E30:H30)</f>
        <v>0</v>
      </c>
      <c r="F30" s="70" t="str">
        <f>IF(E30=0,"",'- 6 -'!E30/E30*100)</f>
        <v/>
      </c>
      <c r="G30" s="70" t="str">
        <f>IF(E30=0,"",'- 6 -'!F30/E30*100)</f>
        <v/>
      </c>
      <c r="H30" s="70" t="str">
        <f>IF(E30=0,"",'- 6 -'!G30/E30*100)</f>
        <v/>
      </c>
      <c r="I30" s="70" t="str">
        <f>IF(E30=0,"",'- 6 -'!H30/E30*100)</f>
        <v/>
      </c>
    </row>
    <row r="31" spans="1:9" ht="14.1" customHeight="1" x14ac:dyDescent="0.2">
      <c r="A31" s="331" t="s">
        <v>129</v>
      </c>
      <c r="B31" s="285">
        <v>3255819</v>
      </c>
      <c r="C31" s="291">
        <f>B31/'- 3 -'!D31*100</f>
        <v>8.6776831749932359</v>
      </c>
      <c r="D31" s="332">
        <f t="shared" si="0"/>
        <v>4496.9875690607732</v>
      </c>
      <c r="E31" s="333">
        <f>SUM('- 6 -'!E31:H31)</f>
        <v>724</v>
      </c>
      <c r="F31" s="291">
        <f>IF(E31=0,"",'- 6 -'!E31/E31*100)</f>
        <v>61.325966850828728</v>
      </c>
      <c r="G31" s="291">
        <f>IF(E31=0,"",'- 6 -'!F31/E31*100)</f>
        <v>0</v>
      </c>
      <c r="H31" s="291">
        <f>IF(E31=0,"",'- 6 -'!G31/E31*100)</f>
        <v>38.674033149171272</v>
      </c>
      <c r="I31" s="291">
        <f>IF(E31=0,"",'- 6 -'!H31/E31*100)</f>
        <v>0</v>
      </c>
    </row>
    <row r="32" spans="1:9" ht="14.1" customHeight="1" x14ac:dyDescent="0.2">
      <c r="A32" s="19" t="s">
        <v>130</v>
      </c>
      <c r="B32" s="20">
        <v>1223089</v>
      </c>
      <c r="C32" s="70">
        <f>B32/'- 3 -'!D32*100</f>
        <v>4.174775683574893</v>
      </c>
      <c r="D32" s="195">
        <f t="shared" si="0"/>
        <v>6488.5358090185673</v>
      </c>
      <c r="E32" s="196">
        <f>SUM('- 6 -'!E32:H32)</f>
        <v>188.5</v>
      </c>
      <c r="F32" s="70">
        <f>IF(E32=0,"",'- 6 -'!E32/E32*100)</f>
        <v>71.352785145888603</v>
      </c>
      <c r="G32" s="70">
        <f>IF(E32=0,"",'- 6 -'!F32/E32*100)</f>
        <v>0</v>
      </c>
      <c r="H32" s="70">
        <f>IF(E32=0,"",'- 6 -'!G32/E32*100)</f>
        <v>28.647214854111407</v>
      </c>
      <c r="I32" s="70">
        <f>IF(E32=0,"",'- 6 -'!H32/E32*100)</f>
        <v>0</v>
      </c>
    </row>
    <row r="33" spans="1:10" ht="14.1" customHeight="1" x14ac:dyDescent="0.2">
      <c r="A33" s="331" t="s">
        <v>131</v>
      </c>
      <c r="B33" s="285">
        <v>2691125</v>
      </c>
      <c r="C33" s="291">
        <f>B33/'- 3 -'!D33*100</f>
        <v>9.6755316810047365</v>
      </c>
      <c r="D33" s="332">
        <f t="shared" si="0"/>
        <v>7845.8454810495623</v>
      </c>
      <c r="E33" s="333">
        <f>SUM('- 6 -'!E33:H33)</f>
        <v>343</v>
      </c>
      <c r="F33" s="291">
        <f>IF(E33=0,"",'- 6 -'!E33/E33*100)</f>
        <v>47.084548104956269</v>
      </c>
      <c r="G33" s="291">
        <f>IF(E33=0,"",'- 6 -'!F33/E33*100)</f>
        <v>27.551020408163261</v>
      </c>
      <c r="H33" s="291">
        <f>IF(E33=0,"",'- 6 -'!G33/E33*100)</f>
        <v>25.364431486880466</v>
      </c>
      <c r="I33" s="291">
        <f>IF(E33=0,"",'- 6 -'!H33/E33*100)</f>
        <v>0</v>
      </c>
    </row>
    <row r="34" spans="1:10" ht="14.1" customHeight="1" x14ac:dyDescent="0.2">
      <c r="A34" s="19" t="s">
        <v>132</v>
      </c>
      <c r="B34" s="20">
        <v>1496229</v>
      </c>
      <c r="C34" s="70">
        <f>B34/'- 3 -'!D34*100</f>
        <v>5.1451717031082325</v>
      </c>
      <c r="D34" s="195">
        <f t="shared" si="0"/>
        <v>7407.0742574257429</v>
      </c>
      <c r="E34" s="196">
        <f>SUM('- 6 -'!E34:H34)</f>
        <v>202</v>
      </c>
      <c r="F34" s="70">
        <f>IF(E34=0,"",'- 6 -'!E34/E34*100)</f>
        <v>34.653465346534652</v>
      </c>
      <c r="G34" s="70">
        <f>IF(E34=0,"",'- 6 -'!F34/E34*100)</f>
        <v>65.346534653465355</v>
      </c>
      <c r="H34" s="70">
        <f>IF(E34=0,"",'- 6 -'!G34/E34*100)</f>
        <v>0</v>
      </c>
      <c r="I34" s="70">
        <f>IF(E34=0,"",'- 6 -'!H34/E34*100)</f>
        <v>0</v>
      </c>
    </row>
    <row r="35" spans="1:10" ht="14.1" customHeight="1" x14ac:dyDescent="0.2">
      <c r="A35" s="331" t="s">
        <v>133</v>
      </c>
      <c r="B35" s="285">
        <v>27050993</v>
      </c>
      <c r="C35" s="291">
        <f>B35/'- 3 -'!D35*100</f>
        <v>14.681521324262603</v>
      </c>
      <c r="D35" s="332">
        <f t="shared" si="0"/>
        <v>5930.9346634509975</v>
      </c>
      <c r="E35" s="333">
        <f>SUM('- 6 -'!E35:H35)</f>
        <v>4561</v>
      </c>
      <c r="F35" s="291">
        <f>IF(E35=0,"",'- 6 -'!E35/E35*100)</f>
        <v>55.240078930059198</v>
      </c>
      <c r="G35" s="291">
        <f>IF(E35=0,"",'- 6 -'!F35/E35*100)</f>
        <v>0</v>
      </c>
      <c r="H35" s="291">
        <f>IF(E35=0,"",'- 6 -'!G35/E35*100)</f>
        <v>36.472264854198642</v>
      </c>
      <c r="I35" s="291">
        <f>IF(E35=0,"",'- 6 -'!H35/E35*100)</f>
        <v>8.287656215742162</v>
      </c>
    </row>
    <row r="36" spans="1:10" ht="14.1" customHeight="1" x14ac:dyDescent="0.2">
      <c r="A36" s="19" t="s">
        <v>134</v>
      </c>
      <c r="B36" s="20">
        <v>0</v>
      </c>
      <c r="C36" s="70">
        <f>B36/'- 3 -'!D36*100</f>
        <v>0</v>
      </c>
      <c r="D36" s="195" t="str">
        <f t="shared" si="0"/>
        <v/>
      </c>
      <c r="E36" s="196">
        <f>SUM('- 6 -'!E36:H36)</f>
        <v>0</v>
      </c>
      <c r="F36" s="70" t="str">
        <f>IF(E36=0,"",'- 6 -'!E36/E36*100)</f>
        <v/>
      </c>
      <c r="G36" s="70" t="str">
        <f>IF(E36=0,"",'- 6 -'!F36/E36*100)</f>
        <v/>
      </c>
      <c r="H36" s="70" t="str">
        <f>IF(E36=0,"",'- 6 -'!G36/E36*100)</f>
        <v/>
      </c>
      <c r="I36" s="70" t="str">
        <f>IF(E36=0,"",'- 6 -'!H36/E36*100)</f>
        <v/>
      </c>
    </row>
    <row r="37" spans="1:10" ht="14.1" customHeight="1" x14ac:dyDescent="0.2">
      <c r="A37" s="331" t="s">
        <v>135</v>
      </c>
      <c r="B37" s="285">
        <v>7582874</v>
      </c>
      <c r="C37" s="291">
        <f>B37/'- 3 -'!D37*100</f>
        <v>15.108893234757605</v>
      </c>
      <c r="D37" s="332">
        <f t="shared" si="0"/>
        <v>5764.2523755226148</v>
      </c>
      <c r="E37" s="333">
        <f>SUM('- 6 -'!E37:H37)</f>
        <v>1315.5</v>
      </c>
      <c r="F37" s="291">
        <f>IF(E37=0,"",'- 6 -'!E37/E37*100)</f>
        <v>58.152793614595211</v>
      </c>
      <c r="G37" s="291">
        <f>IF(E37=0,"",'- 6 -'!F37/E37*100)</f>
        <v>0</v>
      </c>
      <c r="H37" s="291">
        <f>IF(E37=0,"",'- 6 -'!G37/E37*100)</f>
        <v>41.847206385404789</v>
      </c>
      <c r="I37" s="291">
        <f>IF(E37=0,"",'- 6 -'!H37/E37*100)</f>
        <v>0</v>
      </c>
    </row>
    <row r="38" spans="1:10" ht="14.1" customHeight="1" x14ac:dyDescent="0.2">
      <c r="A38" s="19" t="s">
        <v>136</v>
      </c>
      <c r="B38" s="20">
        <v>24662682</v>
      </c>
      <c r="C38" s="70">
        <f>B38/'- 3 -'!D38*100</f>
        <v>18.176399622927153</v>
      </c>
      <c r="D38" s="195">
        <f t="shared" si="0"/>
        <v>6185.6191216673778</v>
      </c>
      <c r="E38" s="196">
        <f>SUM('- 6 -'!E38:H38)</f>
        <v>3987.1</v>
      </c>
      <c r="F38" s="70">
        <f>IF(E38=0,"",'- 6 -'!E38/E38*100)</f>
        <v>60.39728123197311</v>
      </c>
      <c r="G38" s="70">
        <f>IF(E38=0,"",'- 6 -'!F38/E38*100)</f>
        <v>0</v>
      </c>
      <c r="H38" s="70">
        <f>IF(E38=0,"",'- 6 -'!G38/E38*100)</f>
        <v>29.745930626269722</v>
      </c>
      <c r="I38" s="70">
        <f>IF(E38=0,"",'- 6 -'!H38/E38*100)</f>
        <v>9.8567881417571677</v>
      </c>
    </row>
    <row r="39" spans="1:10" ht="14.1" customHeight="1" x14ac:dyDescent="0.2">
      <c r="A39" s="331" t="s">
        <v>137</v>
      </c>
      <c r="B39" s="285">
        <v>0</v>
      </c>
      <c r="C39" s="291">
        <f>B39/'- 3 -'!D39*100</f>
        <v>0</v>
      </c>
      <c r="D39" s="332" t="str">
        <f t="shared" si="0"/>
        <v/>
      </c>
      <c r="E39" s="333">
        <f>SUM('- 6 -'!E39:H39)</f>
        <v>0</v>
      </c>
      <c r="F39" s="291" t="str">
        <f>IF(E39=0,"",'- 6 -'!E39/E39*100)</f>
        <v/>
      </c>
      <c r="G39" s="291" t="str">
        <f>IF(E39=0,"",'- 6 -'!F39/E39*100)</f>
        <v/>
      </c>
      <c r="H39" s="291" t="str">
        <f>IF(E39=0,"",'- 6 -'!G39/E39*100)</f>
        <v/>
      </c>
      <c r="I39" s="291" t="str">
        <f>IF(E39=0,"",'- 6 -'!H39/E39*100)</f>
        <v/>
      </c>
    </row>
    <row r="40" spans="1:10" ht="14.1" customHeight="1" x14ac:dyDescent="0.2">
      <c r="A40" s="19" t="s">
        <v>138</v>
      </c>
      <c r="B40" s="20">
        <v>9194683</v>
      </c>
      <c r="C40" s="70">
        <f>B40/'- 3 -'!D40*100</f>
        <v>8.8119014894160337</v>
      </c>
      <c r="D40" s="195">
        <f t="shared" si="0"/>
        <v>5976.0061094501498</v>
      </c>
      <c r="E40" s="196">
        <f>SUM('- 6 -'!E40:H40)</f>
        <v>1538.6</v>
      </c>
      <c r="F40" s="70">
        <f>IF(E40=0,"",'- 6 -'!E40/E40*100)</f>
        <v>60.893019628233461</v>
      </c>
      <c r="G40" s="70">
        <f>IF(E40=0,"",'- 6 -'!F40/E40*100)</f>
        <v>0</v>
      </c>
      <c r="H40" s="70">
        <f>IF(E40=0,"",'- 6 -'!G40/E40*100)</f>
        <v>39.106980371766547</v>
      </c>
      <c r="I40" s="70">
        <f>IF(E40=0,"",'- 6 -'!H40/E40*100)</f>
        <v>0</v>
      </c>
    </row>
    <row r="41" spans="1:10" ht="14.1" customHeight="1" x14ac:dyDescent="0.2">
      <c r="A41" s="331" t="s">
        <v>139</v>
      </c>
      <c r="B41" s="285">
        <v>14620903</v>
      </c>
      <c r="C41" s="291">
        <f>B41/'- 3 -'!D41*100</f>
        <v>23.341016768319403</v>
      </c>
      <c r="D41" s="332">
        <f t="shared" si="0"/>
        <v>6139.3672055427251</v>
      </c>
      <c r="E41" s="333">
        <f>SUM('- 6 -'!E41:H41)</f>
        <v>2381.5</v>
      </c>
      <c r="F41" s="291">
        <f>IF(E41=0,"",'- 6 -'!E41/E41*100)</f>
        <v>68.780180558471542</v>
      </c>
      <c r="G41" s="291">
        <f>IF(E41=0,"",'- 6 -'!F41/E41*100)</f>
        <v>0</v>
      </c>
      <c r="H41" s="291">
        <f>IF(E41=0,"",'- 6 -'!G41/E41*100)</f>
        <v>28.322485828259502</v>
      </c>
      <c r="I41" s="291">
        <f>IF(E41=0,"",'- 6 -'!H41/E41*100)</f>
        <v>2.8973336132689478</v>
      </c>
    </row>
    <row r="42" spans="1:10" ht="14.1" customHeight="1" x14ac:dyDescent="0.2">
      <c r="A42" s="19" t="s">
        <v>140</v>
      </c>
      <c r="B42" s="20">
        <v>1732778</v>
      </c>
      <c r="C42" s="70">
        <f>B42/'- 3 -'!D42*100</f>
        <v>8.5522058880868848</v>
      </c>
      <c r="D42" s="195">
        <f t="shared" si="0"/>
        <v>7001.1232323232325</v>
      </c>
      <c r="E42" s="196">
        <f>SUM('- 6 -'!E42:H42)</f>
        <v>247.5</v>
      </c>
      <c r="F42" s="70">
        <f>IF(E42=0,"",'- 6 -'!E42/E42*100)</f>
        <v>67.474747474747474</v>
      </c>
      <c r="G42" s="70">
        <f>IF(E42=0,"",'- 6 -'!F42/E42*100)</f>
        <v>0</v>
      </c>
      <c r="H42" s="70">
        <f>IF(E42=0,"",'- 6 -'!G42/E42*100)</f>
        <v>32.525252525252526</v>
      </c>
      <c r="I42" s="70">
        <f>IF(E42=0,"",'- 6 -'!H42/E42*100)</f>
        <v>0</v>
      </c>
    </row>
    <row r="43" spans="1:10" ht="14.1" customHeight="1" x14ac:dyDescent="0.2">
      <c r="A43" s="331" t="s">
        <v>141</v>
      </c>
      <c r="B43" s="285">
        <v>0</v>
      </c>
      <c r="C43" s="291">
        <f>B43/'- 3 -'!D43*100</f>
        <v>0</v>
      </c>
      <c r="D43" s="332" t="str">
        <f t="shared" si="0"/>
        <v/>
      </c>
      <c r="E43" s="333">
        <f>SUM('- 6 -'!E43:H43)</f>
        <v>0</v>
      </c>
      <c r="F43" s="291" t="str">
        <f>IF(E43=0,"",'- 6 -'!E43/E43*100)</f>
        <v/>
      </c>
      <c r="G43" s="291" t="str">
        <f>IF(E43=0,"",'- 6 -'!F43/E43*100)</f>
        <v/>
      </c>
      <c r="H43" s="291" t="str">
        <f>IF(E43=0,"",'- 6 -'!G43/E43*100)</f>
        <v/>
      </c>
      <c r="I43" s="291" t="str">
        <f>IF(E43=0,"",'- 6 -'!H43/E43*100)</f>
        <v/>
      </c>
    </row>
    <row r="44" spans="1:10" ht="14.1" customHeight="1" x14ac:dyDescent="0.2">
      <c r="A44" s="19" t="s">
        <v>142</v>
      </c>
      <c r="B44" s="20">
        <v>0</v>
      </c>
      <c r="C44" s="70">
        <f>B44/'- 3 -'!D44*100</f>
        <v>0</v>
      </c>
      <c r="D44" s="195" t="str">
        <f t="shared" si="0"/>
        <v/>
      </c>
      <c r="E44" s="196">
        <f>SUM('- 6 -'!E44:H44)</f>
        <v>0</v>
      </c>
      <c r="F44" s="70" t="str">
        <f>IF(E44=0,"",'- 6 -'!E44/E44*100)</f>
        <v/>
      </c>
      <c r="G44" s="70" t="str">
        <f>IF(E44=0,"",'- 6 -'!F44/E44*100)</f>
        <v/>
      </c>
      <c r="H44" s="70" t="str">
        <f>IF(E44=0,"",'- 6 -'!G44/E44*100)</f>
        <v/>
      </c>
      <c r="I44" s="70" t="str">
        <f>IF(E44=0,"",'- 6 -'!H44/E44*100)</f>
        <v/>
      </c>
    </row>
    <row r="45" spans="1:10" ht="14.1" customHeight="1" x14ac:dyDescent="0.2">
      <c r="A45" s="331" t="s">
        <v>143</v>
      </c>
      <c r="B45" s="285">
        <v>5226732</v>
      </c>
      <c r="C45" s="291">
        <f>B45/'- 3 -'!D45*100</f>
        <v>27.135778887146543</v>
      </c>
      <c r="D45" s="332">
        <f t="shared" si="0"/>
        <v>5862.8513740886146</v>
      </c>
      <c r="E45" s="333">
        <f>SUM('- 6 -'!E45:H45)</f>
        <v>891.5</v>
      </c>
      <c r="F45" s="291">
        <f>IF(E45=0,"",'- 6 -'!E45/E45*100)</f>
        <v>74.593381940549634</v>
      </c>
      <c r="G45" s="291">
        <f>IF(E45=0,"",'- 6 -'!F45/E45*100)</f>
        <v>0</v>
      </c>
      <c r="H45" s="291">
        <f>IF(E45=0,"",'- 6 -'!G45/E45*100)</f>
        <v>25.406618059450363</v>
      </c>
      <c r="I45" s="291">
        <f>IF(E45=0,"",'- 6 -'!H45/E45*100)</f>
        <v>0</v>
      </c>
    </row>
    <row r="46" spans="1:10" ht="14.1" customHeight="1" x14ac:dyDescent="0.2">
      <c r="A46" s="19" t="s">
        <v>144</v>
      </c>
      <c r="B46" s="20">
        <v>30709580</v>
      </c>
      <c r="C46" s="70">
        <f>B46/'- 3 -'!D46*100</f>
        <v>7.848765695835616</v>
      </c>
      <c r="D46" s="195">
        <f t="shared" si="0"/>
        <v>5334.3025881535523</v>
      </c>
      <c r="E46" s="196">
        <f>SUM('- 6 -'!E46:H46)</f>
        <v>5757</v>
      </c>
      <c r="F46" s="70">
        <f>IF(E46=0,"",'- 6 -'!E46/E46*100)</f>
        <v>52.483932603786698</v>
      </c>
      <c r="G46" s="70">
        <f>IF(E46=0,"",'- 6 -'!F46/E46*100)</f>
        <v>0</v>
      </c>
      <c r="H46" s="70">
        <f>IF(E46=0,"",'- 6 -'!G46/E46*100)</f>
        <v>43.208268195240578</v>
      </c>
      <c r="I46" s="70">
        <f>IF(E46=0,"",'- 6 -'!H46/E46*100)</f>
        <v>4.3077992009727293</v>
      </c>
    </row>
    <row r="47" spans="1:10" ht="5.0999999999999996" customHeight="1" x14ac:dyDescent="0.2">
      <c r="A47"/>
      <c r="B47" s="22"/>
      <c r="C47"/>
      <c r="D47"/>
      <c r="E47"/>
      <c r="F47"/>
      <c r="G47"/>
      <c r="H47"/>
      <c r="I47"/>
      <c r="J47"/>
    </row>
    <row r="48" spans="1:10" ht="14.1" customHeight="1" x14ac:dyDescent="0.2">
      <c r="A48" s="286" t="s">
        <v>145</v>
      </c>
      <c r="B48" s="287">
        <f>SUM(B11:B46)</f>
        <v>179246049</v>
      </c>
      <c r="C48" s="294">
        <f>B48/'- 3 -'!D48*100</f>
        <v>7.817056209119988</v>
      </c>
      <c r="D48" s="334">
        <f>B48/E48</f>
        <v>5863.7310508168512</v>
      </c>
      <c r="E48" s="335">
        <f>SUM(E11:E46)</f>
        <v>30568.6</v>
      </c>
      <c r="F48" s="294">
        <f>IF(E48=0,"",'- 6 -'!E48/E48*100)</f>
        <v>60.381895147308029</v>
      </c>
      <c r="G48" s="294">
        <f>IF(E48=0,"",'- 6 -'!F48/E48*100)</f>
        <v>0.74095640624693315</v>
      </c>
      <c r="H48" s="294">
        <f>IF(E48=0,"",'- 6 -'!G48/E48*100)</f>
        <v>34.809248706188704</v>
      </c>
      <c r="I48" s="294">
        <f>IF(E48=0,"",'- 6 -'!H48/E48*100)</f>
        <v>4.0678997402563413</v>
      </c>
    </row>
    <row r="49" spans="1:9" ht="5.0999999999999996" customHeight="1" x14ac:dyDescent="0.2">
      <c r="A49" s="21" t="s">
        <v>7</v>
      </c>
      <c r="B49" s="22"/>
      <c r="C49"/>
      <c r="D49" s="22"/>
      <c r="E49" s="197"/>
      <c r="F49"/>
      <c r="G49"/>
      <c r="H49"/>
      <c r="I49"/>
    </row>
    <row r="50" spans="1:9" ht="14.1" customHeight="1" x14ac:dyDescent="0.2">
      <c r="A50" s="19" t="s">
        <v>146</v>
      </c>
      <c r="B50" s="20">
        <v>0</v>
      </c>
      <c r="C50" s="70">
        <f>B50/'- 3 -'!D50*100</f>
        <v>0</v>
      </c>
      <c r="D50" s="195" t="str">
        <f>IF(E50=0,"",B50/E50)</f>
        <v/>
      </c>
      <c r="E50" s="196">
        <f>SUM('- 6 -'!E50:H50)</f>
        <v>0</v>
      </c>
      <c r="F50" s="70" t="str">
        <f>IF(E50=0,"",'- 6 -'!E50/E50*100)</f>
        <v/>
      </c>
      <c r="G50" s="70" t="str">
        <f>IF(E50=0,"",'- 6 -'!F50/E50*100)</f>
        <v/>
      </c>
      <c r="H50" s="70" t="str">
        <f>IF(E50=0,"",'- 6 -'!G50/E50*100)</f>
        <v/>
      </c>
      <c r="I50" s="70" t="str">
        <f>IF(E50=0,"",'- 6 -'!H50/E50*100)</f>
        <v/>
      </c>
    </row>
    <row r="51" spans="1:9" ht="14.1" customHeight="1" x14ac:dyDescent="0.2">
      <c r="A51" s="331" t="s">
        <v>609</v>
      </c>
      <c r="B51" s="285">
        <v>0</v>
      </c>
      <c r="C51" s="291">
        <f>B51/'- 3 -'!D51*100</f>
        <v>0</v>
      </c>
      <c r="D51" s="332" t="str">
        <f>IF(E51=0,"",B51/E51)</f>
        <v/>
      </c>
      <c r="E51" s="333">
        <f>SUM('- 6 -'!E51:H51)</f>
        <v>0</v>
      </c>
      <c r="F51" s="291" t="str">
        <f>IF(E51=0,"",'- 6 -'!E51/E51*100)</f>
        <v/>
      </c>
      <c r="G51" s="291" t="str">
        <f>IF(E51=0,"",'- 6 -'!F51/E51*100)</f>
        <v/>
      </c>
      <c r="H51" s="291" t="str">
        <f>IF(E51=0,"",'- 6 -'!G51/E51*100)</f>
        <v/>
      </c>
      <c r="I51" s="291" t="str">
        <f>IF(E51=0,"",'- 6 -'!H51/E51*100)</f>
        <v/>
      </c>
    </row>
    <row r="52" spans="1:9" ht="50.1" customHeight="1" x14ac:dyDescent="0.2">
      <c r="A52" s="23"/>
      <c r="B52" s="108"/>
      <c r="C52" s="108"/>
      <c r="D52" s="108"/>
      <c r="E52" s="108"/>
      <c r="F52" s="108"/>
      <c r="G52" s="108"/>
      <c r="H52" s="108"/>
      <c r="I52" s="108"/>
    </row>
    <row r="53" spans="1:9" ht="15" customHeight="1" x14ac:dyDescent="0.2">
      <c r="A53" s="85" t="s">
        <v>344</v>
      </c>
      <c r="C53" s="85"/>
      <c r="D53" s="85"/>
      <c r="E53" s="85"/>
      <c r="F53" s="85"/>
      <c r="G53" s="85"/>
      <c r="H53" s="85"/>
      <c r="I53" s="85"/>
    </row>
  </sheetData>
  <mergeCells count="4">
    <mergeCell ref="D8:D9"/>
    <mergeCell ref="E7:E9"/>
    <mergeCell ref="F7:I7"/>
    <mergeCell ref="H8:H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I55"/>
  <sheetViews>
    <sheetView showGridLines="0" showZeros="0" workbookViewId="0"/>
  </sheetViews>
  <sheetFormatPr defaultColWidth="15.83203125" defaultRowHeight="12" x14ac:dyDescent="0.2"/>
  <cols>
    <col min="1" max="1" width="32.83203125" style="2" customWidth="1"/>
    <col min="2" max="2" width="15.83203125" style="2" customWidth="1"/>
    <col min="3" max="3" width="7.83203125" style="2" customWidth="1"/>
    <col min="4" max="4" width="9.83203125" style="2" customWidth="1"/>
    <col min="5" max="5" width="14.83203125" style="2" customWidth="1"/>
    <col min="6" max="6" width="7.83203125" style="2" customWidth="1"/>
    <col min="7" max="7" width="9.83203125" style="2" customWidth="1"/>
    <col min="8" max="8" width="15.83203125" style="2"/>
    <col min="9" max="9" width="7.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263</v>
      </c>
      <c r="C2" s="10"/>
      <c r="D2" s="10"/>
      <c r="E2" s="10"/>
      <c r="F2" s="10"/>
      <c r="G2" s="73"/>
      <c r="H2" s="73"/>
      <c r="I2" s="395" t="s">
        <v>402</v>
      </c>
    </row>
    <row r="3" spans="1:9" ht="15.95" customHeight="1" x14ac:dyDescent="0.2">
      <c r="A3" s="541"/>
      <c r="B3" s="11" t="str">
        <f>OPYEAR</f>
        <v>OPERATING FUND 2016/2017 ACTUAL</v>
      </c>
      <c r="C3" s="12"/>
      <c r="D3" s="12"/>
      <c r="E3" s="12"/>
      <c r="F3" s="12"/>
      <c r="G3" s="75"/>
      <c r="H3" s="75"/>
      <c r="I3" s="75"/>
    </row>
    <row r="4" spans="1:9" ht="15.95" customHeight="1" x14ac:dyDescent="0.2">
      <c r="B4" s="8"/>
      <c r="C4" s="8"/>
      <c r="D4" s="66"/>
      <c r="E4" s="8"/>
      <c r="F4" s="8"/>
      <c r="G4" s="8"/>
      <c r="H4" s="8"/>
      <c r="I4" s="8"/>
    </row>
    <row r="5" spans="1:9" ht="15.95" customHeight="1" x14ac:dyDescent="0.2">
      <c r="B5" s="393" t="s">
        <v>612</v>
      </c>
      <c r="C5" s="165"/>
      <c r="D5" s="166"/>
      <c r="E5" s="166"/>
      <c r="F5" s="166"/>
      <c r="G5" s="166"/>
      <c r="H5" s="547"/>
      <c r="I5" s="547"/>
    </row>
    <row r="6" spans="1:9" ht="15.95" customHeight="1" x14ac:dyDescent="0.2">
      <c r="B6" s="643" t="s">
        <v>481</v>
      </c>
      <c r="C6" s="651"/>
      <c r="D6" s="644"/>
      <c r="E6" s="647" t="s">
        <v>482</v>
      </c>
      <c r="F6" s="651"/>
      <c r="G6" s="668"/>
      <c r="H6" s="670" t="s">
        <v>483</v>
      </c>
      <c r="I6" s="671"/>
    </row>
    <row r="7" spans="1:9" ht="15.95" customHeight="1" x14ac:dyDescent="0.2">
      <c r="B7" s="645"/>
      <c r="C7" s="652"/>
      <c r="D7" s="646"/>
      <c r="E7" s="645"/>
      <c r="F7" s="652"/>
      <c r="G7" s="669"/>
      <c r="H7" s="672"/>
      <c r="I7" s="673"/>
    </row>
    <row r="8" spans="1:9" ht="15.95" customHeight="1" x14ac:dyDescent="0.2">
      <c r="A8" s="67"/>
      <c r="B8" s="137"/>
      <c r="C8" s="138"/>
      <c r="D8" s="596" t="s">
        <v>477</v>
      </c>
      <c r="E8" s="137"/>
      <c r="F8" s="139"/>
      <c r="G8" s="596" t="s">
        <v>477</v>
      </c>
      <c r="H8" s="137"/>
      <c r="I8" s="139"/>
    </row>
    <row r="9" spans="1:9" ht="15.95" customHeight="1" x14ac:dyDescent="0.2">
      <c r="A9" s="35" t="s">
        <v>42</v>
      </c>
      <c r="B9" s="77" t="s">
        <v>43</v>
      </c>
      <c r="C9" s="77" t="s">
        <v>44</v>
      </c>
      <c r="D9" s="598"/>
      <c r="E9" s="77" t="s">
        <v>43</v>
      </c>
      <c r="F9" s="77" t="s">
        <v>44</v>
      </c>
      <c r="G9" s="598"/>
      <c r="H9" s="77" t="s">
        <v>43</v>
      </c>
      <c r="I9" s="77" t="s">
        <v>44</v>
      </c>
    </row>
    <row r="10" spans="1:9" ht="5.0999999999999996" customHeight="1" x14ac:dyDescent="0.2">
      <c r="A10" s="6"/>
    </row>
    <row r="11" spans="1:9" ht="14.1" customHeight="1" x14ac:dyDescent="0.2">
      <c r="A11" s="284" t="s">
        <v>110</v>
      </c>
      <c r="B11" s="285">
        <v>124485</v>
      </c>
      <c r="C11" s="291">
        <f>B11/'- 3 -'!$D11*100</f>
        <v>0.65114645138130034</v>
      </c>
      <c r="D11" s="285">
        <f>B11/'- 7 -'!$E11</f>
        <v>70.489807474518685</v>
      </c>
      <c r="E11" s="285">
        <v>178758</v>
      </c>
      <c r="F11" s="291">
        <f>E11/'- 3 -'!$D11*100</f>
        <v>0.93503343660696869</v>
      </c>
      <c r="G11" s="285">
        <f>E11/'- 7 -'!$E11</f>
        <v>101.22197055492639</v>
      </c>
      <c r="H11" s="285">
        <v>220680</v>
      </c>
      <c r="I11" s="291">
        <f>H11/'- 3 -'!$D11*100</f>
        <v>1.1543157721076864</v>
      </c>
    </row>
    <row r="12" spans="1:9" ht="14.1" customHeight="1" x14ac:dyDescent="0.2">
      <c r="A12" s="19" t="s">
        <v>111</v>
      </c>
      <c r="B12" s="20">
        <v>169797</v>
      </c>
      <c r="C12" s="70">
        <f>B12/'- 3 -'!$D12*100</f>
        <v>0.50808921952975061</v>
      </c>
      <c r="D12" s="20">
        <f>B12/'- 7 -'!$E12</f>
        <v>80.109928994362008</v>
      </c>
      <c r="E12" s="20">
        <v>726817</v>
      </c>
      <c r="F12" s="70">
        <f>E12/'- 3 -'!$D12*100</f>
        <v>2.1748787214789114</v>
      </c>
      <c r="G12" s="20">
        <f>E12/'- 7 -'!$E12</f>
        <v>342.91099525842748</v>
      </c>
      <c r="H12" s="20">
        <v>0</v>
      </c>
      <c r="I12" s="70">
        <f>H12/'- 3 -'!$D12*100</f>
        <v>0</v>
      </c>
    </row>
    <row r="13" spans="1:9" ht="14.1" customHeight="1" x14ac:dyDescent="0.2">
      <c r="A13" s="284" t="s">
        <v>112</v>
      </c>
      <c r="B13" s="285">
        <v>232340</v>
      </c>
      <c r="C13" s="291">
        <f>B13/'- 3 -'!$D13*100</f>
        <v>0.24224287921249149</v>
      </c>
      <c r="D13" s="285">
        <f>B13/'- 7 -'!$E13</f>
        <v>27.747059174777572</v>
      </c>
      <c r="E13" s="285">
        <v>2537974</v>
      </c>
      <c r="F13" s="291">
        <f>E13/'- 3 -'!$D13*100</f>
        <v>2.6461484424827573</v>
      </c>
      <c r="G13" s="285">
        <f>E13/'- 7 -'!$E13</f>
        <v>303.09595748492268</v>
      </c>
      <c r="H13" s="285">
        <v>1459584</v>
      </c>
      <c r="I13" s="291">
        <f>H13/'- 3 -'!$D13*100</f>
        <v>1.5217949152642041</v>
      </c>
    </row>
    <row r="14" spans="1:9" ht="14.1" customHeight="1" x14ac:dyDescent="0.2">
      <c r="A14" s="19" t="s">
        <v>359</v>
      </c>
      <c r="B14" s="20">
        <v>413198</v>
      </c>
      <c r="C14" s="70">
        <f>B14/'- 3 -'!$D14*100</f>
        <v>0.49820186477667677</v>
      </c>
      <c r="D14" s="20">
        <f>B14/'- 7 -'!$E14</f>
        <v>75.357915355070261</v>
      </c>
      <c r="E14" s="20">
        <v>863082</v>
      </c>
      <c r="F14" s="70">
        <f>E14/'- 3 -'!$D14*100</f>
        <v>1.0406368420350138</v>
      </c>
      <c r="G14" s="20">
        <f>E14/'- 7 -'!$E14</f>
        <v>157.40652254000443</v>
      </c>
      <c r="H14" s="20">
        <v>416927</v>
      </c>
      <c r="I14" s="70">
        <f>H14/'- 3 -'!$D14*100</f>
        <v>0.50269800162572298</v>
      </c>
    </row>
    <row r="15" spans="1:9" ht="14.1" customHeight="1" x14ac:dyDescent="0.2">
      <c r="A15" s="284" t="s">
        <v>113</v>
      </c>
      <c r="B15" s="285">
        <v>215669</v>
      </c>
      <c r="C15" s="291">
        <f>B15/'- 3 -'!$D15*100</f>
        <v>1.1050690506112903</v>
      </c>
      <c r="D15" s="285">
        <f>B15/'- 7 -'!$E15</f>
        <v>154.13736420811892</v>
      </c>
      <c r="E15" s="285">
        <v>225768</v>
      </c>
      <c r="F15" s="291">
        <f>E15/'- 3 -'!$D15*100</f>
        <v>1.1568154413402474</v>
      </c>
      <c r="G15" s="285">
        <f>E15/'- 7 -'!$E15</f>
        <v>161.35506003430532</v>
      </c>
      <c r="H15" s="285">
        <v>0</v>
      </c>
      <c r="I15" s="291">
        <f>H15/'- 3 -'!$D15*100</f>
        <v>0</v>
      </c>
    </row>
    <row r="16" spans="1:9" ht="14.1" customHeight="1" x14ac:dyDescent="0.2">
      <c r="A16" s="19" t="s">
        <v>114</v>
      </c>
      <c r="B16" s="20">
        <v>189911</v>
      </c>
      <c r="C16" s="70">
        <f>B16/'- 3 -'!$D16*100</f>
        <v>1.3100385773322234</v>
      </c>
      <c r="D16" s="20">
        <f>B16/'- 7 -'!$E16</f>
        <v>210.12502766098694</v>
      </c>
      <c r="E16" s="20">
        <v>249484</v>
      </c>
      <c r="F16" s="70">
        <f>E16/'- 3 -'!$D16*100</f>
        <v>1.7209833260166734</v>
      </c>
      <c r="G16" s="20">
        <f>E16/'- 7 -'!$E16</f>
        <v>276.03894666961719</v>
      </c>
      <c r="H16" s="20">
        <v>96378</v>
      </c>
      <c r="I16" s="70">
        <f>H16/'- 3 -'!$D16*100</f>
        <v>0.66483193709750898</v>
      </c>
    </row>
    <row r="17" spans="1:9" ht="14.1" customHeight="1" x14ac:dyDescent="0.2">
      <c r="A17" s="284" t="s">
        <v>115</v>
      </c>
      <c r="B17" s="285">
        <v>116857</v>
      </c>
      <c r="C17" s="291">
        <f>B17/'- 3 -'!$D17*100</f>
        <v>0.6511607017381188</v>
      </c>
      <c r="D17" s="285">
        <f>B17/'- 7 -'!$E17</f>
        <v>83.618604651162784</v>
      </c>
      <c r="E17" s="285">
        <v>260139</v>
      </c>
      <c r="F17" s="291">
        <f>E17/'- 3 -'!$D17*100</f>
        <v>1.4495690783560462</v>
      </c>
      <c r="G17" s="285">
        <f>E17/'- 7 -'!$E17</f>
        <v>186.14597495527727</v>
      </c>
      <c r="H17" s="285">
        <v>201954</v>
      </c>
      <c r="I17" s="291">
        <f>H17/'- 3 -'!$D17*100</f>
        <v>1.1253455792876768</v>
      </c>
    </row>
    <row r="18" spans="1:9" ht="14.1" customHeight="1" x14ac:dyDescent="0.2">
      <c r="A18" s="19" t="s">
        <v>116</v>
      </c>
      <c r="B18" s="20">
        <v>0</v>
      </c>
      <c r="C18" s="70">
        <f>B18/'- 3 -'!$D18*100</f>
        <v>0</v>
      </c>
      <c r="D18" s="20">
        <f>B18/'- 7 -'!$E18</f>
        <v>0</v>
      </c>
      <c r="E18" s="20">
        <v>1607620</v>
      </c>
      <c r="F18" s="70">
        <f>E18/'- 3 -'!$D18*100</f>
        <v>1.2495688823350126</v>
      </c>
      <c r="G18" s="20">
        <f>E18/'- 7 -'!$E18</f>
        <v>263.76478695302632</v>
      </c>
      <c r="H18" s="20">
        <v>0</v>
      </c>
      <c r="I18" s="70">
        <f>H18/'- 3 -'!$D18*100</f>
        <v>0</v>
      </c>
    </row>
    <row r="19" spans="1:9" ht="14.1" customHeight="1" x14ac:dyDescent="0.2">
      <c r="A19" s="284" t="s">
        <v>117</v>
      </c>
      <c r="B19" s="285">
        <v>168334</v>
      </c>
      <c r="C19" s="291">
        <f>B19/'- 3 -'!$D19*100</f>
        <v>0.36474073371842203</v>
      </c>
      <c r="D19" s="285">
        <f>B19/'- 7 -'!$E19</f>
        <v>38.423647569048164</v>
      </c>
      <c r="E19" s="285">
        <v>933489</v>
      </c>
      <c r="F19" s="291">
        <f>E19/'- 3 -'!$D19*100</f>
        <v>2.0226541446058199</v>
      </c>
      <c r="G19" s="285">
        <f>E19/'- 7 -'!$E19</f>
        <v>213.07669481853458</v>
      </c>
      <c r="H19" s="285">
        <v>1655852</v>
      </c>
      <c r="I19" s="291">
        <f>H19/'- 3 -'!$D19*100</f>
        <v>3.5878472168968631</v>
      </c>
    </row>
    <row r="20" spans="1:9" ht="14.1" customHeight="1" x14ac:dyDescent="0.2">
      <c r="A20" s="19" t="s">
        <v>118</v>
      </c>
      <c r="B20" s="20">
        <v>526494</v>
      </c>
      <c r="C20" s="70">
        <f>B20/'- 3 -'!$D20*100</f>
        <v>0.64011837157623197</v>
      </c>
      <c r="D20" s="20">
        <f>B20/'- 7 -'!$E20</f>
        <v>68.953441162988668</v>
      </c>
      <c r="E20" s="20">
        <v>1493512</v>
      </c>
      <c r="F20" s="70">
        <f>E20/'- 3 -'!$D20*100</f>
        <v>1.8158316512050683</v>
      </c>
      <c r="G20" s="20">
        <f>E20/'- 7 -'!$E20</f>
        <v>195.60107393098028</v>
      </c>
      <c r="H20" s="20">
        <v>697317</v>
      </c>
      <c r="I20" s="70">
        <f>H20/'- 3 -'!$D20*100</f>
        <v>0.84780723524375079</v>
      </c>
    </row>
    <row r="21" spans="1:9" ht="14.1" customHeight="1" x14ac:dyDescent="0.2">
      <c r="A21" s="284" t="s">
        <v>119</v>
      </c>
      <c r="B21" s="285">
        <v>155422</v>
      </c>
      <c r="C21" s="291">
        <f>B21/'- 3 -'!$D21*100</f>
        <v>0.43211333089727089</v>
      </c>
      <c r="D21" s="285">
        <f>B21/'- 7 -'!$E21</f>
        <v>56.679916852047704</v>
      </c>
      <c r="E21" s="285">
        <v>676647</v>
      </c>
      <c r="F21" s="291">
        <f>E21/'- 3 -'!$D21*100</f>
        <v>1.8812535484786299</v>
      </c>
      <c r="G21" s="285">
        <f>E21/'- 7 -'!$E21</f>
        <v>246.76233543634442</v>
      </c>
      <c r="H21" s="285">
        <v>46139</v>
      </c>
      <c r="I21" s="291">
        <f>H21/'- 3 -'!$D21*100</f>
        <v>0.12827834524243145</v>
      </c>
    </row>
    <row r="22" spans="1:9" ht="14.1" customHeight="1" x14ac:dyDescent="0.2">
      <c r="A22" s="19" t="s">
        <v>120</v>
      </c>
      <c r="B22" s="20">
        <v>140875</v>
      </c>
      <c r="C22" s="70">
        <f>B22/'- 3 -'!$D22*100</f>
        <v>0.70187327798162613</v>
      </c>
      <c r="D22" s="20">
        <f>B22/'- 7 -'!$E22</f>
        <v>92.461932265686542</v>
      </c>
      <c r="E22" s="20">
        <v>271758</v>
      </c>
      <c r="F22" s="70">
        <f>E22/'- 3 -'!$D22*100</f>
        <v>1.3539639984222238</v>
      </c>
      <c r="G22" s="20">
        <f>E22/'- 7 -'!$E22</f>
        <v>178.36571278550801</v>
      </c>
      <c r="H22" s="20">
        <v>1210057</v>
      </c>
      <c r="I22" s="70">
        <f>H22/'- 3 -'!$D22*100</f>
        <v>6.0287962600504885</v>
      </c>
    </row>
    <row r="23" spans="1:9" ht="14.1" customHeight="1" x14ac:dyDescent="0.2">
      <c r="A23" s="284" t="s">
        <v>121</v>
      </c>
      <c r="B23" s="285">
        <v>100721</v>
      </c>
      <c r="C23" s="291">
        <f>B23/'- 3 -'!$D23*100</f>
        <v>0.58229160807145741</v>
      </c>
      <c r="D23" s="285">
        <f>B23/'- 7 -'!$E23</f>
        <v>90.373261552265589</v>
      </c>
      <c r="E23" s="285">
        <v>467800</v>
      </c>
      <c r="F23" s="291">
        <f>E23/'- 3 -'!$D23*100</f>
        <v>2.7044609789004062</v>
      </c>
      <c r="G23" s="285">
        <f>E23/'- 7 -'!$E23</f>
        <v>419.73979362943021</v>
      </c>
      <c r="H23" s="285">
        <v>0</v>
      </c>
      <c r="I23" s="291">
        <f>H23/'- 3 -'!$D23*100</f>
        <v>0</v>
      </c>
    </row>
    <row r="24" spans="1:9" ht="14.1" customHeight="1" x14ac:dyDescent="0.2">
      <c r="A24" s="19" t="s">
        <v>122</v>
      </c>
      <c r="B24" s="20">
        <v>259844</v>
      </c>
      <c r="C24" s="70">
        <f>B24/'- 3 -'!$D24*100</f>
        <v>0.45327336252503286</v>
      </c>
      <c r="D24" s="20">
        <f>B24/'- 7 -'!$E24</f>
        <v>65.811615125497042</v>
      </c>
      <c r="E24" s="20">
        <v>1600538</v>
      </c>
      <c r="F24" s="70">
        <f>E24/'- 3 -'!$D24*100</f>
        <v>2.7919876583992362</v>
      </c>
      <c r="G24" s="20">
        <f>E24/'- 7 -'!$E24</f>
        <v>405.37395841248133</v>
      </c>
      <c r="H24" s="20">
        <v>199067</v>
      </c>
      <c r="I24" s="70">
        <f>H24/'- 3 -'!$D24*100</f>
        <v>0.34725361546839917</v>
      </c>
    </row>
    <row r="25" spans="1:9" ht="14.1" customHeight="1" x14ac:dyDescent="0.2">
      <c r="A25" s="284" t="s">
        <v>123</v>
      </c>
      <c r="B25" s="285">
        <v>1444523</v>
      </c>
      <c r="C25" s="291">
        <f>B25/'- 3 -'!$D25*100</f>
        <v>0.81448558005701932</v>
      </c>
      <c r="D25" s="285">
        <f>B25/'- 7 -'!$E25</f>
        <v>100.76263087772655</v>
      </c>
      <c r="E25" s="285">
        <v>3267326</v>
      </c>
      <c r="F25" s="291">
        <f>E25/'- 3 -'!$D25*100</f>
        <v>1.8422620562949712</v>
      </c>
      <c r="G25" s="285">
        <f>E25/'- 7 -'!$E25</f>
        <v>227.91216456588006</v>
      </c>
      <c r="H25" s="285">
        <v>9379397</v>
      </c>
      <c r="I25" s="291">
        <f>H25/'- 3 -'!$D25*100</f>
        <v>5.2885164210816074</v>
      </c>
    </row>
    <row r="26" spans="1:9" ht="14.1" customHeight="1" x14ac:dyDescent="0.2">
      <c r="A26" s="19" t="s">
        <v>124</v>
      </c>
      <c r="B26" s="20">
        <v>142369</v>
      </c>
      <c r="C26" s="70">
        <f>B26/'- 3 -'!$D26*100</f>
        <v>0.34735165861033035</v>
      </c>
      <c r="D26" s="20">
        <f>B26/'- 7 -'!$E26</f>
        <v>46.58671465968586</v>
      </c>
      <c r="E26" s="20">
        <v>675366</v>
      </c>
      <c r="F26" s="70">
        <f>E26/'- 3 -'!$D26*100</f>
        <v>1.6477568871666188</v>
      </c>
      <c r="G26" s="20">
        <f>E26/'- 7 -'!$E26</f>
        <v>220.99672774869109</v>
      </c>
      <c r="H26" s="20">
        <v>280051</v>
      </c>
      <c r="I26" s="70">
        <f>H26/'- 3 -'!$D26*100</f>
        <v>0.68326798211325235</v>
      </c>
    </row>
    <row r="27" spans="1:9" ht="14.1" customHeight="1" x14ac:dyDescent="0.2">
      <c r="A27" s="284" t="s">
        <v>125</v>
      </c>
      <c r="B27" s="285">
        <v>200158</v>
      </c>
      <c r="C27" s="291">
        <f>B27/'- 3 -'!$D27*100</f>
        <v>0.48292766336748855</v>
      </c>
      <c r="D27" s="285">
        <f>B27/'- 7 -'!$E27</f>
        <v>66.992887624466562</v>
      </c>
      <c r="E27" s="285">
        <v>533113</v>
      </c>
      <c r="F27" s="291">
        <f>E27/'- 3 -'!$D27*100</f>
        <v>1.286258932447526</v>
      </c>
      <c r="G27" s="285">
        <f>E27/'- 7 -'!$E27</f>
        <v>178.43293448247005</v>
      </c>
      <c r="H27" s="285">
        <v>2082036</v>
      </c>
      <c r="I27" s="291">
        <f>H27/'- 3 -'!$D27*100</f>
        <v>5.023395420252962</v>
      </c>
    </row>
    <row r="28" spans="1:9" ht="14.1" customHeight="1" x14ac:dyDescent="0.2">
      <c r="A28" s="19" t="s">
        <v>126</v>
      </c>
      <c r="B28" s="20">
        <v>138331</v>
      </c>
      <c r="C28" s="70">
        <f>B28/'- 3 -'!$D28*100</f>
        <v>0.49042292458351133</v>
      </c>
      <c r="D28" s="20">
        <f>B28/'- 7 -'!$E28</f>
        <v>70.469179826795724</v>
      </c>
      <c r="E28" s="20">
        <v>402245</v>
      </c>
      <c r="F28" s="70">
        <f>E28/'- 3 -'!$D28*100</f>
        <v>1.4260734708712763</v>
      </c>
      <c r="G28" s="20">
        <f>E28/'- 7 -'!$E28</f>
        <v>204.91339786041772</v>
      </c>
      <c r="H28" s="20">
        <v>0</v>
      </c>
      <c r="I28" s="70">
        <f>H28/'- 3 -'!$D28*100</f>
        <v>0</v>
      </c>
    </row>
    <row r="29" spans="1:9" ht="14.1" customHeight="1" x14ac:dyDescent="0.2">
      <c r="A29" s="284" t="s">
        <v>127</v>
      </c>
      <c r="B29" s="285">
        <v>577671</v>
      </c>
      <c r="C29" s="291">
        <f>B29/'- 3 -'!$D29*100</f>
        <v>0.36265420608717613</v>
      </c>
      <c r="D29" s="285">
        <f>B29/'- 7 -'!$E29</f>
        <v>44.156347459181802</v>
      </c>
      <c r="E29" s="285">
        <v>2887362</v>
      </c>
      <c r="F29" s="291">
        <f>E29/'- 3 -'!$D29*100</f>
        <v>1.8126476381820813</v>
      </c>
      <c r="G29" s="285">
        <f>E29/'- 7 -'!$E29</f>
        <v>220.70583379196478</v>
      </c>
      <c r="H29" s="285">
        <v>636007</v>
      </c>
      <c r="I29" s="291">
        <f>H29/'- 3 -'!$D29*100</f>
        <v>0.39927677458429911</v>
      </c>
    </row>
    <row r="30" spans="1:9" ht="14.1" customHeight="1" x14ac:dyDescent="0.2">
      <c r="A30" s="19" t="s">
        <v>128</v>
      </c>
      <c r="B30" s="20">
        <v>143212</v>
      </c>
      <c r="C30" s="70">
        <f>B30/'- 3 -'!$D30*100</f>
        <v>1.0155669395419553</v>
      </c>
      <c r="D30" s="20">
        <f>B30/'- 7 -'!$E30</f>
        <v>143.33485845010009</v>
      </c>
      <c r="E30" s="20">
        <v>149152</v>
      </c>
      <c r="F30" s="70">
        <f>E30/'- 3 -'!$D30*100</f>
        <v>1.0576895802485946</v>
      </c>
      <c r="G30" s="20">
        <f>E30/'- 7 -'!$E30</f>
        <v>149.279954246497</v>
      </c>
      <c r="H30" s="20">
        <v>0</v>
      </c>
      <c r="I30" s="70">
        <f>H30/'- 3 -'!$D30*100</f>
        <v>0</v>
      </c>
    </row>
    <row r="31" spans="1:9" ht="14.1" customHeight="1" x14ac:dyDescent="0.2">
      <c r="A31" s="284" t="s">
        <v>129</v>
      </c>
      <c r="B31" s="285">
        <v>185951</v>
      </c>
      <c r="C31" s="291">
        <f>B31/'- 3 -'!$D31*100</f>
        <v>0.49561227576630257</v>
      </c>
      <c r="D31" s="285">
        <f>B31/'- 7 -'!$E31</f>
        <v>57.162926529357513</v>
      </c>
      <c r="E31" s="285">
        <v>565734</v>
      </c>
      <c r="F31" s="291">
        <f>E31/'- 3 -'!$D31*100</f>
        <v>1.5078419326509318</v>
      </c>
      <c r="G31" s="285">
        <f>E31/'- 7 -'!$E31</f>
        <v>173.91146633876423</v>
      </c>
      <c r="H31" s="285">
        <v>2076039</v>
      </c>
      <c r="I31" s="291">
        <f>H31/'- 3 -'!$D31*100</f>
        <v>5.533234095915585</v>
      </c>
    </row>
    <row r="32" spans="1:9" ht="14.1" customHeight="1" x14ac:dyDescent="0.2">
      <c r="A32" s="19" t="s">
        <v>130</v>
      </c>
      <c r="B32" s="20">
        <v>148545</v>
      </c>
      <c r="C32" s="70">
        <f>B32/'- 3 -'!$D32*100</f>
        <v>0.50702937718893115</v>
      </c>
      <c r="D32" s="20">
        <f>B32/'- 7 -'!$E32</f>
        <v>68.988017833921617</v>
      </c>
      <c r="E32" s="20">
        <v>405102</v>
      </c>
      <c r="F32" s="70">
        <f>E32/'- 3 -'!$D32*100</f>
        <v>1.3827366438317705</v>
      </c>
      <c r="G32" s="20">
        <f>E32/'- 7 -'!$E32</f>
        <v>188.13951328255621</v>
      </c>
      <c r="H32" s="20">
        <v>0</v>
      </c>
      <c r="I32" s="70">
        <f>H32/'- 3 -'!$D32*100</f>
        <v>0</v>
      </c>
    </row>
    <row r="33" spans="1:9" ht="14.1" customHeight="1" x14ac:dyDescent="0.2">
      <c r="A33" s="284" t="s">
        <v>131</v>
      </c>
      <c r="B33" s="285">
        <v>202194</v>
      </c>
      <c r="C33" s="291">
        <f>B33/'- 3 -'!$D33*100</f>
        <v>0.72695785320602779</v>
      </c>
      <c r="D33" s="285">
        <f>B33/'- 7 -'!$E33</f>
        <v>100.12082198564001</v>
      </c>
      <c r="E33" s="285">
        <v>308470</v>
      </c>
      <c r="F33" s="291">
        <f>E33/'- 3 -'!$D33*100</f>
        <v>1.1090570886300455</v>
      </c>
      <c r="G33" s="285">
        <f>E33/'- 7 -'!$E33</f>
        <v>152.74572914087645</v>
      </c>
      <c r="H33" s="285">
        <v>0</v>
      </c>
      <c r="I33" s="291">
        <f>H33/'- 3 -'!$D33*100</f>
        <v>0</v>
      </c>
    </row>
    <row r="34" spans="1:9" ht="14.1" customHeight="1" x14ac:dyDescent="0.2">
      <c r="A34" s="19" t="s">
        <v>132</v>
      </c>
      <c r="B34" s="20">
        <v>229484</v>
      </c>
      <c r="C34" s="70">
        <f>B34/'- 3 -'!$D34*100</f>
        <v>0.78914028742665032</v>
      </c>
      <c r="D34" s="20">
        <f>B34/'- 7 -'!$E34</f>
        <v>112.77409209297754</v>
      </c>
      <c r="E34" s="20">
        <v>465255</v>
      </c>
      <c r="F34" s="70">
        <f>E34/'- 3 -'!$D34*100</f>
        <v>1.599900055893597</v>
      </c>
      <c r="G34" s="20">
        <f>E34/'- 7 -'!$E34</f>
        <v>228.63777089783281</v>
      </c>
      <c r="H34" s="20">
        <v>759066</v>
      </c>
      <c r="I34" s="70">
        <f>H34/'- 3 -'!$D34*100</f>
        <v>2.6102454263294947</v>
      </c>
    </row>
    <row r="35" spans="1:9" ht="14.1" customHeight="1" x14ac:dyDescent="0.2">
      <c r="A35" s="284" t="s">
        <v>133</v>
      </c>
      <c r="B35" s="285">
        <v>882109</v>
      </c>
      <c r="C35" s="291">
        <f>B35/'- 3 -'!$D35*100</f>
        <v>0.47875144893290827</v>
      </c>
      <c r="D35" s="285">
        <f>B35/'- 7 -'!$E35</f>
        <v>56.516465914915429</v>
      </c>
      <c r="E35" s="285">
        <v>3212086</v>
      </c>
      <c r="F35" s="291">
        <f>E35/'- 3 -'!$D35*100</f>
        <v>1.7433115710157245</v>
      </c>
      <c r="G35" s="285">
        <f>E35/'- 7 -'!$E35</f>
        <v>205.79741158380318</v>
      </c>
      <c r="H35" s="285">
        <v>2846318</v>
      </c>
      <c r="I35" s="291">
        <f>H35/'- 3 -'!$D35*100</f>
        <v>1.5447964669035434</v>
      </c>
    </row>
    <row r="36" spans="1:9" ht="14.1" customHeight="1" x14ac:dyDescent="0.2">
      <c r="A36" s="19" t="s">
        <v>134</v>
      </c>
      <c r="B36" s="20">
        <v>214120</v>
      </c>
      <c r="C36" s="70">
        <f>B36/'- 3 -'!$D36*100</f>
        <v>0.91339596798728862</v>
      </c>
      <c r="D36" s="20">
        <f>B36/'- 7 -'!$E36</f>
        <v>128.40779610194903</v>
      </c>
      <c r="E36" s="20">
        <v>298907</v>
      </c>
      <c r="F36" s="70">
        <f>E36/'- 3 -'!$D36*100</f>
        <v>1.2750814898336282</v>
      </c>
      <c r="G36" s="20">
        <f>E36/'- 7 -'!$E36</f>
        <v>179.25457271364317</v>
      </c>
      <c r="H36" s="20">
        <v>2341</v>
      </c>
      <c r="I36" s="70">
        <f>H36/'- 3 -'!$D36*100</f>
        <v>9.9862691997862994E-3</v>
      </c>
    </row>
    <row r="37" spans="1:9" ht="14.1" customHeight="1" x14ac:dyDescent="0.2">
      <c r="A37" s="284" t="s">
        <v>135</v>
      </c>
      <c r="B37" s="285">
        <v>338127</v>
      </c>
      <c r="C37" s="291">
        <f>B37/'- 3 -'!$D37*100</f>
        <v>0.67371879617001229</v>
      </c>
      <c r="D37" s="285">
        <f>B37/'- 7 -'!$E37</f>
        <v>80.833612240019121</v>
      </c>
      <c r="E37" s="285">
        <v>701384</v>
      </c>
      <c r="F37" s="291">
        <f>E37/'- 3 -'!$D37*100</f>
        <v>1.3975091729820686</v>
      </c>
      <c r="G37" s="285">
        <f>E37/'- 7 -'!$E37</f>
        <v>167.6748744919914</v>
      </c>
      <c r="H37" s="285">
        <v>0</v>
      </c>
      <c r="I37" s="291">
        <f>H37/'- 3 -'!$D37*100</f>
        <v>0</v>
      </c>
    </row>
    <row r="38" spans="1:9" ht="14.1" customHeight="1" x14ac:dyDescent="0.2">
      <c r="A38" s="19" t="s">
        <v>136</v>
      </c>
      <c r="B38" s="20">
        <v>556544</v>
      </c>
      <c r="C38" s="70">
        <f>B38/'- 3 -'!$D38*100</f>
        <v>0.41017299544884739</v>
      </c>
      <c r="D38" s="20">
        <f>B38/'- 7 -'!$E38</f>
        <v>50.623442303843987</v>
      </c>
      <c r="E38" s="20">
        <v>1998078</v>
      </c>
      <c r="F38" s="70">
        <f>E38/'- 3 -'!$D38*100</f>
        <v>1.4725837281516683</v>
      </c>
      <c r="G38" s="20">
        <f>E38/'- 7 -'!$E38</f>
        <v>181.74589313976969</v>
      </c>
      <c r="H38" s="20">
        <v>874766</v>
      </c>
      <c r="I38" s="70">
        <f>H38/'- 3 -'!$D38*100</f>
        <v>0.6447026480149034</v>
      </c>
    </row>
    <row r="39" spans="1:9" ht="14.1" customHeight="1" x14ac:dyDescent="0.2">
      <c r="A39" s="284" t="s">
        <v>137</v>
      </c>
      <c r="B39" s="285">
        <v>239604</v>
      </c>
      <c r="C39" s="291">
        <f>B39/'- 3 -'!$D39*100</f>
        <v>1.1167232716910205</v>
      </c>
      <c r="D39" s="285">
        <f>B39/'- 7 -'!$E39</f>
        <v>159.73599999999999</v>
      </c>
      <c r="E39" s="285">
        <v>339692</v>
      </c>
      <c r="F39" s="291">
        <f>E39/'- 3 -'!$D39*100</f>
        <v>1.5832037929553182</v>
      </c>
      <c r="G39" s="285">
        <f>E39/'- 7 -'!$E39</f>
        <v>226.46133333333333</v>
      </c>
      <c r="H39" s="285">
        <v>0</v>
      </c>
      <c r="I39" s="291">
        <f>H39/'- 3 -'!$D39*100</f>
        <v>0</v>
      </c>
    </row>
    <row r="40" spans="1:9" ht="14.1" customHeight="1" x14ac:dyDescent="0.2">
      <c r="A40" s="19" t="s">
        <v>138</v>
      </c>
      <c r="B40" s="20">
        <v>218640</v>
      </c>
      <c r="C40" s="70">
        <f>B40/'- 3 -'!$D40*100</f>
        <v>0.20953785374068051</v>
      </c>
      <c r="D40" s="20">
        <f>B40/'- 7 -'!$E40</f>
        <v>26.468451890949591</v>
      </c>
      <c r="E40" s="20">
        <v>2384038</v>
      </c>
      <c r="F40" s="70">
        <f>E40/'- 3 -'!$D40*100</f>
        <v>2.2847887200705475</v>
      </c>
      <c r="G40" s="20">
        <f>E40/'- 7 -'!$E40</f>
        <v>288.61047891143289</v>
      </c>
      <c r="H40" s="20">
        <v>4857</v>
      </c>
      <c r="I40" s="70">
        <f>H40/'- 3 -'!$D40*100</f>
        <v>4.6547994677025488E-3</v>
      </c>
    </row>
    <row r="41" spans="1:9" ht="14.1" customHeight="1" x14ac:dyDescent="0.2">
      <c r="A41" s="284" t="s">
        <v>139</v>
      </c>
      <c r="B41" s="285">
        <v>355829</v>
      </c>
      <c r="C41" s="291">
        <f>B41/'- 3 -'!$D41*100</f>
        <v>0.56805045869289506</v>
      </c>
      <c r="D41" s="285">
        <f>B41/'- 7 -'!$E41</f>
        <v>79.809128630705388</v>
      </c>
      <c r="E41" s="285">
        <v>1414743</v>
      </c>
      <c r="F41" s="291">
        <f>E41/'- 3 -'!$D41*100</f>
        <v>2.2585157760681742</v>
      </c>
      <c r="G41" s="285">
        <f>E41/'- 7 -'!$E41</f>
        <v>317.31367051699004</v>
      </c>
      <c r="H41" s="285">
        <v>705417</v>
      </c>
      <c r="I41" s="291">
        <f>H41/'- 3 -'!$D41*100</f>
        <v>1.1261376965333514</v>
      </c>
    </row>
    <row r="42" spans="1:9" ht="14.1" customHeight="1" x14ac:dyDescent="0.2">
      <c r="A42" s="19" t="s">
        <v>140</v>
      </c>
      <c r="B42" s="20">
        <v>162223</v>
      </c>
      <c r="C42" s="70">
        <f>B42/'- 3 -'!$D42*100</f>
        <v>0.80065911258286904</v>
      </c>
      <c r="D42" s="20">
        <f>B42/'- 7 -'!$E42</f>
        <v>117.67227622225447</v>
      </c>
      <c r="E42" s="20">
        <v>318991</v>
      </c>
      <c r="F42" s="70">
        <f>E42/'- 3 -'!$D42*100</f>
        <v>1.5743948205983245</v>
      </c>
      <c r="G42" s="20">
        <f>E42/'- 7 -'!$E42</f>
        <v>231.38763963441173</v>
      </c>
      <c r="H42" s="20">
        <v>0</v>
      </c>
      <c r="I42" s="70">
        <f>H42/'- 3 -'!$D42*100</f>
        <v>0</v>
      </c>
    </row>
    <row r="43" spans="1:9" ht="14.1" customHeight="1" x14ac:dyDescent="0.2">
      <c r="A43" s="284" t="s">
        <v>141</v>
      </c>
      <c r="B43" s="285">
        <v>153631</v>
      </c>
      <c r="C43" s="291">
        <f>B43/'- 3 -'!$D43*100</f>
        <v>1.159684575095334</v>
      </c>
      <c r="D43" s="285">
        <f>B43/'- 7 -'!$E43</f>
        <v>159.58346317648281</v>
      </c>
      <c r="E43" s="285">
        <v>244930</v>
      </c>
      <c r="F43" s="291">
        <f>E43/'- 3 -'!$D43*100</f>
        <v>1.8488556539897554</v>
      </c>
      <c r="G43" s="285">
        <f>E43/'- 7 -'!$E43</f>
        <v>254.41986080814374</v>
      </c>
      <c r="H43" s="285">
        <v>0</v>
      </c>
      <c r="I43" s="291">
        <f>H43/'- 3 -'!$D43*100</f>
        <v>0</v>
      </c>
    </row>
    <row r="44" spans="1:9" ht="14.1" customHeight="1" x14ac:dyDescent="0.2">
      <c r="A44" s="19" t="s">
        <v>142</v>
      </c>
      <c r="B44" s="20">
        <v>97502</v>
      </c>
      <c r="C44" s="70">
        <f>B44/'- 3 -'!$D44*100</f>
        <v>0.90209191286100399</v>
      </c>
      <c r="D44" s="20">
        <f>B44/'- 7 -'!$E44</f>
        <v>140.59408795962509</v>
      </c>
      <c r="E44" s="20">
        <v>151824</v>
      </c>
      <c r="F44" s="70">
        <f>E44/'- 3 -'!$D44*100</f>
        <v>1.4046809560645841</v>
      </c>
      <c r="G44" s="20">
        <f>E44/'- 7 -'!$E44</f>
        <v>218.92429704397981</v>
      </c>
      <c r="H44" s="20">
        <v>0</v>
      </c>
      <c r="I44" s="70">
        <f>H44/'- 3 -'!$D44*100</f>
        <v>0</v>
      </c>
    </row>
    <row r="45" spans="1:9" ht="14.1" customHeight="1" x14ac:dyDescent="0.2">
      <c r="A45" s="284" t="s">
        <v>143</v>
      </c>
      <c r="B45" s="285">
        <v>152821</v>
      </c>
      <c r="C45" s="291">
        <f>B45/'- 3 -'!$D45*100</f>
        <v>0.79340529901143242</v>
      </c>
      <c r="D45" s="285">
        <f>B45/'- 7 -'!$E45</f>
        <v>90.694955489614244</v>
      </c>
      <c r="E45" s="285">
        <v>241989</v>
      </c>
      <c r="F45" s="291">
        <f>E45/'- 3 -'!$D45*100</f>
        <v>1.2563414380384732</v>
      </c>
      <c r="G45" s="285">
        <f>E45/'- 7 -'!$E45</f>
        <v>143.61364985163206</v>
      </c>
      <c r="H45" s="285">
        <v>242950</v>
      </c>
      <c r="I45" s="291">
        <f>H45/'- 3 -'!$D45*100</f>
        <v>1.2613306901199934</v>
      </c>
    </row>
    <row r="46" spans="1:9" ht="14.1" customHeight="1" x14ac:dyDescent="0.2">
      <c r="A46" s="19" t="s">
        <v>144</v>
      </c>
      <c r="B46" s="20">
        <v>714210</v>
      </c>
      <c r="C46" s="70">
        <f>B46/'- 3 -'!$D46*100</f>
        <v>0.1825380531945652</v>
      </c>
      <c r="D46" s="20">
        <f>B46/'- 7 -'!$E46</f>
        <v>23.903410422035542</v>
      </c>
      <c r="E46" s="20">
        <v>13005376</v>
      </c>
      <c r="F46" s="70">
        <f>E46/'- 3 -'!$D46*100</f>
        <v>3.3239187579329905</v>
      </c>
      <c r="G46" s="20">
        <f>E46/'- 7 -'!$E46</f>
        <v>435.26811472940864</v>
      </c>
      <c r="H46" s="20">
        <v>32882065</v>
      </c>
      <c r="I46" s="70">
        <f>H46/'- 3 -'!$D46*100</f>
        <v>8.4040102072459781</v>
      </c>
    </row>
    <row r="47" spans="1:9" ht="5.0999999999999996" customHeight="1" x14ac:dyDescent="0.2">
      <c r="A47" s="21"/>
      <c r="B47" s="22"/>
      <c r="C47"/>
      <c r="D47" s="22"/>
      <c r="E47" s="22"/>
      <c r="F47"/>
      <c r="G47" s="22"/>
      <c r="H47"/>
      <c r="I47"/>
    </row>
    <row r="48" spans="1:9" ht="14.1" customHeight="1" x14ac:dyDescent="0.2">
      <c r="A48" s="286" t="s">
        <v>145</v>
      </c>
      <c r="B48" s="287">
        <f>SUM(B11:B46)</f>
        <v>10311745</v>
      </c>
      <c r="C48" s="294">
        <f>B48/'- 3 -'!$D48*100</f>
        <v>0.44970302402097573</v>
      </c>
      <c r="D48" s="287">
        <f>B48/'- 7 -'!$E48</f>
        <v>58.577018316434213</v>
      </c>
      <c r="E48" s="287">
        <f>SUM(E11:E46)</f>
        <v>46064549</v>
      </c>
      <c r="F48" s="294">
        <f>E48/'- 3 -'!$D48*100</f>
        <v>2.0089099357540761</v>
      </c>
      <c r="G48" s="287">
        <f>E48/'- 7 -'!$E48</f>
        <v>261.67481163578827</v>
      </c>
      <c r="H48" s="287">
        <f>SUM(H11:H46)</f>
        <v>58975265</v>
      </c>
      <c r="I48" s="294">
        <f>H48/'- 3 -'!$D48*100</f>
        <v>2.5719560571890026</v>
      </c>
    </row>
    <row r="49" spans="1:9" ht="5.0999999999999996" customHeight="1" x14ac:dyDescent="0.2">
      <c r="A49" s="21" t="s">
        <v>7</v>
      </c>
      <c r="B49" s="22"/>
      <c r="C49"/>
      <c r="D49" s="22"/>
      <c r="E49" s="22"/>
      <c r="F49"/>
      <c r="H49"/>
      <c r="I49"/>
    </row>
    <row r="50" spans="1:9" ht="14.1" customHeight="1" x14ac:dyDescent="0.2">
      <c r="A50" s="19" t="s">
        <v>146</v>
      </c>
      <c r="B50" s="20">
        <v>59078</v>
      </c>
      <c r="C50" s="70">
        <f>B50/'- 3 -'!$D50*100</f>
        <v>1.8423979177828602</v>
      </c>
      <c r="D50" s="20">
        <f>B50/'- 7 -'!$E50</f>
        <v>381.14838709677417</v>
      </c>
      <c r="E50" s="20">
        <v>32965</v>
      </c>
      <c r="F50" s="70">
        <f>E50/'- 3 -'!$D50*100</f>
        <v>1.0280416967350281</v>
      </c>
      <c r="G50" s="20">
        <f>E50/'- 7 -'!$E50</f>
        <v>212.67741935483872</v>
      </c>
      <c r="H50" s="20">
        <v>0</v>
      </c>
      <c r="I50" s="70">
        <f>H50/'- 3 -'!$D50*100</f>
        <v>0</v>
      </c>
    </row>
    <row r="51" spans="1:9" ht="14.1" customHeight="1" x14ac:dyDescent="0.2">
      <c r="A51" s="284" t="s">
        <v>609</v>
      </c>
      <c r="B51" s="285">
        <v>0</v>
      </c>
      <c r="C51" s="291">
        <f>B51/'- 3 -'!$D51*100</f>
        <v>0</v>
      </c>
      <c r="D51" s="285">
        <f>B51/'- 7 -'!$E51</f>
        <v>0</v>
      </c>
      <c r="E51" s="285">
        <v>0</v>
      </c>
      <c r="F51" s="291">
        <f>E51/'- 3 -'!$D51*100</f>
        <v>0</v>
      </c>
      <c r="G51" s="285">
        <f>E51/'- 7 -'!$E51</f>
        <v>0</v>
      </c>
      <c r="H51" s="285">
        <v>0</v>
      </c>
      <c r="I51" s="291">
        <f>H51/'- 3 -'!$D51*100</f>
        <v>0</v>
      </c>
    </row>
    <row r="52" spans="1:9" ht="50.1" customHeight="1" x14ac:dyDescent="0.2">
      <c r="A52" s="23"/>
      <c r="B52" s="23"/>
      <c r="C52" s="23"/>
      <c r="D52" s="23"/>
      <c r="E52" s="23"/>
      <c r="F52" s="23"/>
      <c r="G52" s="23"/>
      <c r="H52" s="23"/>
      <c r="I52" s="23"/>
    </row>
    <row r="53" spans="1:9" ht="15" customHeight="1" x14ac:dyDescent="0.2">
      <c r="A53" s="666" t="s">
        <v>613</v>
      </c>
      <c r="B53" s="666"/>
      <c r="C53" s="666"/>
      <c r="D53" s="666"/>
      <c r="E53" s="666"/>
      <c r="F53" s="666"/>
      <c r="G53" s="666"/>
      <c r="H53" s="666"/>
      <c r="I53" s="666"/>
    </row>
    <row r="54" spans="1:9" x14ac:dyDescent="0.2">
      <c r="A54" s="667"/>
      <c r="B54" s="667"/>
      <c r="C54" s="667"/>
      <c r="D54" s="667"/>
      <c r="E54" s="667"/>
      <c r="F54" s="667"/>
      <c r="G54" s="667"/>
      <c r="H54" s="667"/>
      <c r="I54" s="667"/>
    </row>
    <row r="55" spans="1:9" x14ac:dyDescent="0.2">
      <c r="A55" s="667"/>
      <c r="B55" s="667"/>
      <c r="C55" s="667"/>
      <c r="D55" s="667"/>
      <c r="E55" s="667"/>
      <c r="F55" s="667"/>
      <c r="G55" s="667"/>
      <c r="H55" s="667"/>
      <c r="I55" s="667"/>
    </row>
  </sheetData>
  <mergeCells count="6">
    <mergeCell ref="A53:I55"/>
    <mergeCell ref="D8:D9"/>
    <mergeCell ref="G8:G9"/>
    <mergeCell ref="B6:D7"/>
    <mergeCell ref="E6:G7"/>
    <mergeCell ref="H6:I7"/>
  </mergeCells>
  <phoneticPr fontId="6" type="noConversion"/>
  <pageMargins left="0.5" right="0.5" top="0.6" bottom="0.2" header="0.3" footer="0.5"/>
  <pageSetup scale="96" orientation="portrait" r:id="rId1"/>
  <headerFooter alignWithMargins="0">
    <oddHeader>&amp;C&amp;"Arial,Regular"&amp;11&amp;A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54"/>
  <sheetViews>
    <sheetView showGridLines="0" showZeros="0" workbookViewId="0"/>
  </sheetViews>
  <sheetFormatPr defaultColWidth="15.83203125" defaultRowHeight="12" x14ac:dyDescent="0.2"/>
  <cols>
    <col min="1" max="1" width="32.83203125" style="2" customWidth="1"/>
    <col min="2" max="2" width="15.5" style="2" customWidth="1"/>
    <col min="3" max="4" width="8" style="2" customWidth="1"/>
    <col min="5" max="5" width="17.33203125" style="2" customWidth="1"/>
    <col min="6" max="6" width="7.83203125" style="2" customWidth="1"/>
    <col min="7" max="7" width="10" style="2" customWidth="1"/>
    <col min="8" max="8" width="17.1640625" style="2" customWidth="1"/>
    <col min="9" max="9" width="8.5" style="2" customWidth="1"/>
    <col min="10" max="10" width="10" style="2" customWidth="1"/>
    <col min="11" max="16384" width="15.83203125" style="2"/>
  </cols>
  <sheetData>
    <row r="1" spans="1:10" ht="6.95" customHeight="1" x14ac:dyDescent="0.2">
      <c r="A1" s="7"/>
      <c r="B1" s="7"/>
      <c r="C1" s="8"/>
      <c r="D1" s="8"/>
      <c r="E1" s="8"/>
      <c r="F1" s="8"/>
      <c r="G1" s="8"/>
      <c r="H1" s="8"/>
      <c r="I1" s="8"/>
      <c r="J1" s="8"/>
    </row>
    <row r="2" spans="1:10" ht="15.95" customHeight="1" x14ac:dyDescent="0.2">
      <c r="A2" s="134"/>
      <c r="B2" s="134"/>
      <c r="C2" s="9" t="s">
        <v>263</v>
      </c>
      <c r="D2" s="9"/>
      <c r="E2" s="10"/>
      <c r="F2" s="10"/>
      <c r="G2" s="10"/>
      <c r="H2" s="73"/>
      <c r="I2" s="73"/>
      <c r="J2" s="395" t="s">
        <v>403</v>
      </c>
    </row>
    <row r="3" spans="1:10" ht="15.95" customHeight="1" x14ac:dyDescent="0.2">
      <c r="A3" s="541"/>
      <c r="B3" s="136"/>
      <c r="C3" s="11" t="str">
        <f>OPYEAR</f>
        <v>OPERATING FUND 2016/2017 ACTUAL</v>
      </c>
      <c r="D3" s="11"/>
      <c r="E3" s="12"/>
      <c r="F3" s="12"/>
      <c r="G3" s="12"/>
      <c r="H3" s="75"/>
      <c r="I3" s="75"/>
      <c r="J3" s="66"/>
    </row>
    <row r="4" spans="1:10" ht="15.95" customHeight="1" x14ac:dyDescent="0.2">
      <c r="C4" s="8"/>
      <c r="D4" s="8"/>
      <c r="E4" s="8"/>
      <c r="F4" s="8"/>
      <c r="G4" s="8"/>
      <c r="H4" s="8"/>
      <c r="I4" s="8"/>
      <c r="J4" s="8"/>
    </row>
    <row r="5" spans="1:10" ht="15.95" customHeight="1" x14ac:dyDescent="0.2">
      <c r="B5" s="488" t="s">
        <v>248</v>
      </c>
      <c r="C5" s="272"/>
      <c r="D5" s="272"/>
      <c r="E5" s="435"/>
      <c r="F5" s="435"/>
      <c r="G5" s="435"/>
      <c r="H5" s="435"/>
      <c r="I5" s="435"/>
      <c r="J5" s="436"/>
    </row>
    <row r="6" spans="1:10" ht="15.95" customHeight="1" x14ac:dyDescent="0.2">
      <c r="B6" s="670" t="s">
        <v>484</v>
      </c>
      <c r="C6" s="674"/>
      <c r="D6" s="671"/>
      <c r="E6" s="670" t="s">
        <v>485</v>
      </c>
      <c r="F6" s="674"/>
      <c r="G6" s="676"/>
      <c r="H6" s="678" t="s">
        <v>486</v>
      </c>
      <c r="I6" s="679"/>
      <c r="J6" s="680"/>
    </row>
    <row r="7" spans="1:10" ht="15.95" customHeight="1" x14ac:dyDescent="0.2">
      <c r="B7" s="672"/>
      <c r="C7" s="675"/>
      <c r="D7" s="673"/>
      <c r="E7" s="677"/>
      <c r="F7" s="652"/>
      <c r="G7" s="646"/>
      <c r="H7" s="681"/>
      <c r="I7" s="682"/>
      <c r="J7" s="683"/>
    </row>
    <row r="8" spans="1:10" ht="15.95" customHeight="1" x14ac:dyDescent="0.2">
      <c r="A8" s="67"/>
      <c r="B8" s="137"/>
      <c r="C8" s="139"/>
      <c r="D8" s="602" t="s">
        <v>477</v>
      </c>
      <c r="E8" s="137"/>
      <c r="F8" s="139"/>
      <c r="G8" s="596" t="s">
        <v>477</v>
      </c>
      <c r="H8" s="137"/>
      <c r="I8" s="139"/>
      <c r="J8" s="596" t="s">
        <v>477</v>
      </c>
    </row>
    <row r="9" spans="1:10" ht="15.95" customHeight="1" x14ac:dyDescent="0.2">
      <c r="A9" s="35" t="s">
        <v>42</v>
      </c>
      <c r="B9" s="77" t="s">
        <v>43</v>
      </c>
      <c r="C9" s="77" t="s">
        <v>44</v>
      </c>
      <c r="D9" s="598"/>
      <c r="E9" s="77" t="s">
        <v>43</v>
      </c>
      <c r="F9" s="77" t="s">
        <v>44</v>
      </c>
      <c r="G9" s="598"/>
      <c r="H9" s="77" t="s">
        <v>43</v>
      </c>
      <c r="I9" s="77" t="s">
        <v>44</v>
      </c>
      <c r="J9" s="598"/>
    </row>
    <row r="10" spans="1:10" ht="5.0999999999999996" customHeight="1" x14ac:dyDescent="0.2">
      <c r="A10" s="6"/>
    </row>
    <row r="11" spans="1:10" ht="14.1" customHeight="1" x14ac:dyDescent="0.2">
      <c r="A11" s="284" t="s">
        <v>110</v>
      </c>
      <c r="B11" s="285">
        <v>746336</v>
      </c>
      <c r="C11" s="291">
        <f>B11/'- 3 -'!$D11*100</f>
        <v>3.9038762737527746</v>
      </c>
      <c r="D11" s="285">
        <f>B11/'- 7 -'!$E11</f>
        <v>422.61381653454134</v>
      </c>
      <c r="E11" s="285">
        <v>924876</v>
      </c>
      <c r="F11" s="291">
        <f>E11/'- 3 -'!$D11*100</f>
        <v>4.8377694129230955</v>
      </c>
      <c r="G11" s="285">
        <f>E11/'- 7 -'!$E11</f>
        <v>523.71234428086075</v>
      </c>
      <c r="H11" s="285">
        <v>346753</v>
      </c>
      <c r="I11" s="291">
        <f>H11/'- 3 -'!$D11*100</f>
        <v>1.8137686103210833</v>
      </c>
      <c r="J11" s="285">
        <f>H11/'- 7 -'!$E11</f>
        <v>196.34937712344282</v>
      </c>
    </row>
    <row r="12" spans="1:10" ht="14.1" customHeight="1" x14ac:dyDescent="0.2">
      <c r="A12" s="19" t="s">
        <v>111</v>
      </c>
      <c r="B12" s="20">
        <v>2238081</v>
      </c>
      <c r="C12" s="70">
        <f>B12/'- 3 -'!$D12*100</f>
        <v>6.6970843332589141</v>
      </c>
      <c r="D12" s="20">
        <f>B12/'- 7 -'!$E12</f>
        <v>1055.9227194451651</v>
      </c>
      <c r="E12" s="20">
        <v>1335110</v>
      </c>
      <c r="F12" s="70">
        <f>E12/'- 3 -'!$D12*100</f>
        <v>3.9950941293801736</v>
      </c>
      <c r="G12" s="20">
        <f>E12/'- 7 -'!$E12</f>
        <v>629.9025736595031</v>
      </c>
      <c r="H12" s="20">
        <v>451287</v>
      </c>
      <c r="I12" s="70">
        <f>H12/'- 3 -'!$D12*100</f>
        <v>1.3504011237767604</v>
      </c>
      <c r="J12" s="20">
        <f>H12/'- 7 -'!$E12</f>
        <v>212.91642093840673</v>
      </c>
    </row>
    <row r="13" spans="1:10" ht="14.1" customHeight="1" x14ac:dyDescent="0.2">
      <c r="A13" s="284" t="s">
        <v>112</v>
      </c>
      <c r="B13" s="285">
        <v>9537254</v>
      </c>
      <c r="C13" s="291">
        <f>B13/'- 3 -'!$D13*100</f>
        <v>9.9437542770975771</v>
      </c>
      <c r="D13" s="285">
        <f>B13/'- 7 -'!$E13</f>
        <v>1138.9805935391414</v>
      </c>
      <c r="E13" s="285">
        <v>4397183</v>
      </c>
      <c r="F13" s="291">
        <f>E13/'- 3 -'!$D13*100</f>
        <v>4.5846013185169188</v>
      </c>
      <c r="G13" s="285">
        <f>E13/'- 7 -'!$E13</f>
        <v>525.13082940228105</v>
      </c>
      <c r="H13" s="285">
        <v>2112791</v>
      </c>
      <c r="I13" s="291">
        <f>H13/'- 3 -'!$D13*100</f>
        <v>2.20284313942601</v>
      </c>
      <c r="J13" s="285">
        <f>H13/'- 7 -'!$E13</f>
        <v>252.31874365558011</v>
      </c>
    </row>
    <row r="14" spans="1:10" ht="14.1" customHeight="1" x14ac:dyDescent="0.2">
      <c r="A14" s="19" t="s">
        <v>359</v>
      </c>
      <c r="B14" s="20">
        <v>3531162</v>
      </c>
      <c r="C14" s="70">
        <f>B14/'- 3 -'!$D14*100</f>
        <v>4.2575992459511891</v>
      </c>
      <c r="D14" s="20">
        <f>B14/'- 7 -'!$E14</f>
        <v>644.00361836465959</v>
      </c>
      <c r="E14" s="20">
        <v>2676878</v>
      </c>
      <c r="F14" s="70">
        <f>E14/'- 3 -'!$D14*100</f>
        <v>3.2275703449185644</v>
      </c>
      <c r="G14" s="20">
        <f>E14/'- 7 -'!$E14</f>
        <v>488.20165087887597</v>
      </c>
      <c r="H14" s="20">
        <v>1648878</v>
      </c>
      <c r="I14" s="70">
        <f>H14/'- 3 -'!$D14*100</f>
        <v>1.9880882637119184</v>
      </c>
      <c r="J14" s="20">
        <f>H14/'- 7 -'!$E14</f>
        <v>300.71783685990141</v>
      </c>
    </row>
    <row r="15" spans="1:10" ht="14.1" customHeight="1" x14ac:dyDescent="0.2">
      <c r="A15" s="284" t="s">
        <v>113</v>
      </c>
      <c r="B15" s="285">
        <v>1055081</v>
      </c>
      <c r="C15" s="291">
        <f>B15/'- 3 -'!$D15*100</f>
        <v>5.4061425563618828</v>
      </c>
      <c r="D15" s="285">
        <f>B15/'- 7 -'!$E15</f>
        <v>754.06017724413948</v>
      </c>
      <c r="E15" s="285">
        <v>1001056</v>
      </c>
      <c r="F15" s="291">
        <f>E15/'- 3 -'!$D15*100</f>
        <v>5.1293231921543478</v>
      </c>
      <c r="G15" s="285">
        <f>E15/'- 7 -'!$E15</f>
        <v>715.44882790165809</v>
      </c>
      <c r="H15" s="285">
        <v>607159</v>
      </c>
      <c r="I15" s="291">
        <f>H15/'- 3 -'!$D15*100</f>
        <v>3.1110294928807591</v>
      </c>
      <c r="J15" s="285">
        <f>H15/'- 7 -'!$E15</f>
        <v>433.93296169239562</v>
      </c>
    </row>
    <row r="16" spans="1:10" ht="14.1" customHeight="1" x14ac:dyDescent="0.2">
      <c r="A16" s="19" t="s">
        <v>114</v>
      </c>
      <c r="B16" s="20">
        <v>714416</v>
      </c>
      <c r="C16" s="70">
        <f>B16/'- 3 -'!$D16*100</f>
        <v>4.9281638254939297</v>
      </c>
      <c r="D16" s="20">
        <f>B16/'- 7 -'!$E16</f>
        <v>790.45806594379292</v>
      </c>
      <c r="E16" s="20">
        <v>1020818</v>
      </c>
      <c r="F16" s="70">
        <f>E16/'- 3 -'!$D16*100</f>
        <v>7.0417772558468208</v>
      </c>
      <c r="G16" s="20">
        <f>E16/'- 7 -'!$E16</f>
        <v>1129.4733348085861</v>
      </c>
      <c r="H16" s="20">
        <v>355707</v>
      </c>
      <c r="I16" s="70">
        <f>H16/'- 3 -'!$D16*100</f>
        <v>2.4537277578819192</v>
      </c>
      <c r="J16" s="20">
        <f>H16/'- 7 -'!$E16</f>
        <v>393.56826731577786</v>
      </c>
    </row>
    <row r="17" spans="1:10" ht="14.1" customHeight="1" x14ac:dyDescent="0.2">
      <c r="A17" s="284" t="s">
        <v>115</v>
      </c>
      <c r="B17" s="285">
        <v>576165</v>
      </c>
      <c r="C17" s="291">
        <f>B17/'- 3 -'!$D17*100</f>
        <v>3.2105565410454076</v>
      </c>
      <c r="D17" s="285">
        <f>B17/'- 7 -'!$E17</f>
        <v>412.28264758497318</v>
      </c>
      <c r="E17" s="285">
        <v>1153940</v>
      </c>
      <c r="F17" s="291">
        <f>E17/'- 3 -'!$D17*100</f>
        <v>6.4300844636066712</v>
      </c>
      <c r="G17" s="285">
        <f>E17/'- 7 -'!$E17</f>
        <v>825.71735241502688</v>
      </c>
      <c r="H17" s="285">
        <v>154195</v>
      </c>
      <c r="I17" s="291">
        <f>H17/'- 3 -'!$D17*100</f>
        <v>0.85921874089279393</v>
      </c>
      <c r="J17" s="285">
        <f>H17/'- 7 -'!$E17</f>
        <v>110.33631484794276</v>
      </c>
    </row>
    <row r="18" spans="1:10" ht="14.1" customHeight="1" x14ac:dyDescent="0.2">
      <c r="A18" s="19" t="s">
        <v>116</v>
      </c>
      <c r="B18" s="20">
        <v>10267146</v>
      </c>
      <c r="C18" s="70">
        <f>B18/'- 3 -'!$D18*100</f>
        <v>7.9804345255659879</v>
      </c>
      <c r="D18" s="20">
        <f>B18/'- 7 -'!$E18</f>
        <v>1684.5470803458629</v>
      </c>
      <c r="E18" s="20">
        <v>3769397</v>
      </c>
      <c r="F18" s="70">
        <f>E18/'- 3 -'!$D18*100</f>
        <v>2.9298722312281194</v>
      </c>
      <c r="G18" s="20">
        <f>E18/'- 7 -'!$E18</f>
        <v>618.45100001640719</v>
      </c>
      <c r="H18" s="20">
        <v>3700340</v>
      </c>
      <c r="I18" s="70">
        <f>H18/'- 3 -'!$D18*100</f>
        <v>2.8761956918049916</v>
      </c>
      <c r="J18" s="20">
        <f>H18/'- 7 -'!$E18</f>
        <v>607.12070747674284</v>
      </c>
    </row>
    <row r="19" spans="1:10" ht="14.1" customHeight="1" x14ac:dyDescent="0.2">
      <c r="A19" s="284" t="s">
        <v>117</v>
      </c>
      <c r="B19" s="285">
        <v>2075142</v>
      </c>
      <c r="C19" s="291">
        <f>B19/'- 3 -'!$D19*100</f>
        <v>4.4963513945484204</v>
      </c>
      <c r="D19" s="285">
        <f>B19/'- 7 -'!$E19</f>
        <v>473.66856881990412</v>
      </c>
      <c r="E19" s="285">
        <v>3021739</v>
      </c>
      <c r="F19" s="291">
        <f>E19/'- 3 -'!$D19*100</f>
        <v>6.547407534815135</v>
      </c>
      <c r="G19" s="285">
        <f>E19/'- 7 -'!$E19</f>
        <v>689.73727459484132</v>
      </c>
      <c r="H19" s="285">
        <v>936408</v>
      </c>
      <c r="I19" s="291">
        <f>H19/'- 3 -'!$D19*100</f>
        <v>2.0289789405574639</v>
      </c>
      <c r="J19" s="285">
        <f>H19/'- 7 -'!$E19</f>
        <v>213.74298105455375</v>
      </c>
    </row>
    <row r="20" spans="1:10" ht="14.1" customHeight="1" x14ac:dyDescent="0.2">
      <c r="A20" s="19" t="s">
        <v>118</v>
      </c>
      <c r="B20" s="20">
        <v>4327030</v>
      </c>
      <c r="C20" s="70">
        <f>B20/'- 3 -'!$D20*100</f>
        <v>5.2608603276799029</v>
      </c>
      <c r="D20" s="20">
        <f>B20/'- 7 -'!$E20</f>
        <v>566.69897190753716</v>
      </c>
      <c r="E20" s="20">
        <v>3778620</v>
      </c>
      <c r="F20" s="70">
        <f>E20/'- 3 -'!$D20*100</f>
        <v>4.5940961933191673</v>
      </c>
      <c r="G20" s="20">
        <f>E20/'- 7 -'!$E20</f>
        <v>494.8752537489359</v>
      </c>
      <c r="H20" s="20">
        <v>1595496</v>
      </c>
      <c r="I20" s="70">
        <f>H20/'- 3 -'!$D20*100</f>
        <v>1.9398251478200925</v>
      </c>
      <c r="J20" s="20">
        <f>H20/'- 7 -'!$E20</f>
        <v>208.95763211315565</v>
      </c>
    </row>
    <row r="21" spans="1:10" ht="14.1" customHeight="1" x14ac:dyDescent="0.2">
      <c r="A21" s="284" t="s">
        <v>119</v>
      </c>
      <c r="B21" s="285">
        <v>1851161</v>
      </c>
      <c r="C21" s="291">
        <f>B21/'- 3 -'!$D21*100</f>
        <v>5.1467060373507154</v>
      </c>
      <c r="D21" s="285">
        <f>B21/'- 7 -'!$E21</f>
        <v>675.08880055431973</v>
      </c>
      <c r="E21" s="285">
        <v>2156150</v>
      </c>
      <c r="F21" s="291">
        <f>E21/'- 3 -'!$D21*100</f>
        <v>5.9946542858420981</v>
      </c>
      <c r="G21" s="285">
        <f>E21/'- 7 -'!$E21</f>
        <v>786.31340943072826</v>
      </c>
      <c r="H21" s="285">
        <v>979127</v>
      </c>
      <c r="I21" s="291">
        <f>H21/'- 3 -'!$D21*100</f>
        <v>2.7222261284853633</v>
      </c>
      <c r="J21" s="285">
        <f>H21/'- 7 -'!$E21</f>
        <v>357.07195215345905</v>
      </c>
    </row>
    <row r="22" spans="1:10" ht="14.1" customHeight="1" x14ac:dyDescent="0.2">
      <c r="A22" s="19" t="s">
        <v>120</v>
      </c>
      <c r="B22" s="20">
        <v>924599</v>
      </c>
      <c r="C22" s="70">
        <f>B22/'- 3 -'!$D22*100</f>
        <v>4.606575552429697</v>
      </c>
      <c r="D22" s="20">
        <f>B22/'- 7 -'!$E22</f>
        <v>606.8515358361775</v>
      </c>
      <c r="E22" s="20">
        <v>1289071</v>
      </c>
      <c r="F22" s="70">
        <f>E22/'- 3 -'!$D22*100</f>
        <v>6.4224630936720706</v>
      </c>
      <c r="G22" s="20">
        <f>E22/'- 7 -'!$E22</f>
        <v>846.06917826201106</v>
      </c>
      <c r="H22" s="20">
        <v>606540</v>
      </c>
      <c r="I22" s="70">
        <f>H22/'- 3 -'!$D22*100</f>
        <v>3.02192878812405</v>
      </c>
      <c r="J22" s="20">
        <f>H22/'- 7 -'!$E22</f>
        <v>398.09661328432662</v>
      </c>
    </row>
    <row r="23" spans="1:10" ht="14.1" customHeight="1" x14ac:dyDescent="0.2">
      <c r="A23" s="284" t="s">
        <v>121</v>
      </c>
      <c r="B23" s="285">
        <v>1235800</v>
      </c>
      <c r="C23" s="291">
        <f>B23/'- 3 -'!$D23*100</f>
        <v>7.1444482208745645</v>
      </c>
      <c r="D23" s="285">
        <f>B23/'- 7 -'!$E23</f>
        <v>1108.838043965904</v>
      </c>
      <c r="E23" s="285">
        <v>699485</v>
      </c>
      <c r="F23" s="291">
        <f>E23/'- 3 -'!$D23*100</f>
        <v>4.0438860363962172</v>
      </c>
      <c r="G23" s="285">
        <f>E23/'- 7 -'!$E23</f>
        <v>627.62225213100044</v>
      </c>
      <c r="H23" s="285">
        <v>266672</v>
      </c>
      <c r="I23" s="291">
        <f>H23/'- 3 -'!$D23*100</f>
        <v>1.5416930700413189</v>
      </c>
      <c r="J23" s="285">
        <f>H23/'- 7 -'!$E23</f>
        <v>239.27501121579184</v>
      </c>
    </row>
    <row r="24" spans="1:10" ht="14.1" customHeight="1" x14ac:dyDescent="0.2">
      <c r="A24" s="19" t="s">
        <v>122</v>
      </c>
      <c r="B24" s="20">
        <v>3094453</v>
      </c>
      <c r="C24" s="70">
        <f>B24/'- 3 -'!$D24*100</f>
        <v>5.3979815446409214</v>
      </c>
      <c r="D24" s="20">
        <f>B24/'- 7 -'!$E24</f>
        <v>783.74312995466403</v>
      </c>
      <c r="E24" s="20">
        <v>2736265</v>
      </c>
      <c r="F24" s="70">
        <f>E24/'- 3 -'!$D24*100</f>
        <v>4.7731563449976102</v>
      </c>
      <c r="G24" s="20">
        <f>E24/'- 7 -'!$E24</f>
        <v>693.02357976850794</v>
      </c>
      <c r="H24" s="20">
        <v>1299576</v>
      </c>
      <c r="I24" s="70">
        <f>H24/'- 3 -'!$D24*100</f>
        <v>2.2669878210650705</v>
      </c>
      <c r="J24" s="20">
        <f>H24/'- 7 -'!$E24</f>
        <v>329.14824101512039</v>
      </c>
    </row>
    <row r="25" spans="1:10" ht="14.1" customHeight="1" x14ac:dyDescent="0.2">
      <c r="A25" s="284" t="s">
        <v>123</v>
      </c>
      <c r="B25" s="285">
        <v>10998913</v>
      </c>
      <c r="C25" s="291">
        <f>B25/'- 3 -'!$D25*100</f>
        <v>6.2016707486150722</v>
      </c>
      <c r="D25" s="285">
        <f>B25/'- 7 -'!$E25</f>
        <v>767.22863580242608</v>
      </c>
      <c r="E25" s="285">
        <v>7863980</v>
      </c>
      <c r="F25" s="291">
        <f>E25/'- 3 -'!$D25*100</f>
        <v>4.4340576867635884</v>
      </c>
      <c r="G25" s="285">
        <f>E25/'- 7 -'!$E25</f>
        <v>548.55153844544122</v>
      </c>
      <c r="H25" s="285">
        <v>3516241</v>
      </c>
      <c r="I25" s="291">
        <f>H25/'- 3 -'!$D25*100</f>
        <v>1.9826112775672478</v>
      </c>
      <c r="J25" s="285">
        <f>H25/'- 7 -'!$E25</f>
        <v>245.27521815860882</v>
      </c>
    </row>
    <row r="26" spans="1:10" ht="14.1" customHeight="1" x14ac:dyDescent="0.2">
      <c r="A26" s="19" t="s">
        <v>124</v>
      </c>
      <c r="B26" s="20">
        <v>1275222</v>
      </c>
      <c r="C26" s="70">
        <f>B26/'- 3 -'!$D26*100</f>
        <v>3.1112845970427743</v>
      </c>
      <c r="D26" s="20">
        <f>B26/'- 7 -'!$E26</f>
        <v>417.28468586387436</v>
      </c>
      <c r="E26" s="20">
        <v>2073744</v>
      </c>
      <c r="F26" s="70">
        <f>E26/'- 3 -'!$D26*100</f>
        <v>5.0595172961334347</v>
      </c>
      <c r="G26" s="20">
        <f>E26/'- 7 -'!$E26</f>
        <v>678.58115183246071</v>
      </c>
      <c r="H26" s="20">
        <v>1103891</v>
      </c>
      <c r="I26" s="70">
        <f>H26/'- 3 -'!$D26*100</f>
        <v>2.6932714971308092</v>
      </c>
      <c r="J26" s="20">
        <f>H26/'- 7 -'!$E26</f>
        <v>361.2208769633508</v>
      </c>
    </row>
    <row r="27" spans="1:10" ht="14.1" customHeight="1" x14ac:dyDescent="0.2">
      <c r="A27" s="284" t="s">
        <v>125</v>
      </c>
      <c r="B27" s="285">
        <v>1914131</v>
      </c>
      <c r="C27" s="291">
        <f>B27/'- 3 -'!$D27*100</f>
        <v>4.6182856104141443</v>
      </c>
      <c r="D27" s="285">
        <f>B27/'- 7 -'!$E27</f>
        <v>640.6596937494769</v>
      </c>
      <c r="E27" s="285">
        <v>2545236</v>
      </c>
      <c r="F27" s="291">
        <f>E27/'- 3 -'!$D27*100</f>
        <v>6.1409730023222311</v>
      </c>
      <c r="G27" s="285">
        <f>E27/'- 7 -'!$E27</f>
        <v>851.89055309179139</v>
      </c>
      <c r="H27" s="285">
        <v>1075087</v>
      </c>
      <c r="I27" s="291">
        <f>H27/'- 3 -'!$D27*100</f>
        <v>2.5938970854363212</v>
      </c>
      <c r="J27" s="285">
        <f>H27/'- 7 -'!$E27</f>
        <v>359.83164588737338</v>
      </c>
    </row>
    <row r="28" spans="1:10" ht="14.1" customHeight="1" x14ac:dyDescent="0.2">
      <c r="A28" s="19" t="s">
        <v>126</v>
      </c>
      <c r="B28" s="20">
        <v>1148543</v>
      </c>
      <c r="C28" s="70">
        <f>B28/'- 3 -'!$D28*100</f>
        <v>4.0719131436187102</v>
      </c>
      <c r="D28" s="20">
        <f>B28/'- 7 -'!$E28</f>
        <v>585.09577177789095</v>
      </c>
      <c r="E28" s="20">
        <v>1364250</v>
      </c>
      <c r="F28" s="70">
        <f>E28/'- 3 -'!$D28*100</f>
        <v>4.8366560992333998</v>
      </c>
      <c r="G28" s="20">
        <f>E28/'- 7 -'!$E28</f>
        <v>694.98217014773309</v>
      </c>
      <c r="H28" s="20">
        <v>511790</v>
      </c>
      <c r="I28" s="70">
        <f>H28/'- 3 -'!$D28*100</f>
        <v>1.8144417995430908</v>
      </c>
      <c r="J28" s="20">
        <f>H28/'- 7 -'!$E28</f>
        <v>260.71828833418238</v>
      </c>
    </row>
    <row r="29" spans="1:10" ht="14.1" customHeight="1" x14ac:dyDescent="0.2">
      <c r="A29" s="284" t="s">
        <v>127</v>
      </c>
      <c r="B29" s="285">
        <v>12206803</v>
      </c>
      <c r="C29" s="291">
        <f>B29/'- 3 -'!$D29*100</f>
        <v>7.663269319089169</v>
      </c>
      <c r="D29" s="285">
        <f>B29/'- 7 -'!$E29</f>
        <v>933.07061395462608</v>
      </c>
      <c r="E29" s="285">
        <v>10894217</v>
      </c>
      <c r="F29" s="291">
        <f>E29/'- 3 -'!$D29*100</f>
        <v>6.8392452054481145</v>
      </c>
      <c r="G29" s="285">
        <f>E29/'- 7 -'!$E29</f>
        <v>832.73841191218742</v>
      </c>
      <c r="H29" s="285">
        <v>3353891</v>
      </c>
      <c r="I29" s="291">
        <f>H29/'- 3 -'!$D29*100</f>
        <v>2.1055283680640455</v>
      </c>
      <c r="J29" s="285">
        <f>H29/'- 7 -'!$E29</f>
        <v>256.36664526386596</v>
      </c>
    </row>
    <row r="30" spans="1:10" ht="14.1" customHeight="1" x14ac:dyDescent="0.2">
      <c r="A30" s="19" t="s">
        <v>128</v>
      </c>
      <c r="B30" s="20">
        <v>480730</v>
      </c>
      <c r="C30" s="70">
        <f>B30/'- 3 -'!$D30*100</f>
        <v>3.4090264422395067</v>
      </c>
      <c r="D30" s="20">
        <f>B30/'- 7 -'!$E30</f>
        <v>481.1424077780955</v>
      </c>
      <c r="E30" s="20">
        <v>513623</v>
      </c>
      <c r="F30" s="70">
        <f>E30/'- 3 -'!$D30*100</f>
        <v>3.6422823379909346</v>
      </c>
      <c r="G30" s="20">
        <f>E30/'- 7 -'!$E30</f>
        <v>514.06362596511292</v>
      </c>
      <c r="H30" s="20">
        <v>241227</v>
      </c>
      <c r="I30" s="70">
        <f>H30/'- 3 -'!$D30*100</f>
        <v>1.7106259679697737</v>
      </c>
      <c r="J30" s="20">
        <f>H30/'- 7 -'!$E30</f>
        <v>241.43394338004003</v>
      </c>
    </row>
    <row r="31" spans="1:10" ht="14.1" customHeight="1" x14ac:dyDescent="0.2">
      <c r="A31" s="284" t="s">
        <v>129</v>
      </c>
      <c r="B31" s="285">
        <v>2373468</v>
      </c>
      <c r="C31" s="291">
        <f>B31/'- 3 -'!$D31*100</f>
        <v>6.3259669318180309</v>
      </c>
      <c r="D31" s="285">
        <f>B31/'- 7 -'!$E31</f>
        <v>729.62434675683983</v>
      </c>
      <c r="E31" s="285">
        <v>1204942</v>
      </c>
      <c r="F31" s="291">
        <f>E31/'- 3 -'!$D31*100</f>
        <v>3.2115129619437384</v>
      </c>
      <c r="G31" s="285">
        <f>E31/'- 7 -'!$E31</f>
        <v>370.40946818321549</v>
      </c>
      <c r="H31" s="285">
        <v>1029710</v>
      </c>
      <c r="I31" s="291">
        <f>H31/'- 3 -'!$D31*100</f>
        <v>2.7444698682949777</v>
      </c>
      <c r="J31" s="285">
        <f>H31/'- 7 -'!$E31</f>
        <v>316.54165385797722</v>
      </c>
    </row>
    <row r="32" spans="1:10" ht="14.1" customHeight="1" x14ac:dyDescent="0.2">
      <c r="A32" s="19" t="s">
        <v>130</v>
      </c>
      <c r="B32" s="20">
        <v>1016448</v>
      </c>
      <c r="C32" s="70">
        <f>B32/'- 3 -'!$D32*100</f>
        <v>3.4694469445954739</v>
      </c>
      <c r="D32" s="20">
        <f>B32/'- 7 -'!$E32</f>
        <v>472.06390488575147</v>
      </c>
      <c r="E32" s="20">
        <v>1982715</v>
      </c>
      <c r="F32" s="70">
        <f>E32/'- 3 -'!$D32*100</f>
        <v>6.7676108357275684</v>
      </c>
      <c r="G32" s="20">
        <f>E32/'- 7 -'!$E32</f>
        <v>920.82249674902482</v>
      </c>
      <c r="H32" s="20">
        <v>796204</v>
      </c>
      <c r="I32" s="70">
        <f>H32/'- 3 -'!$D32*100</f>
        <v>2.717687018986406</v>
      </c>
      <c r="J32" s="20">
        <f>H32/'- 7 -'!$E32</f>
        <v>369.77707597993685</v>
      </c>
    </row>
    <row r="33" spans="1:10" ht="14.1" customHeight="1" x14ac:dyDescent="0.2">
      <c r="A33" s="284" t="s">
        <v>131</v>
      </c>
      <c r="B33" s="285">
        <v>1646963</v>
      </c>
      <c r="C33" s="291">
        <f>B33/'- 3 -'!$D33*100</f>
        <v>5.9214056143592746</v>
      </c>
      <c r="D33" s="285">
        <f>B33/'- 7 -'!$E33</f>
        <v>815.53008170339194</v>
      </c>
      <c r="E33" s="285">
        <v>981829</v>
      </c>
      <c r="F33" s="291">
        <f>E33/'- 3 -'!$D33*100</f>
        <v>3.5300172213587993</v>
      </c>
      <c r="G33" s="285">
        <f>E33/'- 7 -'!$E33</f>
        <v>486.17430056944789</v>
      </c>
      <c r="H33" s="285">
        <v>421146</v>
      </c>
      <c r="I33" s="291">
        <f>H33/'- 3 -'!$D33*100</f>
        <v>1.5141665531435442</v>
      </c>
      <c r="J33" s="285">
        <f>H33/'- 7 -'!$E33</f>
        <v>208.53973755880168</v>
      </c>
    </row>
    <row r="34" spans="1:10" ht="14.1" customHeight="1" x14ac:dyDescent="0.2">
      <c r="A34" s="19" t="s">
        <v>132</v>
      </c>
      <c r="B34" s="20">
        <v>1155911</v>
      </c>
      <c r="C34" s="70">
        <f>B34/'- 3 -'!$D34*100</f>
        <v>3.974899944133913</v>
      </c>
      <c r="D34" s="20">
        <f>B34/'- 7 -'!$E34</f>
        <v>568.04314708339473</v>
      </c>
      <c r="E34" s="20">
        <v>1309420</v>
      </c>
      <c r="F34" s="70">
        <f>E34/'- 3 -'!$D34*100</f>
        <v>4.5027804777771196</v>
      </c>
      <c r="G34" s="20">
        <f>E34/'- 7 -'!$E34</f>
        <v>643.48125214998277</v>
      </c>
      <c r="H34" s="20">
        <v>815087</v>
      </c>
      <c r="I34" s="70">
        <f>H34/'- 3 -'!$D34*100</f>
        <v>2.8028881728474584</v>
      </c>
      <c r="J34" s="20">
        <f>H34/'- 7 -'!$E34</f>
        <v>400.55383556931542</v>
      </c>
    </row>
    <row r="35" spans="1:10" ht="14.1" customHeight="1" x14ac:dyDescent="0.2">
      <c r="A35" s="284" t="s">
        <v>133</v>
      </c>
      <c r="B35" s="285">
        <v>14662287</v>
      </c>
      <c r="C35" s="291">
        <f>B35/'- 3 -'!$D35*100</f>
        <v>7.9577366809772325</v>
      </c>
      <c r="D35" s="285">
        <f>B35/'- 7 -'!$E35</f>
        <v>939.40844438749355</v>
      </c>
      <c r="E35" s="285">
        <v>9948621</v>
      </c>
      <c r="F35" s="291">
        <f>E35/'- 3 -'!$D35*100</f>
        <v>5.3994650532239881</v>
      </c>
      <c r="G35" s="285">
        <f>E35/'- 7 -'!$E35</f>
        <v>637.40524090210147</v>
      </c>
      <c r="H35" s="285">
        <v>3229107</v>
      </c>
      <c r="I35" s="291">
        <f>H35/'- 3 -'!$D35*100</f>
        <v>1.7525494638524228</v>
      </c>
      <c r="J35" s="285">
        <f>H35/'- 7 -'!$E35</f>
        <v>206.88794208098412</v>
      </c>
    </row>
    <row r="36" spans="1:10" ht="14.1" customHeight="1" x14ac:dyDescent="0.2">
      <c r="A36" s="19" t="s">
        <v>134</v>
      </c>
      <c r="B36" s="20">
        <v>679825</v>
      </c>
      <c r="C36" s="70">
        <f>B36/'- 3 -'!$D36*100</f>
        <v>2.9000066034791634</v>
      </c>
      <c r="D36" s="20">
        <f>B36/'- 7 -'!$E36</f>
        <v>407.6911544227886</v>
      </c>
      <c r="E36" s="20">
        <v>1212486</v>
      </c>
      <c r="F36" s="70">
        <f>E36/'- 3 -'!$D36*100</f>
        <v>5.1722390418505304</v>
      </c>
      <c r="G36" s="20">
        <f>E36/'- 7 -'!$E36</f>
        <v>727.12803598200901</v>
      </c>
      <c r="H36" s="20">
        <v>519126</v>
      </c>
      <c r="I36" s="70">
        <f>H36/'- 3 -'!$D36*100</f>
        <v>2.2144946538266823</v>
      </c>
      <c r="J36" s="20">
        <f>H36/'- 7 -'!$E36</f>
        <v>311.31994002998499</v>
      </c>
    </row>
    <row r="37" spans="1:10" ht="14.1" customHeight="1" x14ac:dyDescent="0.2">
      <c r="A37" s="284" t="s">
        <v>135</v>
      </c>
      <c r="B37" s="285">
        <v>3789594</v>
      </c>
      <c r="C37" s="291">
        <f>B37/'- 3 -'!$D37*100</f>
        <v>7.5507744357980924</v>
      </c>
      <c r="D37" s="285">
        <f>B37/'- 7 -'!$E37</f>
        <v>905.95123117379876</v>
      </c>
      <c r="E37" s="285">
        <v>1969099</v>
      </c>
      <c r="F37" s="291">
        <f>E37/'- 3 -'!$D37*100</f>
        <v>3.9234341174161629</v>
      </c>
      <c r="G37" s="285">
        <f>E37/'- 7 -'!$E37</f>
        <v>470.73846521635193</v>
      </c>
      <c r="H37" s="285">
        <v>1588571</v>
      </c>
      <c r="I37" s="291">
        <f>H37/'- 3 -'!$D37*100</f>
        <v>3.1652312348632097</v>
      </c>
      <c r="J37" s="285">
        <f>H37/'- 7 -'!$E37</f>
        <v>379.76834807554388</v>
      </c>
    </row>
    <row r="38" spans="1:10" ht="14.1" customHeight="1" x14ac:dyDescent="0.2">
      <c r="A38" s="19" t="s">
        <v>136</v>
      </c>
      <c r="B38" s="20">
        <v>12217076</v>
      </c>
      <c r="C38" s="70">
        <f>B38/'- 3 -'!$D38*100</f>
        <v>9.0039864926155389</v>
      </c>
      <c r="D38" s="20">
        <f>B38/'- 7 -'!$E38</f>
        <v>1111.2696246975568</v>
      </c>
      <c r="E38" s="20">
        <v>5126083</v>
      </c>
      <c r="F38" s="70">
        <f>E38/'- 3 -'!$D38*100</f>
        <v>3.7779237922417885</v>
      </c>
      <c r="G38" s="20">
        <f>E38/'- 7 -'!$E38</f>
        <v>466.27035238043266</v>
      </c>
      <c r="H38" s="20">
        <v>3648184</v>
      </c>
      <c r="I38" s="70">
        <f>H38/'- 3 -'!$D38*100</f>
        <v>2.6887120501318096</v>
      </c>
      <c r="J38" s="20">
        <f>H38/'- 7 -'!$E38</f>
        <v>331.84012807218619</v>
      </c>
    </row>
    <row r="39" spans="1:10" ht="14.1" customHeight="1" x14ac:dyDescent="0.2">
      <c r="A39" s="284" t="s">
        <v>137</v>
      </c>
      <c r="B39" s="285">
        <v>1232914</v>
      </c>
      <c r="C39" s="291">
        <f>B39/'- 3 -'!$D39*100</f>
        <v>5.7462469566186813</v>
      </c>
      <c r="D39" s="285">
        <f>B39/'- 7 -'!$E39</f>
        <v>821.9426666666667</v>
      </c>
      <c r="E39" s="285">
        <v>712885</v>
      </c>
      <c r="F39" s="291">
        <f>E39/'- 3 -'!$D39*100</f>
        <v>3.3225458236901426</v>
      </c>
      <c r="G39" s="285">
        <f>E39/'- 7 -'!$E39</f>
        <v>475.25666666666666</v>
      </c>
      <c r="H39" s="285">
        <v>287011</v>
      </c>
      <c r="I39" s="291">
        <f>H39/'- 3 -'!$D39*100</f>
        <v>1.3376732564202243</v>
      </c>
      <c r="J39" s="285">
        <f>H39/'- 7 -'!$E39</f>
        <v>191.34066666666666</v>
      </c>
    </row>
    <row r="40" spans="1:10" ht="14.1" customHeight="1" x14ac:dyDescent="0.2">
      <c r="A40" s="19" t="s">
        <v>138</v>
      </c>
      <c r="B40" s="20">
        <v>10421775</v>
      </c>
      <c r="C40" s="70">
        <f>B40/'- 3 -'!$D40*100</f>
        <v>9.9879087343042467</v>
      </c>
      <c r="D40" s="20">
        <f>B40/'- 7 -'!$E40</f>
        <v>1261.6550046002615</v>
      </c>
      <c r="E40" s="20">
        <v>6849434</v>
      </c>
      <c r="F40" s="70">
        <f>E40/'- 3 -'!$D40*100</f>
        <v>6.5642869543470743</v>
      </c>
      <c r="G40" s="20">
        <f>E40/'- 7 -'!$E40</f>
        <v>829.1891433828871</v>
      </c>
      <c r="H40" s="20">
        <v>2309949</v>
      </c>
      <c r="I40" s="70">
        <f>H40/'- 3 -'!$D40*100</f>
        <v>2.2137841003953129</v>
      </c>
      <c r="J40" s="20">
        <f>H40/'- 7 -'!$E40</f>
        <v>279.64130066340613</v>
      </c>
    </row>
    <row r="41" spans="1:10" ht="14.1" customHeight="1" x14ac:dyDescent="0.2">
      <c r="A41" s="284" t="s">
        <v>139</v>
      </c>
      <c r="B41" s="285">
        <v>5093046</v>
      </c>
      <c r="C41" s="291">
        <f>B41/'- 3 -'!$D41*100</f>
        <v>8.1306108171172511</v>
      </c>
      <c r="D41" s="285">
        <f>B41/'- 7 -'!$E41</f>
        <v>1142.3227542895593</v>
      </c>
      <c r="E41" s="285">
        <v>3077195</v>
      </c>
      <c r="F41" s="291">
        <f>E41/'- 3 -'!$D41*100</f>
        <v>4.9124777104662156</v>
      </c>
      <c r="G41" s="285">
        <f>E41/'- 7 -'!$E41</f>
        <v>690.18616126499944</v>
      </c>
      <c r="H41" s="285">
        <v>1134864</v>
      </c>
      <c r="I41" s="291">
        <f>H41/'- 3 -'!$D41*100</f>
        <v>1.8117129737993634</v>
      </c>
      <c r="J41" s="285">
        <f>H41/'- 7 -'!$E41</f>
        <v>254.53941908713693</v>
      </c>
    </row>
    <row r="42" spans="1:10" ht="14.1" customHeight="1" x14ac:dyDescent="0.2">
      <c r="A42" s="19" t="s">
        <v>140</v>
      </c>
      <c r="B42" s="20">
        <v>1521124</v>
      </c>
      <c r="C42" s="70">
        <f>B42/'- 3 -'!$D42*100</f>
        <v>7.5075777908712338</v>
      </c>
      <c r="D42" s="20">
        <f>B42/'- 7 -'!$E42</f>
        <v>1103.3831423182939</v>
      </c>
      <c r="E42" s="20">
        <v>744529</v>
      </c>
      <c r="F42" s="70">
        <f>E42/'- 3 -'!$D42*100</f>
        <v>3.6746572830746005</v>
      </c>
      <c r="G42" s="20">
        <f>E42/'- 7 -'!$E42</f>
        <v>540.06165675322791</v>
      </c>
      <c r="H42" s="20">
        <v>210748</v>
      </c>
      <c r="I42" s="70">
        <f>H42/'- 3 -'!$D42*100</f>
        <v>1.0401564923507423</v>
      </c>
      <c r="J42" s="20">
        <f>H42/'- 7 -'!$E42</f>
        <v>152.87102857971857</v>
      </c>
    </row>
    <row r="43" spans="1:10" ht="14.1" customHeight="1" x14ac:dyDescent="0.2">
      <c r="A43" s="284" t="s">
        <v>141</v>
      </c>
      <c r="B43" s="285">
        <v>813337</v>
      </c>
      <c r="C43" s="291">
        <f>B43/'- 3 -'!$D43*100</f>
        <v>6.1394794882173098</v>
      </c>
      <c r="D43" s="285">
        <f>B43/'- 7 -'!$E43</f>
        <v>844.84990131920631</v>
      </c>
      <c r="E43" s="285">
        <v>880684</v>
      </c>
      <c r="F43" s="291">
        <f>E43/'- 3 -'!$D43*100</f>
        <v>6.6478487436341567</v>
      </c>
      <c r="G43" s="285">
        <f>E43/'- 7 -'!$E43</f>
        <v>914.80627402098264</v>
      </c>
      <c r="H43" s="285">
        <v>248282</v>
      </c>
      <c r="I43" s="291">
        <f>H43/'- 3 -'!$D43*100</f>
        <v>1.8741582471885212</v>
      </c>
      <c r="J43" s="285">
        <f>H43/'- 7 -'!$E43</f>
        <v>257.90173470447701</v>
      </c>
    </row>
    <row r="44" spans="1:10" ht="14.1" customHeight="1" x14ac:dyDescent="0.2">
      <c r="A44" s="19" t="s">
        <v>142</v>
      </c>
      <c r="B44" s="20">
        <v>790437</v>
      </c>
      <c r="C44" s="70">
        <f>B44/'- 3 -'!$D44*100</f>
        <v>7.3131507592266152</v>
      </c>
      <c r="D44" s="20">
        <f>B44/'- 7 -'!$E44</f>
        <v>1139.7793799567412</v>
      </c>
      <c r="E44" s="20">
        <v>497190</v>
      </c>
      <c r="F44" s="70">
        <f>E44/'- 3 -'!$D44*100</f>
        <v>4.6000192627367911</v>
      </c>
      <c r="G44" s="20">
        <f>E44/'- 7 -'!$E44</f>
        <v>716.92862292718098</v>
      </c>
      <c r="H44" s="20">
        <v>37111</v>
      </c>
      <c r="I44" s="70">
        <f>H44/'- 3 -'!$D44*100</f>
        <v>0.34335226947328995</v>
      </c>
      <c r="J44" s="20">
        <f>H44/'- 7 -'!$E44</f>
        <v>53.512617159336699</v>
      </c>
    </row>
    <row r="45" spans="1:10" ht="14.1" customHeight="1" x14ac:dyDescent="0.2">
      <c r="A45" s="284" t="s">
        <v>143</v>
      </c>
      <c r="B45" s="285">
        <v>677201</v>
      </c>
      <c r="C45" s="291">
        <f>B45/'- 3 -'!$D45*100</f>
        <v>3.5158444316935564</v>
      </c>
      <c r="D45" s="285">
        <f>B45/'- 7 -'!$E45</f>
        <v>401.89970326409497</v>
      </c>
      <c r="E45" s="285">
        <v>974924</v>
      </c>
      <c r="F45" s="291">
        <f>E45/'- 3 -'!$D45*100</f>
        <v>5.0615417235420637</v>
      </c>
      <c r="G45" s="285">
        <f>E45/'- 7 -'!$E45</f>
        <v>578.58991097922853</v>
      </c>
      <c r="H45" s="285">
        <v>454624</v>
      </c>
      <c r="I45" s="291">
        <f>H45/'- 3 -'!$D45*100</f>
        <v>2.3602848473558833</v>
      </c>
      <c r="J45" s="285">
        <f>H45/'- 7 -'!$E45</f>
        <v>269.80652818991098</v>
      </c>
    </row>
    <row r="46" spans="1:10" ht="14.1" customHeight="1" x14ac:dyDescent="0.2">
      <c r="A46" s="19" t="s">
        <v>144</v>
      </c>
      <c r="B46" s="20">
        <v>17292603</v>
      </c>
      <c r="C46" s="70">
        <f>B46/'- 3 -'!$D46*100</f>
        <v>4.4196498036802865</v>
      </c>
      <c r="D46" s="20">
        <f>B46/'- 7 -'!$E46</f>
        <v>578.75440945145419</v>
      </c>
      <c r="E46" s="20">
        <v>22824178</v>
      </c>
      <c r="F46" s="70">
        <f>E46/'- 3 -'!$D46*100</f>
        <v>5.8334117666879832</v>
      </c>
      <c r="G46" s="20">
        <f>E46/'- 7 -'!$E46</f>
        <v>763.88694400749694</v>
      </c>
      <c r="H46" s="20">
        <v>6038149</v>
      </c>
      <c r="I46" s="70">
        <f>H46/'- 3 -'!$D46*100</f>
        <v>1.5432323313293159</v>
      </c>
      <c r="J46" s="20">
        <f>H46/'- 7 -'!$E46</f>
        <v>202.08671642290571</v>
      </c>
    </row>
    <row r="47" spans="1:10" ht="5.0999999999999996" customHeight="1" x14ac:dyDescent="0.2">
      <c r="A47" s="21"/>
      <c r="B47" s="22"/>
      <c r="C47"/>
      <c r="D47" s="22"/>
      <c r="E47" s="22"/>
      <c r="F47"/>
      <c r="G47" s="22"/>
      <c r="H47"/>
      <c r="I47"/>
      <c r="J47"/>
    </row>
    <row r="48" spans="1:10" ht="14.1" customHeight="1" x14ac:dyDescent="0.2">
      <c r="A48" s="286" t="s">
        <v>145</v>
      </c>
      <c r="B48" s="287">
        <f>SUM(B11:B46)</f>
        <v>145582177</v>
      </c>
      <c r="C48" s="294">
        <f>B48/'- 3 -'!$D48*100</f>
        <v>6.3489492069923132</v>
      </c>
      <c r="D48" s="287">
        <f>B48/'- 7 -'!$E48</f>
        <v>826.99580417042591</v>
      </c>
      <c r="E48" s="287">
        <f>SUM(E11:E46)</f>
        <v>115511852</v>
      </c>
      <c r="F48" s="294">
        <f>E48/'- 3 -'!$D48*100</f>
        <v>5.0375595163246762</v>
      </c>
      <c r="G48" s="287">
        <f>E48/'- 7 -'!$E48</f>
        <v>656.17796700454073</v>
      </c>
      <c r="H48" s="287">
        <f>SUM(H11:H46)</f>
        <v>47630929</v>
      </c>
      <c r="I48" s="294">
        <f>H48/'- 3 -'!$D48*100</f>
        <v>2.0772209561260864</v>
      </c>
      <c r="J48" s="287">
        <f>H48/'- 7 -'!$E48</f>
        <v>270.57280804187627</v>
      </c>
    </row>
    <row r="49" spans="1:10" ht="5.0999999999999996" customHeight="1" x14ac:dyDescent="0.2">
      <c r="A49" s="21" t="s">
        <v>7</v>
      </c>
      <c r="B49" s="22"/>
      <c r="C49"/>
      <c r="E49" s="22"/>
      <c r="F49"/>
      <c r="H49"/>
      <c r="I49"/>
      <c r="J49"/>
    </row>
    <row r="50" spans="1:10" ht="14.1" customHeight="1" x14ac:dyDescent="0.2">
      <c r="A50" s="19" t="s">
        <v>146</v>
      </c>
      <c r="B50" s="20">
        <v>229850</v>
      </c>
      <c r="C50" s="70">
        <f>B50/'- 3 -'!$D50*100</f>
        <v>7.1680686787364234</v>
      </c>
      <c r="D50" s="20">
        <f>B50/'- 7 -'!$E50</f>
        <v>1482.9032258064517</v>
      </c>
      <c r="E50" s="20">
        <v>98012</v>
      </c>
      <c r="F50" s="70">
        <f>E50/'- 3 -'!$D50*100</f>
        <v>3.0565879805974085</v>
      </c>
      <c r="G50" s="20">
        <f>E50/'- 7 -'!$E50</f>
        <v>632.33548387096778</v>
      </c>
      <c r="H50" s="20">
        <v>106095</v>
      </c>
      <c r="I50" s="70">
        <f>H50/'- 3 -'!$D50*100</f>
        <v>3.3086632432914551</v>
      </c>
      <c r="J50" s="20">
        <f>H50/'- 7 -'!$E50</f>
        <v>684.48387096774195</v>
      </c>
    </row>
    <row r="51" spans="1:10" ht="14.1" customHeight="1" x14ac:dyDescent="0.2">
      <c r="A51" s="284" t="s">
        <v>609</v>
      </c>
      <c r="B51" s="285">
        <v>66924</v>
      </c>
      <c r="C51" s="291">
        <f>B51/'- 3 -'!$D51*100</f>
        <v>0.23063680730340241</v>
      </c>
      <c r="D51" s="285">
        <f>B51/'- 7 -'!$E51</f>
        <v>56.595348837209301</v>
      </c>
      <c r="E51" s="285">
        <v>0</v>
      </c>
      <c r="F51" s="291">
        <f>E51/'- 3 -'!$D51*100</f>
        <v>0</v>
      </c>
      <c r="G51" s="285">
        <f>E51/'- 7 -'!$E51</f>
        <v>0</v>
      </c>
      <c r="H51" s="285">
        <v>537757</v>
      </c>
      <c r="I51" s="291">
        <f>H51/'- 3 -'!$D51*100</f>
        <v>1.8532448386984604</v>
      </c>
      <c r="J51" s="285">
        <f>H51/'- 7 -'!$E51</f>
        <v>454.7627906976744</v>
      </c>
    </row>
    <row r="52" spans="1:10" ht="50.1" customHeight="1" x14ac:dyDescent="0.2">
      <c r="A52" s="23"/>
      <c r="B52" s="23"/>
      <c r="C52" s="23"/>
      <c r="D52" s="23"/>
      <c r="E52" s="23"/>
      <c r="F52" s="23"/>
      <c r="G52" s="23"/>
      <c r="H52" s="23"/>
      <c r="I52" s="23"/>
      <c r="J52" s="23"/>
    </row>
    <row r="53" spans="1:10" x14ac:dyDescent="0.2">
      <c r="A53" s="130" t="s">
        <v>345</v>
      </c>
      <c r="B53" s="130"/>
    </row>
    <row r="54" spans="1:10" x14ac:dyDescent="0.2">
      <c r="A54" s="130" t="s">
        <v>331</v>
      </c>
      <c r="B54" s="130"/>
    </row>
  </sheetData>
  <mergeCells count="6">
    <mergeCell ref="D8:D9"/>
    <mergeCell ref="G8:G9"/>
    <mergeCell ref="J8:J9"/>
    <mergeCell ref="B6:D7"/>
    <mergeCell ref="E6:G7"/>
    <mergeCell ref="H6:J7"/>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1">
    <pageSetUpPr fitToPage="1"/>
  </sheetPr>
  <dimension ref="A1:F52"/>
  <sheetViews>
    <sheetView showGridLines="0" showZeros="0" workbookViewId="0"/>
  </sheetViews>
  <sheetFormatPr defaultColWidth="15.83203125" defaultRowHeight="12" x14ac:dyDescent="0.2"/>
  <cols>
    <col min="1" max="1" width="32.83203125" style="2" customWidth="1"/>
    <col min="2" max="2" width="23.83203125" style="2" customWidth="1"/>
    <col min="3" max="3" width="12.83203125" style="2" customWidth="1"/>
    <col min="4" max="4" width="22.83203125" style="2" customWidth="1"/>
    <col min="5" max="5" width="12.83203125" style="2" customWidth="1"/>
    <col min="6" max="6" width="27.83203125" style="2" customWidth="1"/>
    <col min="7" max="16384" width="15.83203125" style="2"/>
  </cols>
  <sheetData>
    <row r="1" spans="1:6" ht="6.95" customHeight="1" x14ac:dyDescent="0.2">
      <c r="A1" s="7"/>
      <c r="B1" s="8"/>
      <c r="C1" s="8"/>
      <c r="D1" s="8"/>
      <c r="E1" s="8"/>
    </row>
    <row r="2" spans="1:6" ht="15.95" customHeight="1" x14ac:dyDescent="0.2">
      <c r="A2" s="134"/>
      <c r="B2" s="9" t="s">
        <v>263</v>
      </c>
      <c r="C2" s="10"/>
      <c r="D2" s="10"/>
      <c r="E2" s="135"/>
      <c r="F2" s="395" t="s">
        <v>404</v>
      </c>
    </row>
    <row r="3" spans="1:6" ht="15.95" customHeight="1" x14ac:dyDescent="0.2">
      <c r="A3" s="541"/>
      <c r="B3" s="11" t="str">
        <f>OPYEAR</f>
        <v>OPERATING FUND 2016/2017 ACTUAL</v>
      </c>
      <c r="C3" s="12"/>
      <c r="D3" s="12"/>
      <c r="E3" s="66"/>
      <c r="F3" s="66"/>
    </row>
    <row r="4" spans="1:6" ht="15.95" customHeight="1" x14ac:dyDescent="0.2">
      <c r="B4" s="8"/>
      <c r="C4" s="8"/>
      <c r="D4" s="8"/>
      <c r="E4" s="8"/>
    </row>
    <row r="5" spans="1:6" ht="15.95" customHeight="1" x14ac:dyDescent="0.2">
      <c r="B5" s="154" t="s">
        <v>189</v>
      </c>
      <c r="C5" s="173"/>
      <c r="D5" s="39"/>
      <c r="E5" s="183"/>
    </row>
    <row r="6" spans="1:6" ht="15.95" customHeight="1" x14ac:dyDescent="0.2">
      <c r="B6" s="643" t="s">
        <v>487</v>
      </c>
      <c r="C6" s="644"/>
      <c r="D6" s="336"/>
      <c r="E6" s="337"/>
    </row>
    <row r="7" spans="1:6" ht="15.95" customHeight="1" x14ac:dyDescent="0.2">
      <c r="B7" s="645"/>
      <c r="C7" s="646"/>
      <c r="D7" s="648" t="s">
        <v>79</v>
      </c>
      <c r="E7" s="649"/>
    </row>
    <row r="8" spans="1:6" ht="15.95" customHeight="1" x14ac:dyDescent="0.2">
      <c r="A8" s="67"/>
      <c r="B8" s="139"/>
      <c r="C8" s="137"/>
      <c r="D8" s="139"/>
      <c r="E8" s="137"/>
    </row>
    <row r="9" spans="1:6" ht="15.95" customHeight="1" x14ac:dyDescent="0.2">
      <c r="A9" s="35" t="s">
        <v>42</v>
      </c>
      <c r="B9" s="77" t="s">
        <v>43</v>
      </c>
      <c r="C9" s="77" t="s">
        <v>44</v>
      </c>
      <c r="D9" s="77" t="s">
        <v>43</v>
      </c>
      <c r="E9" s="77" t="s">
        <v>44</v>
      </c>
    </row>
    <row r="10" spans="1:6" ht="5.0999999999999996" customHeight="1" x14ac:dyDescent="0.2">
      <c r="A10" s="6"/>
    </row>
    <row r="11" spans="1:6" ht="14.1" customHeight="1" x14ac:dyDescent="0.2">
      <c r="A11" s="284" t="s">
        <v>110</v>
      </c>
      <c r="B11" s="285">
        <v>0</v>
      </c>
      <c r="C11" s="291">
        <f>B11/'- 3 -'!$D11*100</f>
        <v>0</v>
      </c>
      <c r="D11" s="285">
        <v>0</v>
      </c>
      <c r="E11" s="291">
        <f>D11/'- 3 -'!$D11*100</f>
        <v>0</v>
      </c>
    </row>
    <row r="12" spans="1:6" ht="14.1" customHeight="1" x14ac:dyDescent="0.2">
      <c r="A12" s="19" t="s">
        <v>111</v>
      </c>
      <c r="B12" s="20">
        <v>131755</v>
      </c>
      <c r="C12" s="70">
        <f>B12/'- 3 -'!$D12*100</f>
        <v>0.39425487564057249</v>
      </c>
      <c r="D12" s="20">
        <v>431034</v>
      </c>
      <c r="E12" s="70">
        <f>D12/'- 3 -'!$D12*100</f>
        <v>1.2897973971906838</v>
      </c>
    </row>
    <row r="13" spans="1:6" ht="14.1" customHeight="1" x14ac:dyDescent="0.2">
      <c r="A13" s="284" t="s">
        <v>112</v>
      </c>
      <c r="B13" s="285">
        <v>0</v>
      </c>
      <c r="C13" s="291">
        <f>B13/'- 3 -'!$D13*100</f>
        <v>0</v>
      </c>
      <c r="D13" s="285">
        <v>0</v>
      </c>
      <c r="E13" s="291">
        <f>D13/'- 3 -'!$D13*100</f>
        <v>0</v>
      </c>
    </row>
    <row r="14" spans="1:6" ht="14.1" customHeight="1" x14ac:dyDescent="0.2">
      <c r="A14" s="19" t="s">
        <v>359</v>
      </c>
      <c r="B14" s="20">
        <v>76523</v>
      </c>
      <c r="C14" s="70">
        <f>B14/'- 3 -'!$D14*100</f>
        <v>9.2265454572155806E-2</v>
      </c>
      <c r="D14" s="20">
        <v>178766</v>
      </c>
      <c r="E14" s="70">
        <f>D14/'- 3 -'!$D14*100</f>
        <v>0.21554207561185532</v>
      </c>
    </row>
    <row r="15" spans="1:6" ht="14.1" customHeight="1" x14ac:dyDescent="0.2">
      <c r="A15" s="284" t="s">
        <v>113</v>
      </c>
      <c r="B15" s="285">
        <v>0</v>
      </c>
      <c r="C15" s="291">
        <f>B15/'- 3 -'!$D15*100</f>
        <v>0</v>
      </c>
      <c r="D15" s="285">
        <v>0</v>
      </c>
      <c r="E15" s="291">
        <f>D15/'- 3 -'!$D15*100</f>
        <v>0</v>
      </c>
    </row>
    <row r="16" spans="1:6" ht="14.1" customHeight="1" x14ac:dyDescent="0.2">
      <c r="A16" s="19" t="s">
        <v>114</v>
      </c>
      <c r="B16" s="20">
        <v>21421</v>
      </c>
      <c r="C16" s="70">
        <f>B16/'- 3 -'!$D16*100</f>
        <v>0.14776572376025379</v>
      </c>
      <c r="D16" s="20">
        <v>70879</v>
      </c>
      <c r="E16" s="70">
        <f>D16/'- 3 -'!$D16*100</f>
        <v>0.48893547147206146</v>
      </c>
    </row>
    <row r="17" spans="1:5" ht="14.1" customHeight="1" x14ac:dyDescent="0.2">
      <c r="A17" s="284" t="s">
        <v>115</v>
      </c>
      <c r="B17" s="285">
        <v>0</v>
      </c>
      <c r="C17" s="291">
        <f>B17/'- 3 -'!$D17*100</f>
        <v>0</v>
      </c>
      <c r="D17" s="285">
        <v>0</v>
      </c>
      <c r="E17" s="291">
        <f>D17/'- 3 -'!$D17*100</f>
        <v>0</v>
      </c>
    </row>
    <row r="18" spans="1:5" ht="14.1" customHeight="1" x14ac:dyDescent="0.2">
      <c r="A18" s="19" t="s">
        <v>116</v>
      </c>
      <c r="B18" s="20">
        <v>239896</v>
      </c>
      <c r="C18" s="70">
        <f>B18/'- 3 -'!$D18*100</f>
        <v>0.18646606573483795</v>
      </c>
      <c r="D18" s="20">
        <v>2153426</v>
      </c>
      <c r="E18" s="70">
        <f>D18/'- 3 -'!$D18*100</f>
        <v>1.6738122939570026</v>
      </c>
    </row>
    <row r="19" spans="1:5" ht="14.1" customHeight="1" x14ac:dyDescent="0.2">
      <c r="A19" s="284" t="s">
        <v>117</v>
      </c>
      <c r="B19" s="285">
        <v>0</v>
      </c>
      <c r="C19" s="291">
        <f>B19/'- 3 -'!$D19*100</f>
        <v>0</v>
      </c>
      <c r="D19" s="285">
        <v>0</v>
      </c>
      <c r="E19" s="291">
        <f>D19/'- 3 -'!$D19*100</f>
        <v>0</v>
      </c>
    </row>
    <row r="20" spans="1:5" ht="14.1" customHeight="1" x14ac:dyDescent="0.2">
      <c r="A20" s="19" t="s">
        <v>118</v>
      </c>
      <c r="B20" s="20">
        <v>0</v>
      </c>
      <c r="C20" s="70">
        <f>B20/'- 3 -'!$D20*100</f>
        <v>0</v>
      </c>
      <c r="D20" s="20">
        <v>0</v>
      </c>
      <c r="E20" s="70">
        <f>D20/'- 3 -'!$D20*100</f>
        <v>0</v>
      </c>
    </row>
    <row r="21" spans="1:5" ht="14.1" customHeight="1" x14ac:dyDescent="0.2">
      <c r="A21" s="284" t="s">
        <v>119</v>
      </c>
      <c r="B21" s="285">
        <v>0</v>
      </c>
      <c r="C21" s="291">
        <f>B21/'- 3 -'!$D21*100</f>
        <v>0</v>
      </c>
      <c r="D21" s="285">
        <v>0</v>
      </c>
      <c r="E21" s="291">
        <f>D21/'- 3 -'!$D21*100</f>
        <v>0</v>
      </c>
    </row>
    <row r="22" spans="1:5" ht="14.1" customHeight="1" x14ac:dyDescent="0.2">
      <c r="A22" s="19" t="s">
        <v>120</v>
      </c>
      <c r="B22" s="20">
        <v>182984</v>
      </c>
      <c r="C22" s="70">
        <f>B22/'- 3 -'!$D22*100</f>
        <v>0.91167048729859734</v>
      </c>
      <c r="D22" s="20">
        <v>440942</v>
      </c>
      <c r="E22" s="70">
        <f>D22/'- 3 -'!$D22*100</f>
        <v>2.1968795523675189</v>
      </c>
    </row>
    <row r="23" spans="1:5" ht="14.1" customHeight="1" x14ac:dyDescent="0.2">
      <c r="A23" s="284" t="s">
        <v>121</v>
      </c>
      <c r="B23" s="285">
        <v>61089</v>
      </c>
      <c r="C23" s="291">
        <f>B23/'- 3 -'!$D23*100</f>
        <v>0.35316976643874926</v>
      </c>
      <c r="D23" s="285">
        <v>246268</v>
      </c>
      <c r="E23" s="291">
        <f>D23/'- 3 -'!$D23*100</f>
        <v>1.4237327839928284</v>
      </c>
    </row>
    <row r="24" spans="1:5" ht="14.1" customHeight="1" x14ac:dyDescent="0.2">
      <c r="A24" s="19" t="s">
        <v>122</v>
      </c>
      <c r="B24" s="20">
        <v>112505</v>
      </c>
      <c r="C24" s="70">
        <f>B24/'- 3 -'!$D24*100</f>
        <v>0.19625436666183874</v>
      </c>
      <c r="D24" s="20">
        <v>233221</v>
      </c>
      <c r="E24" s="70">
        <f>D24/'- 3 -'!$D24*100</f>
        <v>0.40683204877330514</v>
      </c>
    </row>
    <row r="25" spans="1:5" ht="14.1" customHeight="1" x14ac:dyDescent="0.2">
      <c r="A25" s="284" t="s">
        <v>123</v>
      </c>
      <c r="B25" s="285">
        <v>106283</v>
      </c>
      <c r="C25" s="291">
        <f>B25/'- 3 -'!$D25*100</f>
        <v>5.9927028441361045E-2</v>
      </c>
      <c r="D25" s="285">
        <v>919587</v>
      </c>
      <c r="E25" s="291">
        <f>D25/'- 3 -'!$D25*100</f>
        <v>0.51850358291830179</v>
      </c>
    </row>
    <row r="26" spans="1:5" ht="14.1" customHeight="1" x14ac:dyDescent="0.2">
      <c r="A26" s="19" t="s">
        <v>124</v>
      </c>
      <c r="B26" s="20">
        <v>0</v>
      </c>
      <c r="C26" s="70">
        <f>B26/'- 3 -'!$D26*100</f>
        <v>0</v>
      </c>
      <c r="D26" s="20">
        <v>0</v>
      </c>
      <c r="E26" s="70">
        <f>D26/'- 3 -'!$D26*100</f>
        <v>0</v>
      </c>
    </row>
    <row r="27" spans="1:5" ht="14.1" customHeight="1" x14ac:dyDescent="0.2">
      <c r="A27" s="284" t="s">
        <v>125</v>
      </c>
      <c r="B27" s="285">
        <v>0</v>
      </c>
      <c r="C27" s="291">
        <f>B27/'- 3 -'!$D27*100</f>
        <v>0</v>
      </c>
      <c r="D27" s="285">
        <v>0</v>
      </c>
      <c r="E27" s="291">
        <f>D27/'- 3 -'!$D27*100</f>
        <v>0</v>
      </c>
    </row>
    <row r="28" spans="1:5" ht="14.1" customHeight="1" x14ac:dyDescent="0.2">
      <c r="A28" s="19" t="s">
        <v>126</v>
      </c>
      <c r="B28" s="20">
        <v>0</v>
      </c>
      <c r="C28" s="70">
        <f>B28/'- 3 -'!$D28*100</f>
        <v>0</v>
      </c>
      <c r="D28" s="20">
        <v>103549</v>
      </c>
      <c r="E28" s="70">
        <f>D28/'- 3 -'!$D28*100</f>
        <v>0.36711079524978502</v>
      </c>
    </row>
    <row r="29" spans="1:5" ht="14.1" customHeight="1" x14ac:dyDescent="0.2">
      <c r="A29" s="284" t="s">
        <v>127</v>
      </c>
      <c r="B29" s="285">
        <v>0</v>
      </c>
      <c r="C29" s="291">
        <f>B29/'- 3 -'!$D29*100</f>
        <v>0</v>
      </c>
      <c r="D29" s="285">
        <v>0</v>
      </c>
      <c r="E29" s="291">
        <f>D29/'- 3 -'!$D29*100</f>
        <v>0</v>
      </c>
    </row>
    <row r="30" spans="1:5" ht="14.1" customHeight="1" x14ac:dyDescent="0.2">
      <c r="A30" s="19" t="s">
        <v>128</v>
      </c>
      <c r="B30" s="20">
        <v>0</v>
      </c>
      <c r="C30" s="70">
        <f>B30/'- 3 -'!$D30*100</f>
        <v>0</v>
      </c>
      <c r="D30" s="20">
        <v>0</v>
      </c>
      <c r="E30" s="70">
        <f>D30/'- 3 -'!$D30*100</f>
        <v>0</v>
      </c>
    </row>
    <row r="31" spans="1:5" ht="14.1" customHeight="1" x14ac:dyDescent="0.2">
      <c r="A31" s="284" t="s">
        <v>129</v>
      </c>
      <c r="B31" s="285">
        <v>0</v>
      </c>
      <c r="C31" s="291">
        <f>B31/'- 3 -'!$D31*100</f>
        <v>0</v>
      </c>
      <c r="D31" s="285">
        <v>0</v>
      </c>
      <c r="E31" s="291">
        <f>D31/'- 3 -'!$D31*100</f>
        <v>0</v>
      </c>
    </row>
    <row r="32" spans="1:5" ht="14.1" customHeight="1" x14ac:dyDescent="0.2">
      <c r="A32" s="19" t="s">
        <v>130</v>
      </c>
      <c r="B32" s="20">
        <v>64393</v>
      </c>
      <c r="C32" s="70">
        <f>B32/'- 3 -'!$D32*100</f>
        <v>0.21979294278048297</v>
      </c>
      <c r="D32" s="20">
        <v>209186</v>
      </c>
      <c r="E32" s="70">
        <f>D32/'- 3 -'!$D32*100</f>
        <v>0.71401559996394182</v>
      </c>
    </row>
    <row r="33" spans="1:6" ht="14.1" customHeight="1" x14ac:dyDescent="0.2">
      <c r="A33" s="284" t="s">
        <v>131</v>
      </c>
      <c r="B33" s="285">
        <v>0</v>
      </c>
      <c r="C33" s="291">
        <f>B33/'- 3 -'!$D33*100</f>
        <v>0</v>
      </c>
      <c r="D33" s="285">
        <v>0</v>
      </c>
      <c r="E33" s="291">
        <f>D33/'- 3 -'!$D33*100</f>
        <v>0</v>
      </c>
    </row>
    <row r="34" spans="1:6" ht="14.1" customHeight="1" x14ac:dyDescent="0.2">
      <c r="A34" s="19" t="s">
        <v>132</v>
      </c>
      <c r="B34" s="20">
        <v>0</v>
      </c>
      <c r="C34" s="70">
        <f>B34/'- 3 -'!$D34*100</f>
        <v>0</v>
      </c>
      <c r="D34" s="20">
        <v>0</v>
      </c>
      <c r="E34" s="70">
        <f>D34/'- 3 -'!$D34*100</f>
        <v>0</v>
      </c>
    </row>
    <row r="35" spans="1:6" ht="14.1" customHeight="1" x14ac:dyDescent="0.2">
      <c r="A35" s="284" t="s">
        <v>133</v>
      </c>
      <c r="B35" s="285">
        <v>284784</v>
      </c>
      <c r="C35" s="291">
        <f>B35/'- 3 -'!$D35*100</f>
        <v>0.15456225096094628</v>
      </c>
      <c r="D35" s="285">
        <v>1145900</v>
      </c>
      <c r="E35" s="291">
        <f>D35/'- 3 -'!$D35*100</f>
        <v>0.62192006354341656</v>
      </c>
    </row>
    <row r="36" spans="1:6" ht="14.1" customHeight="1" x14ac:dyDescent="0.2">
      <c r="A36" s="19" t="s">
        <v>134</v>
      </c>
      <c r="B36" s="20">
        <v>31600</v>
      </c>
      <c r="C36" s="70">
        <f>B36/'- 3 -'!$D36*100</f>
        <v>0.13479970385016962</v>
      </c>
      <c r="D36" s="20">
        <v>91834</v>
      </c>
      <c r="E36" s="70">
        <f>D36/'- 3 -'!$D36*100</f>
        <v>0.39174670896760999</v>
      </c>
    </row>
    <row r="37" spans="1:6" ht="14.1" customHeight="1" x14ac:dyDescent="0.2">
      <c r="A37" s="284" t="s">
        <v>135</v>
      </c>
      <c r="B37" s="285">
        <v>117671</v>
      </c>
      <c r="C37" s="291">
        <f>B37/'- 3 -'!$D37*100</f>
        <v>0.23445972804337278</v>
      </c>
      <c r="D37" s="285">
        <v>197504</v>
      </c>
      <c r="E37" s="291">
        <f>D37/'- 3 -'!$D37*100</f>
        <v>0.39352715730705351</v>
      </c>
    </row>
    <row r="38" spans="1:6" ht="14.1" customHeight="1" x14ac:dyDescent="0.2">
      <c r="A38" s="19" t="s">
        <v>136</v>
      </c>
      <c r="B38" s="20">
        <v>184356</v>
      </c>
      <c r="C38" s="70">
        <f>B38/'- 3 -'!$D38*100</f>
        <v>0.13587039434252765</v>
      </c>
      <c r="D38" s="20">
        <v>663122</v>
      </c>
      <c r="E38" s="70">
        <f>D38/'- 3 -'!$D38*100</f>
        <v>0.48872099436528033</v>
      </c>
    </row>
    <row r="39" spans="1:6" ht="14.1" customHeight="1" x14ac:dyDescent="0.2">
      <c r="A39" s="284" t="s">
        <v>137</v>
      </c>
      <c r="B39" s="285">
        <v>0</v>
      </c>
      <c r="C39" s="291">
        <f>B39/'- 3 -'!$D39*100</f>
        <v>0</v>
      </c>
      <c r="D39" s="285">
        <v>0</v>
      </c>
      <c r="E39" s="291">
        <f>D39/'- 3 -'!$D39*100</f>
        <v>0</v>
      </c>
    </row>
    <row r="40" spans="1:6" ht="14.1" customHeight="1" x14ac:dyDescent="0.2">
      <c r="A40" s="19" t="s">
        <v>138</v>
      </c>
      <c r="B40" s="20">
        <v>0</v>
      </c>
      <c r="C40" s="70">
        <f>B40/'- 3 -'!$D40*100</f>
        <v>0</v>
      </c>
      <c r="D40" s="20">
        <v>0</v>
      </c>
      <c r="E40" s="70">
        <f>D40/'- 3 -'!$D40*100</f>
        <v>0</v>
      </c>
    </row>
    <row r="41" spans="1:6" ht="14.1" customHeight="1" x14ac:dyDescent="0.2">
      <c r="A41" s="284" t="s">
        <v>139</v>
      </c>
      <c r="B41" s="285">
        <v>344475</v>
      </c>
      <c r="C41" s="291">
        <f>B41/'- 3 -'!$D41*100</f>
        <v>0.54992477217493518</v>
      </c>
      <c r="D41" s="285">
        <v>621552</v>
      </c>
      <c r="E41" s="291">
        <f>D41/'- 3 -'!$D41*100</f>
        <v>0.99225442193156355</v>
      </c>
    </row>
    <row r="42" spans="1:6" ht="14.1" customHeight="1" x14ac:dyDescent="0.2">
      <c r="A42" s="19" t="s">
        <v>140</v>
      </c>
      <c r="B42" s="20">
        <v>0</v>
      </c>
      <c r="C42" s="70">
        <f>B42/'- 3 -'!$D42*100</f>
        <v>0</v>
      </c>
      <c r="D42" s="20">
        <v>0</v>
      </c>
      <c r="E42" s="70">
        <f>D42/'- 3 -'!$D42*100</f>
        <v>0</v>
      </c>
    </row>
    <row r="43" spans="1:6" ht="14.1" customHeight="1" x14ac:dyDescent="0.2">
      <c r="A43" s="284" t="s">
        <v>141</v>
      </c>
      <c r="B43" s="285">
        <v>0</v>
      </c>
      <c r="C43" s="291">
        <f>B43/'- 3 -'!$D43*100</f>
        <v>0</v>
      </c>
      <c r="D43" s="285">
        <v>219234</v>
      </c>
      <c r="E43" s="291">
        <f>D43/'- 3 -'!$D43*100</f>
        <v>1.6548892354827502</v>
      </c>
    </row>
    <row r="44" spans="1:6" ht="14.1" customHeight="1" x14ac:dyDescent="0.2">
      <c r="A44" s="19" t="s">
        <v>142</v>
      </c>
      <c r="B44" s="20">
        <v>0</v>
      </c>
      <c r="C44" s="70">
        <f>B44/'- 3 -'!$D44*100</f>
        <v>0</v>
      </c>
      <c r="D44" s="20">
        <v>0</v>
      </c>
      <c r="E44" s="70">
        <f>D44/'- 3 -'!$D44*100</f>
        <v>0</v>
      </c>
    </row>
    <row r="45" spans="1:6" ht="14.1" customHeight="1" x14ac:dyDescent="0.2">
      <c r="A45" s="284" t="s">
        <v>143</v>
      </c>
      <c r="B45" s="285">
        <v>156177</v>
      </c>
      <c r="C45" s="291">
        <f>B45/'- 3 -'!$D45*100</f>
        <v>0.81082874332525301</v>
      </c>
      <c r="D45" s="285">
        <v>236905</v>
      </c>
      <c r="E45" s="291">
        <f>D45/'- 3 -'!$D45*100</f>
        <v>1.2299466850910763</v>
      </c>
    </row>
    <row r="46" spans="1:6" ht="14.1" customHeight="1" x14ac:dyDescent="0.2">
      <c r="A46" s="19" t="s">
        <v>144</v>
      </c>
      <c r="B46" s="20">
        <v>112361</v>
      </c>
      <c r="C46" s="70">
        <f>B46/'- 3 -'!$D46*100</f>
        <v>2.8717265503135688E-2</v>
      </c>
      <c r="D46" s="20">
        <v>688643</v>
      </c>
      <c r="E46" s="70">
        <f>D46/'- 3 -'!$D46*100</f>
        <v>0.17600362997726854</v>
      </c>
    </row>
    <row r="47" spans="1:6" ht="5.0999999999999996" customHeight="1" x14ac:dyDescent="0.2">
      <c r="A47"/>
      <c r="B47"/>
      <c r="C47"/>
      <c r="D47"/>
      <c r="E47"/>
      <c r="F47"/>
    </row>
    <row r="48" spans="1:6" ht="14.1" customHeight="1" x14ac:dyDescent="0.2">
      <c r="A48" s="286" t="s">
        <v>145</v>
      </c>
      <c r="B48" s="287">
        <f>SUM(B11:B46)</f>
        <v>2228273</v>
      </c>
      <c r="C48" s="294">
        <f>B48/'- 3 -'!$D48*100</f>
        <v>9.717667634762997E-2</v>
      </c>
      <c r="D48" s="287">
        <f>SUM(D11:D46)</f>
        <v>8851552</v>
      </c>
      <c r="E48" s="294">
        <f>D48/'- 3 -'!$D48*100</f>
        <v>0.3860228992938553</v>
      </c>
    </row>
    <row r="49" spans="1:5" ht="5.0999999999999996" customHeight="1" x14ac:dyDescent="0.2">
      <c r="A49" s="21" t="s">
        <v>7</v>
      </c>
      <c r="B49"/>
      <c r="C49"/>
      <c r="D49"/>
      <c r="E49"/>
    </row>
    <row r="50" spans="1:5" ht="14.1" customHeight="1" x14ac:dyDescent="0.2">
      <c r="A50" s="19" t="s">
        <v>146</v>
      </c>
      <c r="B50" s="20">
        <v>0</v>
      </c>
      <c r="C50" s="70">
        <f>B50/'- 3 -'!$D50*100</f>
        <v>0</v>
      </c>
      <c r="D50" s="20">
        <v>0</v>
      </c>
      <c r="E50" s="70">
        <f>D50/'- 3 -'!$D50*100</f>
        <v>0</v>
      </c>
    </row>
    <row r="51" spans="1:5" ht="14.1" customHeight="1" x14ac:dyDescent="0.2">
      <c r="A51" s="284" t="s">
        <v>609</v>
      </c>
      <c r="B51" s="285">
        <v>957224</v>
      </c>
      <c r="C51" s="291">
        <f>B51/'- 3 -'!$D51*100</f>
        <v>3.2988328138514142</v>
      </c>
      <c r="D51" s="285">
        <v>1640001</v>
      </c>
      <c r="E51" s="291">
        <f>D51/'- 3 -'!$D51*100</f>
        <v>5.6518527675331311</v>
      </c>
    </row>
    <row r="52" spans="1:5" ht="50.1" customHeight="1" x14ac:dyDescent="0.2"/>
  </sheetData>
  <mergeCells count="2">
    <mergeCell ref="B6:C7"/>
    <mergeCell ref="D7:E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ntry="1" codeName="Sheet1">
    <pageSetUpPr fitToPage="1"/>
  </sheetPr>
  <dimension ref="A1:G58"/>
  <sheetViews>
    <sheetView showGridLines="0" showZeros="0" workbookViewId="0"/>
  </sheetViews>
  <sheetFormatPr defaultColWidth="15.83203125" defaultRowHeight="12" x14ac:dyDescent="0.2"/>
  <cols>
    <col min="1" max="1" width="32.83203125" style="2" customWidth="1"/>
    <col min="2" max="2" width="18.83203125" style="2" customWidth="1"/>
    <col min="3" max="3" width="19.83203125" style="2" customWidth="1"/>
    <col min="4" max="4" width="21.83203125" style="2" customWidth="1"/>
    <col min="5" max="5" width="19.83203125" style="2" customWidth="1"/>
    <col min="6" max="6" width="20.83203125" style="2" customWidth="1"/>
    <col min="7" max="16384" width="15.83203125" style="2"/>
  </cols>
  <sheetData>
    <row r="1" spans="1:6" ht="6.95" customHeight="1" x14ac:dyDescent="0.2">
      <c r="A1" s="7"/>
      <c r="B1" s="8"/>
      <c r="C1" s="8"/>
      <c r="D1" s="8"/>
      <c r="E1" s="8"/>
      <c r="F1" s="8"/>
    </row>
    <row r="2" spans="1:6" ht="15.95" customHeight="1" x14ac:dyDescent="0.2">
      <c r="A2" s="9" t="s">
        <v>251</v>
      </c>
      <c r="B2" s="10"/>
      <c r="C2" s="10"/>
      <c r="D2" s="10"/>
      <c r="E2" s="10"/>
      <c r="F2" s="10"/>
    </row>
    <row r="3" spans="1:6" ht="15.95" customHeight="1" x14ac:dyDescent="0.2">
      <c r="A3" s="11" t="str">
        <f>"OPERATING FUND "&amp;FALLYR&amp;"/"&amp;SPRINGYR&amp;" ACTUAL"</f>
        <v>OPERATING FUND 2016/2017 ACTUAL</v>
      </c>
      <c r="B3" s="12"/>
      <c r="C3" s="13"/>
      <c r="D3" s="12"/>
      <c r="E3" s="12"/>
      <c r="F3" s="12"/>
    </row>
    <row r="4" spans="1:6" ht="15.95" customHeight="1" x14ac:dyDescent="0.2">
      <c r="B4" s="8"/>
      <c r="C4" s="8"/>
      <c r="D4" s="8"/>
      <c r="E4" s="8"/>
      <c r="F4" s="8"/>
    </row>
    <row r="5" spans="1:6" ht="15.95" customHeight="1" x14ac:dyDescent="0.2">
      <c r="B5" s="8"/>
      <c r="C5" s="8"/>
      <c r="D5" s="8"/>
      <c r="E5" s="8"/>
      <c r="F5" s="8"/>
    </row>
    <row r="6" spans="1:6" ht="15.95" customHeight="1" x14ac:dyDescent="0.2">
      <c r="B6" s="14"/>
      <c r="C6" s="596" t="s">
        <v>448</v>
      </c>
      <c r="D6" s="599" t="s">
        <v>449</v>
      </c>
      <c r="E6" s="596" t="s">
        <v>450</v>
      </c>
      <c r="F6" s="596" t="s">
        <v>451</v>
      </c>
    </row>
    <row r="7" spans="1:6" ht="15.95" customHeight="1" x14ac:dyDescent="0.2">
      <c r="B7" s="14"/>
      <c r="C7" s="597"/>
      <c r="D7" s="600"/>
      <c r="E7" s="602"/>
      <c r="F7" s="602"/>
    </row>
    <row r="8" spans="1:6" ht="15.95" customHeight="1" x14ac:dyDescent="0.2">
      <c r="A8" s="16"/>
      <c r="B8" s="594" t="s">
        <v>447</v>
      </c>
      <c r="C8" s="597"/>
      <c r="D8" s="600"/>
      <c r="E8" s="602"/>
      <c r="F8" s="602"/>
    </row>
    <row r="9" spans="1:6" x14ac:dyDescent="0.2">
      <c r="A9" s="17" t="s">
        <v>42</v>
      </c>
      <c r="B9" s="595"/>
      <c r="C9" s="598"/>
      <c r="D9" s="601"/>
      <c r="E9" s="603"/>
      <c r="F9" s="603"/>
    </row>
    <row r="10" spans="1:6" ht="5.0999999999999996" customHeight="1" x14ac:dyDescent="0.2">
      <c r="A10" s="18"/>
    </row>
    <row r="11" spans="1:6" ht="14.1" customHeight="1" x14ac:dyDescent="0.2">
      <c r="A11" s="284" t="s">
        <v>110</v>
      </c>
      <c r="B11" s="285">
        <v>19173997</v>
      </c>
      <c r="C11" s="285">
        <f>-Data!K11</f>
        <v>-56178</v>
      </c>
      <c r="D11" s="285">
        <f>B11+C11</f>
        <v>19117819</v>
      </c>
      <c r="E11" s="285">
        <f>-'- 15 -'!H11-'- 16 -'!B11</f>
        <v>-22118</v>
      </c>
      <c r="F11" s="285">
        <f>D11+E11</f>
        <v>19095701</v>
      </c>
    </row>
    <row r="12" spans="1:6" ht="14.1" customHeight="1" x14ac:dyDescent="0.2">
      <c r="A12" s="19" t="s">
        <v>111</v>
      </c>
      <c r="B12" s="20">
        <v>33859880</v>
      </c>
      <c r="C12" s="20">
        <f>-Data!K12</f>
        <v>-441143</v>
      </c>
      <c r="D12" s="20">
        <f t="shared" ref="D12:D46" si="0">B12+C12</f>
        <v>33418737</v>
      </c>
      <c r="E12" s="20">
        <f>-'- 15 -'!H12-'- 16 -'!B12</f>
        <v>-619360</v>
      </c>
      <c r="F12" s="20">
        <f t="shared" ref="F12:F46" si="1">D12+E12</f>
        <v>32799377</v>
      </c>
    </row>
    <row r="13" spans="1:6" ht="14.1" customHeight="1" x14ac:dyDescent="0.2">
      <c r="A13" s="284" t="s">
        <v>112</v>
      </c>
      <c r="B13" s="285">
        <v>96014314</v>
      </c>
      <c r="C13" s="285">
        <f>-Data!K13</f>
        <v>-102310</v>
      </c>
      <c r="D13" s="285">
        <f t="shared" si="0"/>
        <v>95912004</v>
      </c>
      <c r="E13" s="285">
        <f>-'- 15 -'!H13-'- 16 -'!B13</f>
        <v>-290940</v>
      </c>
      <c r="F13" s="285">
        <f t="shared" si="1"/>
        <v>95621064</v>
      </c>
    </row>
    <row r="14" spans="1:6" ht="14.1" customHeight="1" x14ac:dyDescent="0.2">
      <c r="A14" s="19" t="s">
        <v>359</v>
      </c>
      <c r="B14" s="20">
        <v>83753584</v>
      </c>
      <c r="C14" s="20">
        <f>-Data!K14</f>
        <v>-815717</v>
      </c>
      <c r="D14" s="20">
        <f t="shared" si="0"/>
        <v>82937867</v>
      </c>
      <c r="E14" s="20">
        <f>-'- 15 -'!H14-'- 16 -'!B14</f>
        <v>-1595593</v>
      </c>
      <c r="F14" s="20">
        <f t="shared" si="1"/>
        <v>81342274</v>
      </c>
    </row>
    <row r="15" spans="1:6" ht="14.1" customHeight="1" x14ac:dyDescent="0.2">
      <c r="A15" s="284" t="s">
        <v>113</v>
      </c>
      <c r="B15" s="285">
        <v>19596954</v>
      </c>
      <c r="C15" s="285">
        <f>-Data!K15</f>
        <v>-80617</v>
      </c>
      <c r="D15" s="285">
        <f t="shared" si="0"/>
        <v>19516337</v>
      </c>
      <c r="E15" s="285">
        <f>-'- 15 -'!H15-'- 16 -'!B15</f>
        <v>-56316</v>
      </c>
      <c r="F15" s="285">
        <f t="shared" si="1"/>
        <v>19460021</v>
      </c>
    </row>
    <row r="16" spans="1:6" ht="14.1" customHeight="1" x14ac:dyDescent="0.2">
      <c r="A16" s="19" t="s">
        <v>114</v>
      </c>
      <c r="B16" s="20">
        <v>14496596</v>
      </c>
      <c r="C16" s="20">
        <f>-Data!K16</f>
        <v>0</v>
      </c>
      <c r="D16" s="20">
        <f t="shared" si="0"/>
        <v>14496596</v>
      </c>
      <c r="E16" s="20">
        <f>-'- 15 -'!H16-'- 16 -'!B16</f>
        <v>-102971</v>
      </c>
      <c r="F16" s="20">
        <f t="shared" si="1"/>
        <v>14393625</v>
      </c>
    </row>
    <row r="17" spans="1:6" ht="14.1" customHeight="1" x14ac:dyDescent="0.2">
      <c r="A17" s="284" t="s">
        <v>115</v>
      </c>
      <c r="B17" s="285">
        <v>18013380</v>
      </c>
      <c r="C17" s="285">
        <f>-Data!K17</f>
        <v>-67426</v>
      </c>
      <c r="D17" s="285">
        <f t="shared" si="0"/>
        <v>17945954</v>
      </c>
      <c r="E17" s="285">
        <f>-'- 15 -'!H17-'- 16 -'!B17</f>
        <v>-387355</v>
      </c>
      <c r="F17" s="285">
        <f t="shared" si="1"/>
        <v>17558599</v>
      </c>
    </row>
    <row r="18" spans="1:6" ht="14.1" customHeight="1" x14ac:dyDescent="0.2">
      <c r="A18" s="19" t="s">
        <v>116</v>
      </c>
      <c r="B18" s="20">
        <v>133300864</v>
      </c>
      <c r="C18" s="20">
        <f>-Data!K18</f>
        <v>-4646892</v>
      </c>
      <c r="D18" s="20">
        <f t="shared" si="0"/>
        <v>128653972</v>
      </c>
      <c r="E18" s="20">
        <f>-'- 15 -'!H18-'- 16 -'!B18</f>
        <v>-4897404</v>
      </c>
      <c r="F18" s="20">
        <f t="shared" si="1"/>
        <v>123756568</v>
      </c>
    </row>
    <row r="19" spans="1:6" ht="14.1" customHeight="1" x14ac:dyDescent="0.2">
      <c r="A19" s="284" t="s">
        <v>117</v>
      </c>
      <c r="B19" s="285">
        <v>46653339.509999998</v>
      </c>
      <c r="C19" s="285">
        <f>-Data!K19</f>
        <v>-501653</v>
      </c>
      <c r="D19" s="285">
        <f t="shared" si="0"/>
        <v>46151686.509999998</v>
      </c>
      <c r="E19" s="285">
        <f>-'- 15 -'!H19-'- 16 -'!B19</f>
        <v>-64999</v>
      </c>
      <c r="F19" s="285">
        <f t="shared" si="1"/>
        <v>46086687.509999998</v>
      </c>
    </row>
    <row r="20" spans="1:6" ht="14.1" customHeight="1" x14ac:dyDescent="0.2">
      <c r="A20" s="19" t="s">
        <v>118</v>
      </c>
      <c r="B20" s="20">
        <v>83868124</v>
      </c>
      <c r="C20" s="20">
        <f>-Data!K20</f>
        <v>-1618649</v>
      </c>
      <c r="D20" s="20">
        <f t="shared" si="0"/>
        <v>82249475</v>
      </c>
      <c r="E20" s="20">
        <f>-'- 15 -'!H20-'- 16 -'!B20</f>
        <v>-168851</v>
      </c>
      <c r="F20" s="20">
        <f t="shared" si="1"/>
        <v>82080624</v>
      </c>
    </row>
    <row r="21" spans="1:6" ht="14.1" customHeight="1" x14ac:dyDescent="0.2">
      <c r="A21" s="284" t="s">
        <v>119</v>
      </c>
      <c r="B21" s="285">
        <v>36307744</v>
      </c>
      <c r="C21" s="285">
        <f>-Data!K21</f>
        <v>-339865</v>
      </c>
      <c r="D21" s="285">
        <f t="shared" si="0"/>
        <v>35967879</v>
      </c>
      <c r="E21" s="285">
        <f>-'- 15 -'!H21-'- 16 -'!B21</f>
        <v>-226250</v>
      </c>
      <c r="F21" s="285">
        <f t="shared" si="1"/>
        <v>35741629</v>
      </c>
    </row>
    <row r="22" spans="1:6" ht="14.1" customHeight="1" x14ac:dyDescent="0.2">
      <c r="A22" s="19" t="s">
        <v>120</v>
      </c>
      <c r="B22" s="20">
        <v>20091292</v>
      </c>
      <c r="C22" s="20">
        <f>-Data!K22</f>
        <v>-20005</v>
      </c>
      <c r="D22" s="20">
        <f t="shared" si="0"/>
        <v>20071287</v>
      </c>
      <c r="E22" s="20">
        <f>-'- 15 -'!H22-'- 16 -'!B22</f>
        <v>-679794</v>
      </c>
      <c r="F22" s="20">
        <f t="shared" si="1"/>
        <v>19391493</v>
      </c>
    </row>
    <row r="23" spans="1:6" ht="14.1" customHeight="1" x14ac:dyDescent="0.2">
      <c r="A23" s="284" t="s">
        <v>121</v>
      </c>
      <c r="B23" s="285">
        <v>17387180</v>
      </c>
      <c r="C23" s="285">
        <f>-Data!K23</f>
        <v>-89833</v>
      </c>
      <c r="D23" s="285">
        <f t="shared" si="0"/>
        <v>17297347</v>
      </c>
      <c r="E23" s="285">
        <f>-'- 15 -'!H23-'- 16 -'!B23</f>
        <v>-660923</v>
      </c>
      <c r="F23" s="285">
        <f t="shared" si="1"/>
        <v>16636424</v>
      </c>
    </row>
    <row r="24" spans="1:6" ht="14.1" customHeight="1" x14ac:dyDescent="0.2">
      <c r="A24" s="19" t="s">
        <v>122</v>
      </c>
      <c r="B24" s="20">
        <v>57497492</v>
      </c>
      <c r="C24" s="20">
        <f>-Data!K24</f>
        <v>-171379</v>
      </c>
      <c r="D24" s="20">
        <f t="shared" si="0"/>
        <v>57326113</v>
      </c>
      <c r="E24" s="20">
        <f>-'- 15 -'!H24-'- 16 -'!B24</f>
        <v>-870369</v>
      </c>
      <c r="F24" s="20">
        <f t="shared" si="1"/>
        <v>56455744</v>
      </c>
    </row>
    <row r="25" spans="1:6" ht="14.1" customHeight="1" x14ac:dyDescent="0.2">
      <c r="A25" s="284" t="s">
        <v>123</v>
      </c>
      <c r="B25" s="285">
        <v>178510543</v>
      </c>
      <c r="C25" s="285">
        <f>-Data!K25</f>
        <v>-1156513</v>
      </c>
      <c r="D25" s="285">
        <f t="shared" si="0"/>
        <v>177354030</v>
      </c>
      <c r="E25" s="285">
        <f>-'- 15 -'!H25-'- 16 -'!B25</f>
        <v>-2769358</v>
      </c>
      <c r="F25" s="285">
        <f t="shared" si="1"/>
        <v>174584672</v>
      </c>
    </row>
    <row r="26" spans="1:6" ht="14.1" customHeight="1" x14ac:dyDescent="0.2">
      <c r="A26" s="19" t="s">
        <v>124</v>
      </c>
      <c r="B26" s="20">
        <v>40991043</v>
      </c>
      <c r="C26" s="20">
        <f>-Data!K26</f>
        <v>-4050</v>
      </c>
      <c r="D26" s="20">
        <f t="shared" si="0"/>
        <v>40986993</v>
      </c>
      <c r="E26" s="20">
        <f>-'- 15 -'!H26-'- 16 -'!B26</f>
        <v>-104002</v>
      </c>
      <c r="F26" s="20">
        <f t="shared" si="1"/>
        <v>40882991</v>
      </c>
    </row>
    <row r="27" spans="1:6" ht="14.1" customHeight="1" x14ac:dyDescent="0.2">
      <c r="A27" s="284" t="s">
        <v>125</v>
      </c>
      <c r="B27" s="285">
        <v>41453187</v>
      </c>
      <c r="C27" s="285">
        <f>-Data!K27</f>
        <v>-6400</v>
      </c>
      <c r="D27" s="285">
        <f t="shared" si="0"/>
        <v>41446787</v>
      </c>
      <c r="E27" s="285">
        <f>-'- 15 -'!H27-'- 16 -'!B27</f>
        <v>-4590</v>
      </c>
      <c r="F27" s="285">
        <f t="shared" si="1"/>
        <v>41442197</v>
      </c>
    </row>
    <row r="28" spans="1:6" ht="14.1" customHeight="1" x14ac:dyDescent="0.2">
      <c r="A28" s="19" t="s">
        <v>126</v>
      </c>
      <c r="B28" s="20">
        <v>28356604</v>
      </c>
      <c r="C28" s="20">
        <f>-Data!K28</f>
        <v>-150133</v>
      </c>
      <c r="D28" s="20">
        <f t="shared" si="0"/>
        <v>28206471</v>
      </c>
      <c r="E28" s="20">
        <f>-'- 15 -'!H28-'- 16 -'!B28</f>
        <v>-198572</v>
      </c>
      <c r="F28" s="20">
        <f t="shared" si="1"/>
        <v>28007899</v>
      </c>
    </row>
    <row r="29" spans="1:6" ht="14.1" customHeight="1" x14ac:dyDescent="0.2">
      <c r="A29" s="284" t="s">
        <v>127</v>
      </c>
      <c r="B29" s="285">
        <v>161179469</v>
      </c>
      <c r="C29" s="285">
        <f>-Data!K29</f>
        <v>-1889713</v>
      </c>
      <c r="D29" s="285">
        <f t="shared" si="0"/>
        <v>159289756</v>
      </c>
      <c r="E29" s="285">
        <f>-'- 15 -'!H29-'- 16 -'!B29</f>
        <v>-920498</v>
      </c>
      <c r="F29" s="285">
        <f t="shared" si="1"/>
        <v>158369258</v>
      </c>
    </row>
    <row r="30" spans="1:6" ht="14.1" customHeight="1" x14ac:dyDescent="0.2">
      <c r="A30" s="19" t="s">
        <v>128</v>
      </c>
      <c r="B30" s="20">
        <v>14143073</v>
      </c>
      <c r="C30" s="20">
        <f>-Data!K30</f>
        <v>-41393</v>
      </c>
      <c r="D30" s="20">
        <f t="shared" si="0"/>
        <v>14101680</v>
      </c>
      <c r="E30" s="20">
        <f>-'- 15 -'!H30-'- 16 -'!B30</f>
        <v>-11072</v>
      </c>
      <c r="F30" s="20">
        <f t="shared" si="1"/>
        <v>14090608</v>
      </c>
    </row>
    <row r="31" spans="1:6" ht="14.1" customHeight="1" x14ac:dyDescent="0.2">
      <c r="A31" s="284" t="s">
        <v>129</v>
      </c>
      <c r="B31" s="285">
        <v>37561700</v>
      </c>
      <c r="C31" s="285">
        <f>-Data!K31</f>
        <v>-42250</v>
      </c>
      <c r="D31" s="285">
        <f t="shared" si="0"/>
        <v>37519450</v>
      </c>
      <c r="E31" s="285">
        <f>-'- 15 -'!H31-'- 16 -'!B31</f>
        <v>-55546</v>
      </c>
      <c r="F31" s="285">
        <f t="shared" si="1"/>
        <v>37463904</v>
      </c>
    </row>
    <row r="32" spans="1:6" ht="14.1" customHeight="1" x14ac:dyDescent="0.2">
      <c r="A32" s="19" t="s">
        <v>130</v>
      </c>
      <c r="B32" s="20">
        <v>29555351</v>
      </c>
      <c r="C32" s="20">
        <f>-Data!K32</f>
        <v>-258232</v>
      </c>
      <c r="D32" s="20">
        <f t="shared" si="0"/>
        <v>29297119</v>
      </c>
      <c r="E32" s="20">
        <f>-'- 15 -'!H32-'- 16 -'!B32</f>
        <v>-308017</v>
      </c>
      <c r="F32" s="20">
        <f t="shared" si="1"/>
        <v>28989102</v>
      </c>
    </row>
    <row r="33" spans="1:7" ht="14.1" customHeight="1" x14ac:dyDescent="0.2">
      <c r="A33" s="284" t="s">
        <v>131</v>
      </c>
      <c r="B33" s="285">
        <v>27907642</v>
      </c>
      <c r="C33" s="285">
        <f>-Data!K33</f>
        <v>-93925</v>
      </c>
      <c r="D33" s="285">
        <f t="shared" si="0"/>
        <v>27813717</v>
      </c>
      <c r="E33" s="285">
        <f>-'- 15 -'!H33-'- 16 -'!B33</f>
        <v>-38592</v>
      </c>
      <c r="F33" s="285">
        <f t="shared" si="1"/>
        <v>27775125</v>
      </c>
    </row>
    <row r="34" spans="1:7" ht="14.1" customHeight="1" x14ac:dyDescent="0.2">
      <c r="A34" s="19" t="s">
        <v>132</v>
      </c>
      <c r="B34" s="20">
        <v>29519386</v>
      </c>
      <c r="C34" s="20">
        <f>-Data!K34</f>
        <v>-439132</v>
      </c>
      <c r="D34" s="20">
        <f t="shared" si="0"/>
        <v>29080254</v>
      </c>
      <c r="E34" s="20">
        <f>-'- 15 -'!H34-'- 16 -'!B34</f>
        <v>-57996</v>
      </c>
      <c r="F34" s="20">
        <f t="shared" si="1"/>
        <v>29022258</v>
      </c>
    </row>
    <row r="35" spans="1:7" ht="14.1" customHeight="1" x14ac:dyDescent="0.2">
      <c r="A35" s="284" t="s">
        <v>133</v>
      </c>
      <c r="B35" s="285">
        <v>184853371</v>
      </c>
      <c r="C35" s="285">
        <f>-Data!K35</f>
        <v>-601396</v>
      </c>
      <c r="D35" s="285">
        <f t="shared" si="0"/>
        <v>184251975</v>
      </c>
      <c r="E35" s="285">
        <f>-'- 15 -'!H35-'- 16 -'!B35</f>
        <v>-2949671</v>
      </c>
      <c r="F35" s="285">
        <f t="shared" si="1"/>
        <v>181302304</v>
      </c>
    </row>
    <row r="36" spans="1:7" ht="14.1" customHeight="1" x14ac:dyDescent="0.2">
      <c r="A36" s="19" t="s">
        <v>134</v>
      </c>
      <c r="B36" s="20">
        <v>23780013</v>
      </c>
      <c r="C36" s="20">
        <f>-Data!K36</f>
        <v>-337825</v>
      </c>
      <c r="D36" s="20">
        <f t="shared" si="0"/>
        <v>23442188</v>
      </c>
      <c r="E36" s="20">
        <f>-'- 15 -'!H36-'- 16 -'!B36</f>
        <v>-180516</v>
      </c>
      <c r="F36" s="20">
        <f t="shared" si="1"/>
        <v>23261672</v>
      </c>
    </row>
    <row r="37" spans="1:7" ht="14.1" customHeight="1" x14ac:dyDescent="0.2">
      <c r="A37" s="284" t="s">
        <v>135</v>
      </c>
      <c r="B37" s="285">
        <v>50747003</v>
      </c>
      <c r="C37" s="285">
        <f>-Data!K37</f>
        <v>-558853</v>
      </c>
      <c r="D37" s="285">
        <f t="shared" si="0"/>
        <v>50188150</v>
      </c>
      <c r="E37" s="285">
        <f>-'- 15 -'!H37-'- 16 -'!B37</f>
        <v>-758235</v>
      </c>
      <c r="F37" s="285">
        <f t="shared" si="1"/>
        <v>49429915</v>
      </c>
    </row>
    <row r="38" spans="1:7" ht="14.1" customHeight="1" x14ac:dyDescent="0.2">
      <c r="A38" s="19" t="s">
        <v>136</v>
      </c>
      <c r="B38" s="20">
        <v>136855162</v>
      </c>
      <c r="C38" s="20">
        <f>-Data!K38</f>
        <v>-1169974</v>
      </c>
      <c r="D38" s="20">
        <f t="shared" si="0"/>
        <v>135685188</v>
      </c>
      <c r="E38" s="20">
        <f>-'- 15 -'!H38-'- 16 -'!B38</f>
        <v>-2944370</v>
      </c>
      <c r="F38" s="20">
        <f t="shared" si="1"/>
        <v>132740818</v>
      </c>
    </row>
    <row r="39" spans="1:7" ht="14.1" customHeight="1" x14ac:dyDescent="0.2">
      <c r="A39" s="284" t="s">
        <v>137</v>
      </c>
      <c r="B39" s="285">
        <v>21700298</v>
      </c>
      <c r="C39" s="285">
        <f>-Data!K39</f>
        <v>-244311</v>
      </c>
      <c r="D39" s="285">
        <f t="shared" si="0"/>
        <v>21455987</v>
      </c>
      <c r="E39" s="285">
        <f>-'- 15 -'!H39-'- 16 -'!B39</f>
        <v>-158306</v>
      </c>
      <c r="F39" s="285">
        <f t="shared" si="1"/>
        <v>21297681</v>
      </c>
    </row>
    <row r="40" spans="1:7" ht="14.1" customHeight="1" x14ac:dyDescent="0.2">
      <c r="A40" s="19" t="s">
        <v>138</v>
      </c>
      <c r="B40" s="20">
        <v>104765593</v>
      </c>
      <c r="C40" s="20">
        <f>-Data!K40</f>
        <v>-421678</v>
      </c>
      <c r="D40" s="20">
        <f t="shared" si="0"/>
        <v>104343915</v>
      </c>
      <c r="E40" s="20">
        <f>-'- 15 -'!H40-'- 16 -'!B40</f>
        <v>-994366</v>
      </c>
      <c r="F40" s="20">
        <f t="shared" si="1"/>
        <v>103349549</v>
      </c>
    </row>
    <row r="41" spans="1:7" ht="14.1" customHeight="1" x14ac:dyDescent="0.2">
      <c r="A41" s="284" t="s">
        <v>139</v>
      </c>
      <c r="B41" s="285">
        <v>63417379</v>
      </c>
      <c r="C41" s="285">
        <f>-Data!K41</f>
        <v>-776993</v>
      </c>
      <c r="D41" s="285">
        <f t="shared" si="0"/>
        <v>62640386</v>
      </c>
      <c r="E41" s="285">
        <f>-'- 15 -'!H41-'- 16 -'!B41</f>
        <v>-1270274</v>
      </c>
      <c r="F41" s="285">
        <f t="shared" si="1"/>
        <v>61370112</v>
      </c>
    </row>
    <row r="42" spans="1:7" ht="14.1" customHeight="1" x14ac:dyDescent="0.2">
      <c r="A42" s="19" t="s">
        <v>140</v>
      </c>
      <c r="B42" s="20">
        <v>20321182</v>
      </c>
      <c r="C42" s="20">
        <f>-Data!K42</f>
        <v>-60000</v>
      </c>
      <c r="D42" s="20">
        <f t="shared" si="0"/>
        <v>20261182</v>
      </c>
      <c r="E42" s="20">
        <f>-'- 15 -'!H42-'- 16 -'!B42</f>
        <v>-190895</v>
      </c>
      <c r="F42" s="20">
        <f t="shared" si="1"/>
        <v>20070287</v>
      </c>
    </row>
    <row r="43" spans="1:7" ht="14.1" customHeight="1" x14ac:dyDescent="0.2">
      <c r="A43" s="284" t="s">
        <v>141</v>
      </c>
      <c r="B43" s="285">
        <v>13276904</v>
      </c>
      <c r="C43" s="285">
        <f>-Data!K43</f>
        <v>-29250</v>
      </c>
      <c r="D43" s="285">
        <f t="shared" si="0"/>
        <v>13247654</v>
      </c>
      <c r="E43" s="285">
        <f>-'- 15 -'!H43-'- 16 -'!B43</f>
        <v>-231304</v>
      </c>
      <c r="F43" s="285">
        <f t="shared" si="1"/>
        <v>13016350</v>
      </c>
    </row>
    <row r="44" spans="1:7" ht="14.1" customHeight="1" x14ac:dyDescent="0.2">
      <c r="A44" s="19" t="s">
        <v>142</v>
      </c>
      <c r="B44" s="20">
        <v>10986027</v>
      </c>
      <c r="C44" s="20">
        <f>-Data!K44</f>
        <v>-177594</v>
      </c>
      <c r="D44" s="20">
        <f t="shared" si="0"/>
        <v>10808433</v>
      </c>
      <c r="E44" s="20">
        <f>-'- 15 -'!H44-'- 16 -'!B44</f>
        <v>-33713</v>
      </c>
      <c r="F44" s="20">
        <f t="shared" si="1"/>
        <v>10774720</v>
      </c>
    </row>
    <row r="45" spans="1:7" ht="14.1" customHeight="1" x14ac:dyDescent="0.2">
      <c r="A45" s="284" t="s">
        <v>143</v>
      </c>
      <c r="B45" s="285">
        <v>19506730</v>
      </c>
      <c r="C45" s="285">
        <f>-Data!K45</f>
        <v>-245326</v>
      </c>
      <c r="D45" s="285">
        <f t="shared" si="0"/>
        <v>19261404</v>
      </c>
      <c r="E45" s="285">
        <f>-'- 15 -'!H45-'- 16 -'!B45</f>
        <v>-444622</v>
      </c>
      <c r="F45" s="285">
        <f t="shared" si="1"/>
        <v>18816782</v>
      </c>
    </row>
    <row r="46" spans="1:7" ht="14.1" customHeight="1" x14ac:dyDescent="0.2">
      <c r="A46" s="19" t="s">
        <v>144</v>
      </c>
      <c r="B46" s="20">
        <v>393646445</v>
      </c>
      <c r="C46" s="20">
        <f>-Data!K46</f>
        <v>-2380083</v>
      </c>
      <c r="D46" s="20">
        <f t="shared" si="0"/>
        <v>391266362</v>
      </c>
      <c r="E46" s="20">
        <f>-'- 15 -'!H46-'- 16 -'!B46</f>
        <v>-10938930</v>
      </c>
      <c r="F46" s="20">
        <f t="shared" si="1"/>
        <v>380327432</v>
      </c>
    </row>
    <row r="47" spans="1:7" ht="5.0999999999999996" customHeight="1" x14ac:dyDescent="0.2">
      <c r="A47"/>
      <c r="B47" s="22"/>
      <c r="C47"/>
      <c r="D47"/>
      <c r="E47"/>
      <c r="F47"/>
      <c r="G47"/>
    </row>
    <row r="48" spans="1:7" ht="14.1" customHeight="1" x14ac:dyDescent="0.2">
      <c r="A48" s="286" t="s">
        <v>145</v>
      </c>
      <c r="B48" s="287">
        <f>SUM(B11:B46)</f>
        <v>2313048845.5100002</v>
      </c>
      <c r="C48" s="287">
        <f>SUM(C11:C46)</f>
        <v>-20036691</v>
      </c>
      <c r="D48" s="287">
        <f>SUM(D11:D46)</f>
        <v>2293012154.5100002</v>
      </c>
      <c r="E48" s="287">
        <f>SUM(E11:E46)</f>
        <v>-36206688</v>
      </c>
      <c r="F48" s="287">
        <f>SUM(F11:F46)</f>
        <v>2256805466.5100002</v>
      </c>
    </row>
    <row r="49" spans="1:6" ht="5.0999999999999996" customHeight="1" x14ac:dyDescent="0.2">
      <c r="A49" s="21" t="s">
        <v>7</v>
      </c>
      <c r="B49" s="22"/>
      <c r="C49" s="22"/>
      <c r="D49" s="22"/>
      <c r="E49" s="22"/>
      <c r="F49" s="22"/>
    </row>
    <row r="50" spans="1:6" ht="14.1" customHeight="1" x14ac:dyDescent="0.2">
      <c r="A50" s="19" t="s">
        <v>146</v>
      </c>
      <c r="B50" s="20">
        <v>3206582</v>
      </c>
      <c r="C50" s="20">
        <f>-Data!K50</f>
        <v>0</v>
      </c>
      <c r="D50" s="20">
        <f>B50+C50</f>
        <v>3206582</v>
      </c>
      <c r="E50" s="20">
        <f>-'- 15 -'!H50-'- 16 -'!B50</f>
        <v>-92141</v>
      </c>
      <c r="F50" s="20">
        <f>D50+E50</f>
        <v>3114441</v>
      </c>
    </row>
    <row r="51" spans="1:6" ht="14.1" customHeight="1" x14ac:dyDescent="0.2">
      <c r="A51" s="284" t="s">
        <v>609</v>
      </c>
      <c r="B51" s="285">
        <v>29318062</v>
      </c>
      <c r="C51" s="285">
        <f>-Data!K51</f>
        <v>-301011</v>
      </c>
      <c r="D51" s="285">
        <f>B51+C51</f>
        <v>29017051</v>
      </c>
      <c r="E51" s="285">
        <f>-'- 15 -'!H51-'- 16 -'!B51</f>
        <v>-13141325</v>
      </c>
      <c r="F51" s="285">
        <f>D51+E51</f>
        <v>15875726</v>
      </c>
    </row>
    <row r="52" spans="1:6" ht="50.1" customHeight="1" x14ac:dyDescent="0.2">
      <c r="A52" s="23"/>
      <c r="B52" s="23"/>
      <c r="C52" s="23"/>
      <c r="D52" s="23"/>
      <c r="E52" s="23"/>
      <c r="F52" s="23"/>
    </row>
    <row r="53" spans="1:6" ht="14.45" customHeight="1" x14ac:dyDescent="0.2">
      <c r="A53" s="2" t="s">
        <v>339</v>
      </c>
    </row>
    <row r="54" spans="1:6" ht="12" customHeight="1" x14ac:dyDescent="0.2">
      <c r="A54" s="593" t="s">
        <v>446</v>
      </c>
      <c r="B54" s="593"/>
      <c r="C54" s="593"/>
      <c r="D54" s="593"/>
      <c r="E54" s="593"/>
      <c r="F54" s="593"/>
    </row>
    <row r="55" spans="1:6" ht="12" customHeight="1" x14ac:dyDescent="0.2">
      <c r="A55" s="593"/>
      <c r="B55" s="593"/>
      <c r="C55" s="593"/>
      <c r="D55" s="593"/>
      <c r="E55" s="593"/>
      <c r="F55" s="593"/>
    </row>
    <row r="56" spans="1:6" ht="12" customHeight="1" x14ac:dyDescent="0.2">
      <c r="A56" s="2" t="s">
        <v>340</v>
      </c>
    </row>
    <row r="57" spans="1:6" ht="12" customHeight="1" x14ac:dyDescent="0.2">
      <c r="A57" s="2" t="s">
        <v>341</v>
      </c>
    </row>
    <row r="58" spans="1:6" ht="12" customHeight="1" x14ac:dyDescent="0.2">
      <c r="A58" s="2" t="s">
        <v>342</v>
      </c>
    </row>
  </sheetData>
  <mergeCells count="6">
    <mergeCell ref="A54:F55"/>
    <mergeCell ref="B8:B9"/>
    <mergeCell ref="C6:C9"/>
    <mergeCell ref="D6:D9"/>
    <mergeCell ref="E6:E9"/>
    <mergeCell ref="F6:F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J52"/>
  <sheetViews>
    <sheetView showGridLines="0" showZeros="0" workbookViewId="0"/>
  </sheetViews>
  <sheetFormatPr defaultColWidth="15.83203125" defaultRowHeight="12" x14ac:dyDescent="0.2"/>
  <cols>
    <col min="1" max="1" width="32.83203125" style="2" customWidth="1"/>
    <col min="2" max="2" width="13.83203125" style="2" customWidth="1"/>
    <col min="3" max="3" width="8.83203125" style="2" customWidth="1"/>
    <col min="4" max="4" width="14.83203125" style="2" customWidth="1"/>
    <col min="5" max="5" width="10.5" style="2" customWidth="1"/>
    <col min="6" max="6" width="18.83203125" style="2" customWidth="1"/>
    <col min="7" max="7" width="8.83203125" style="2" customWidth="1"/>
    <col min="8" max="8" width="16.83203125" style="2" customWidth="1"/>
    <col min="9" max="9" width="8.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263</v>
      </c>
      <c r="C2" s="10"/>
      <c r="D2" s="10"/>
      <c r="E2" s="10"/>
      <c r="F2" s="10"/>
      <c r="G2" s="73"/>
      <c r="H2" s="73"/>
      <c r="I2" s="395" t="s">
        <v>405</v>
      </c>
    </row>
    <row r="3" spans="1:9" ht="15.95" customHeight="1" x14ac:dyDescent="0.2">
      <c r="A3" s="541"/>
      <c r="B3" s="11" t="str">
        <f>OPYEAR</f>
        <v>OPERATING FUND 2016/2017 ACTUAL</v>
      </c>
      <c r="C3" s="12"/>
      <c r="D3" s="12"/>
      <c r="E3" s="12"/>
      <c r="F3" s="12"/>
      <c r="G3" s="75"/>
      <c r="H3" s="75"/>
      <c r="I3" s="66"/>
    </row>
    <row r="4" spans="1:9" ht="15.95" customHeight="1" x14ac:dyDescent="0.2">
      <c r="B4" s="8"/>
      <c r="C4" s="8"/>
      <c r="D4" s="8"/>
      <c r="E4" s="8"/>
      <c r="F4" s="8"/>
      <c r="G4" s="8"/>
      <c r="H4" s="8"/>
      <c r="I4" s="8"/>
    </row>
    <row r="5" spans="1:9" ht="15.95" customHeight="1" x14ac:dyDescent="0.2">
      <c r="B5" s="557" t="s">
        <v>14</v>
      </c>
      <c r="C5" s="558"/>
      <c r="D5" s="166"/>
      <c r="E5" s="166"/>
      <c r="F5" s="166"/>
      <c r="G5" s="166"/>
      <c r="H5" s="166"/>
      <c r="I5" s="167"/>
    </row>
    <row r="6" spans="1:9" ht="15.95" customHeight="1" x14ac:dyDescent="0.2">
      <c r="B6" s="319"/>
      <c r="C6" s="320"/>
      <c r="D6" s="651" t="s">
        <v>489</v>
      </c>
      <c r="E6" s="644"/>
      <c r="F6" s="336"/>
      <c r="G6" s="337"/>
      <c r="H6" s="309"/>
      <c r="I6" s="310"/>
    </row>
    <row r="7" spans="1:9" ht="15.95" customHeight="1" x14ac:dyDescent="0.2">
      <c r="B7" s="684" t="s">
        <v>488</v>
      </c>
      <c r="C7" s="685"/>
      <c r="D7" s="686"/>
      <c r="E7" s="687"/>
      <c r="F7" s="688" t="s">
        <v>490</v>
      </c>
      <c r="G7" s="687"/>
      <c r="H7" s="688" t="s">
        <v>491</v>
      </c>
      <c r="I7" s="687"/>
    </row>
    <row r="8" spans="1:9" ht="15.95" customHeight="1" x14ac:dyDescent="0.2">
      <c r="A8" s="403"/>
      <c r="B8" s="672"/>
      <c r="C8" s="673"/>
      <c r="D8" s="652"/>
      <c r="E8" s="646"/>
      <c r="F8" s="645"/>
      <c r="G8" s="646"/>
      <c r="H8" s="645"/>
      <c r="I8" s="646"/>
    </row>
    <row r="9" spans="1:9" ht="15.95" customHeight="1" x14ac:dyDescent="0.2">
      <c r="A9" s="35" t="s">
        <v>42</v>
      </c>
      <c r="B9" s="77" t="s">
        <v>43</v>
      </c>
      <c r="C9" s="77" t="s">
        <v>44</v>
      </c>
      <c r="D9" s="168" t="s">
        <v>43</v>
      </c>
      <c r="E9" s="168" t="s">
        <v>44</v>
      </c>
      <c r="F9" s="168" t="s">
        <v>43</v>
      </c>
      <c r="G9" s="168" t="s">
        <v>44</v>
      </c>
      <c r="H9" s="168" t="s">
        <v>43</v>
      </c>
      <c r="I9" s="168" t="s">
        <v>44</v>
      </c>
    </row>
    <row r="10" spans="1:9" ht="5.0999999999999996" customHeight="1" x14ac:dyDescent="0.2">
      <c r="A10" s="6"/>
    </row>
    <row r="11" spans="1:9" ht="14.1" customHeight="1" x14ac:dyDescent="0.2">
      <c r="A11" s="284" t="s">
        <v>110</v>
      </c>
      <c r="B11" s="285">
        <v>0</v>
      </c>
      <c r="C11" s="291">
        <f>B11/'- 3 -'!$D11*100</f>
        <v>0</v>
      </c>
      <c r="D11" s="285">
        <v>0</v>
      </c>
      <c r="E11" s="291">
        <f>D11/'- 3 -'!$D11*100</f>
        <v>0</v>
      </c>
      <c r="F11" s="285">
        <v>0</v>
      </c>
      <c r="G11" s="291">
        <f>F11/'- 3 -'!$D11*100</f>
        <v>0</v>
      </c>
      <c r="H11" s="285">
        <v>22118</v>
      </c>
      <c r="I11" s="291">
        <f>H11/'- 3 -'!$D11*100</f>
        <v>0.11569311332009159</v>
      </c>
    </row>
    <row r="12" spans="1:9" ht="14.1" customHeight="1" x14ac:dyDescent="0.2">
      <c r="A12" s="19" t="s">
        <v>111</v>
      </c>
      <c r="B12" s="20">
        <v>0</v>
      </c>
      <c r="C12" s="70">
        <f>B12/'- 3 -'!$D12*100</f>
        <v>0</v>
      </c>
      <c r="D12" s="20">
        <v>0</v>
      </c>
      <c r="E12" s="70">
        <f>D12/'- 3 -'!$D12*100</f>
        <v>0</v>
      </c>
      <c r="F12" s="20">
        <v>0</v>
      </c>
      <c r="G12" s="70">
        <f>F12/'- 3 -'!$D12*100</f>
        <v>0</v>
      </c>
      <c r="H12" s="20">
        <v>56571</v>
      </c>
      <c r="I12" s="70">
        <f>H12/'- 3 -'!$D12*100</f>
        <v>0.16927928784382246</v>
      </c>
    </row>
    <row r="13" spans="1:9" ht="14.1" customHeight="1" x14ac:dyDescent="0.2">
      <c r="A13" s="284" t="s">
        <v>112</v>
      </c>
      <c r="B13" s="285">
        <v>0</v>
      </c>
      <c r="C13" s="291">
        <f>B13/'- 3 -'!$D13*100</f>
        <v>0</v>
      </c>
      <c r="D13" s="285">
        <v>0</v>
      </c>
      <c r="E13" s="291">
        <f>D13/'- 3 -'!$D13*100</f>
        <v>0</v>
      </c>
      <c r="F13" s="285">
        <v>135866</v>
      </c>
      <c r="G13" s="291">
        <f>F13/'- 3 -'!$D13*100</f>
        <v>0.14165692961644302</v>
      </c>
      <c r="H13" s="285">
        <v>155074</v>
      </c>
      <c r="I13" s="291">
        <f>H13/'- 3 -'!$D13*100</f>
        <v>0.16168361991477104</v>
      </c>
    </row>
    <row r="14" spans="1:9" ht="14.1" customHeight="1" x14ac:dyDescent="0.2">
      <c r="A14" s="19" t="s">
        <v>359</v>
      </c>
      <c r="B14" s="20">
        <v>0</v>
      </c>
      <c r="C14" s="70">
        <f>B14/'- 3 -'!$D14*100</f>
        <v>0</v>
      </c>
      <c r="D14" s="20">
        <v>0</v>
      </c>
      <c r="E14" s="70">
        <f>D14/'- 3 -'!$D14*100</f>
        <v>0</v>
      </c>
      <c r="F14" s="20">
        <v>0</v>
      </c>
      <c r="G14" s="70">
        <f>F14/'- 3 -'!$D14*100</f>
        <v>0</v>
      </c>
      <c r="H14" s="20">
        <v>1340304</v>
      </c>
      <c r="I14" s="70">
        <f>H14/'- 3 -'!$D14*100</f>
        <v>1.6160338437447397</v>
      </c>
    </row>
    <row r="15" spans="1:9" ht="14.1" customHeight="1" x14ac:dyDescent="0.2">
      <c r="A15" s="284" t="s">
        <v>113</v>
      </c>
      <c r="B15" s="285">
        <v>0</v>
      </c>
      <c r="C15" s="291">
        <f>B15/'- 3 -'!$D15*100</f>
        <v>0</v>
      </c>
      <c r="D15" s="285">
        <v>0</v>
      </c>
      <c r="E15" s="291">
        <f>D15/'- 3 -'!$D15*100</f>
        <v>0</v>
      </c>
      <c r="F15" s="285">
        <v>0</v>
      </c>
      <c r="G15" s="291">
        <f>F15/'- 3 -'!$D15*100</f>
        <v>0</v>
      </c>
      <c r="H15" s="285">
        <v>56316</v>
      </c>
      <c r="I15" s="291">
        <f>H15/'- 3 -'!$D15*100</f>
        <v>0.28855824738013081</v>
      </c>
    </row>
    <row r="16" spans="1:9" ht="14.1" customHeight="1" x14ac:dyDescent="0.2">
      <c r="A16" s="19" t="s">
        <v>114</v>
      </c>
      <c r="B16" s="20">
        <v>0</v>
      </c>
      <c r="C16" s="70">
        <f>B16/'- 3 -'!$D16*100</f>
        <v>0</v>
      </c>
      <c r="D16" s="20">
        <v>0</v>
      </c>
      <c r="E16" s="70">
        <f>D16/'- 3 -'!$D16*100</f>
        <v>0</v>
      </c>
      <c r="F16" s="20">
        <v>0</v>
      </c>
      <c r="G16" s="70">
        <f>F16/'- 3 -'!$D16*100</f>
        <v>0</v>
      </c>
      <c r="H16" s="20">
        <v>10671</v>
      </c>
      <c r="I16" s="70">
        <f>H16/'- 3 -'!$D16*100</f>
        <v>7.3610384120520428E-2</v>
      </c>
    </row>
    <row r="17" spans="1:9" ht="14.1" customHeight="1" x14ac:dyDescent="0.2">
      <c r="A17" s="284" t="s">
        <v>115</v>
      </c>
      <c r="B17" s="285">
        <v>0</v>
      </c>
      <c r="C17" s="291">
        <f>B17/'- 3 -'!$D17*100</f>
        <v>0</v>
      </c>
      <c r="D17" s="285">
        <v>0</v>
      </c>
      <c r="E17" s="291">
        <f>D17/'- 3 -'!$D17*100</f>
        <v>0</v>
      </c>
      <c r="F17" s="285">
        <v>88980</v>
      </c>
      <c r="G17" s="291">
        <f>F17/'- 3 -'!$D17*100</f>
        <v>0.49582206663407247</v>
      </c>
      <c r="H17" s="285">
        <v>298375</v>
      </c>
      <c r="I17" s="291">
        <f>H17/'- 3 -'!$D17*100</f>
        <v>1.6626310309276398</v>
      </c>
    </row>
    <row r="18" spans="1:9" ht="14.1" customHeight="1" x14ac:dyDescent="0.2">
      <c r="A18" s="19" t="s">
        <v>116</v>
      </c>
      <c r="B18" s="20">
        <v>0</v>
      </c>
      <c r="C18" s="70">
        <f>B18/'- 3 -'!$D18*100</f>
        <v>0</v>
      </c>
      <c r="D18" s="20">
        <v>0</v>
      </c>
      <c r="E18" s="70">
        <f>D18/'- 3 -'!$D18*100</f>
        <v>0</v>
      </c>
      <c r="F18" s="20">
        <v>1112487</v>
      </c>
      <c r="G18" s="70">
        <f>F18/'- 3 -'!$D18*100</f>
        <v>0.86471251738733723</v>
      </c>
      <c r="H18" s="20">
        <v>1391595</v>
      </c>
      <c r="I18" s="70">
        <f>H18/'- 3 -'!$D18*100</f>
        <v>1.0816572379125613</v>
      </c>
    </row>
    <row r="19" spans="1:9" ht="14.1" customHeight="1" x14ac:dyDescent="0.2">
      <c r="A19" s="284" t="s">
        <v>117</v>
      </c>
      <c r="B19" s="285">
        <v>0</v>
      </c>
      <c r="C19" s="291">
        <f>B19/'- 3 -'!$D19*100</f>
        <v>0</v>
      </c>
      <c r="D19" s="285">
        <v>0</v>
      </c>
      <c r="E19" s="291">
        <f>D19/'- 3 -'!$D19*100</f>
        <v>0</v>
      </c>
      <c r="F19" s="285">
        <v>0</v>
      </c>
      <c r="G19" s="291">
        <f>F19/'- 3 -'!$D19*100</f>
        <v>0</v>
      </c>
      <c r="H19" s="285">
        <v>64999</v>
      </c>
      <c r="I19" s="291">
        <f>H19/'- 3 -'!$D19*100</f>
        <v>0.14083775678688629</v>
      </c>
    </row>
    <row r="20" spans="1:9" ht="14.1" customHeight="1" x14ac:dyDescent="0.2">
      <c r="A20" s="19" t="s">
        <v>118</v>
      </c>
      <c r="B20" s="20">
        <v>0</v>
      </c>
      <c r="C20" s="70">
        <f>B20/'- 3 -'!$D20*100</f>
        <v>0</v>
      </c>
      <c r="D20" s="20">
        <v>0</v>
      </c>
      <c r="E20" s="70">
        <f>D20/'- 3 -'!$D20*100</f>
        <v>0</v>
      </c>
      <c r="F20" s="20">
        <v>0</v>
      </c>
      <c r="G20" s="70">
        <f>F20/'- 3 -'!$D20*100</f>
        <v>0</v>
      </c>
      <c r="H20" s="20">
        <v>168851</v>
      </c>
      <c r="I20" s="70">
        <f>H20/'- 3 -'!$D20*100</f>
        <v>0.2052912799747354</v>
      </c>
    </row>
    <row r="21" spans="1:9" ht="14.1" customHeight="1" x14ac:dyDescent="0.2">
      <c r="A21" s="284" t="s">
        <v>119</v>
      </c>
      <c r="B21" s="285">
        <v>137676</v>
      </c>
      <c r="C21" s="291">
        <f>B21/'- 3 -'!$D21*100</f>
        <v>0.38277486420592105</v>
      </c>
      <c r="D21" s="285">
        <v>0</v>
      </c>
      <c r="E21" s="291">
        <f>D21/'- 3 -'!$D21*100</f>
        <v>0</v>
      </c>
      <c r="F21" s="285">
        <v>0</v>
      </c>
      <c r="G21" s="291">
        <f>F21/'- 3 -'!$D21*100</f>
        <v>0</v>
      </c>
      <c r="H21" s="285">
        <v>88574</v>
      </c>
      <c r="I21" s="291">
        <f>H21/'- 3 -'!$D21*100</f>
        <v>0.24625861313645991</v>
      </c>
    </row>
    <row r="22" spans="1:9" ht="14.1" customHeight="1" x14ac:dyDescent="0.2">
      <c r="A22" s="19" t="s">
        <v>120</v>
      </c>
      <c r="B22" s="20">
        <v>0</v>
      </c>
      <c r="C22" s="70">
        <f>B22/'- 3 -'!$D22*100</f>
        <v>0</v>
      </c>
      <c r="D22" s="20">
        <v>0</v>
      </c>
      <c r="E22" s="70">
        <f>D22/'- 3 -'!$D22*100</f>
        <v>0</v>
      </c>
      <c r="F22" s="20">
        <v>55868</v>
      </c>
      <c r="G22" s="70">
        <f>F22/'- 3 -'!$D22*100</f>
        <v>0.27834787076683221</v>
      </c>
      <c r="H22" s="20">
        <v>0</v>
      </c>
      <c r="I22" s="70">
        <f>H22/'- 3 -'!$D22*100</f>
        <v>0</v>
      </c>
    </row>
    <row r="23" spans="1:9" ht="14.1" customHeight="1" x14ac:dyDescent="0.2">
      <c r="A23" s="284" t="s">
        <v>121</v>
      </c>
      <c r="B23" s="285">
        <v>197197</v>
      </c>
      <c r="C23" s="291">
        <f>B23/'- 3 -'!$D23*100</f>
        <v>1.1400418804109091</v>
      </c>
      <c r="D23" s="285">
        <v>0</v>
      </c>
      <c r="E23" s="291">
        <f>D23/'- 3 -'!$D23*100</f>
        <v>0</v>
      </c>
      <c r="F23" s="285">
        <v>123392</v>
      </c>
      <c r="G23" s="291">
        <f>F23/'- 3 -'!$D23*100</f>
        <v>0.71335795021051496</v>
      </c>
      <c r="H23" s="285">
        <v>32977</v>
      </c>
      <c r="I23" s="291">
        <f>H23/'- 3 -'!$D23*100</f>
        <v>0.19064773343565347</v>
      </c>
    </row>
    <row r="24" spans="1:9" ht="14.1" customHeight="1" x14ac:dyDescent="0.2">
      <c r="A24" s="19" t="s">
        <v>122</v>
      </c>
      <c r="B24" s="20">
        <v>283767</v>
      </c>
      <c r="C24" s="70">
        <f>B24/'- 3 -'!$D24*100</f>
        <v>0.49500478080556415</v>
      </c>
      <c r="D24" s="20">
        <v>0</v>
      </c>
      <c r="E24" s="70">
        <f>D24/'- 3 -'!$D24*100</f>
        <v>0</v>
      </c>
      <c r="F24" s="20">
        <v>240876</v>
      </c>
      <c r="G24" s="70">
        <f>F24/'- 3 -'!$D24*100</f>
        <v>0.42018547463701222</v>
      </c>
      <c r="H24" s="20">
        <v>0</v>
      </c>
      <c r="I24" s="70">
        <f>H24/'- 3 -'!$D24*100</f>
        <v>0</v>
      </c>
    </row>
    <row r="25" spans="1:9" ht="14.1" customHeight="1" x14ac:dyDescent="0.2">
      <c r="A25" s="284" t="s">
        <v>123</v>
      </c>
      <c r="B25" s="285">
        <v>354321</v>
      </c>
      <c r="C25" s="291">
        <f>B25/'- 3 -'!$D25*100</f>
        <v>0.19978175855378083</v>
      </c>
      <c r="D25" s="285">
        <v>219101</v>
      </c>
      <c r="E25" s="291">
        <f>D25/'- 3 -'!$D25*100</f>
        <v>0.12353877721301286</v>
      </c>
      <c r="F25" s="285">
        <v>223779</v>
      </c>
      <c r="G25" s="291">
        <f>F25/'- 3 -'!$D25*100</f>
        <v>0.12617643929489508</v>
      </c>
      <c r="H25" s="285">
        <v>946287</v>
      </c>
      <c r="I25" s="291">
        <f>H25/'- 3 -'!$D25*100</f>
        <v>0.53355821686149452</v>
      </c>
    </row>
    <row r="26" spans="1:9" ht="14.1" customHeight="1" x14ac:dyDescent="0.2">
      <c r="A26" s="19" t="s">
        <v>124</v>
      </c>
      <c r="B26" s="20">
        <v>0</v>
      </c>
      <c r="C26" s="70">
        <f>B26/'- 3 -'!$D26*100</f>
        <v>0</v>
      </c>
      <c r="D26" s="20">
        <v>0</v>
      </c>
      <c r="E26" s="70">
        <f>D26/'- 3 -'!$D26*100</f>
        <v>0</v>
      </c>
      <c r="F26" s="20">
        <v>0</v>
      </c>
      <c r="G26" s="70">
        <f>F26/'- 3 -'!$D26*100</f>
        <v>0</v>
      </c>
      <c r="H26" s="20">
        <v>104002</v>
      </c>
      <c r="I26" s="70">
        <f>H26/'- 3 -'!$D26*100</f>
        <v>0.25374391334343555</v>
      </c>
    </row>
    <row r="27" spans="1:9" ht="14.1" customHeight="1" x14ac:dyDescent="0.2">
      <c r="A27" s="284" t="s">
        <v>125</v>
      </c>
      <c r="B27" s="285">
        <v>0</v>
      </c>
      <c r="C27" s="291">
        <f>B27/'- 3 -'!$D27*100</f>
        <v>0</v>
      </c>
      <c r="D27" s="285">
        <v>0</v>
      </c>
      <c r="E27" s="291">
        <f>D27/'- 3 -'!$D27*100</f>
        <v>0</v>
      </c>
      <c r="F27" s="285">
        <v>0</v>
      </c>
      <c r="G27" s="291">
        <f>F27/'- 3 -'!$D27*100</f>
        <v>0</v>
      </c>
      <c r="H27" s="285">
        <v>4590</v>
      </c>
      <c r="I27" s="291">
        <f>H27/'- 3 -'!$D27*100</f>
        <v>1.1074441065841847E-2</v>
      </c>
    </row>
    <row r="28" spans="1:9" ht="14.1" customHeight="1" x14ac:dyDescent="0.2">
      <c r="A28" s="19" t="s">
        <v>126</v>
      </c>
      <c r="B28" s="20">
        <v>0</v>
      </c>
      <c r="C28" s="70">
        <f>B28/'- 3 -'!$D28*100</f>
        <v>0</v>
      </c>
      <c r="D28" s="20">
        <v>0</v>
      </c>
      <c r="E28" s="70">
        <f>D28/'- 3 -'!$D28*100</f>
        <v>0</v>
      </c>
      <c r="F28" s="20">
        <v>0</v>
      </c>
      <c r="G28" s="70">
        <f>F28/'- 3 -'!$D28*100</f>
        <v>0</v>
      </c>
      <c r="H28" s="20">
        <v>95023</v>
      </c>
      <c r="I28" s="70">
        <f>H28/'- 3 -'!$D28*100</f>
        <v>0.33688368885281678</v>
      </c>
    </row>
    <row r="29" spans="1:9" ht="14.1" customHeight="1" x14ac:dyDescent="0.2">
      <c r="A29" s="284" t="s">
        <v>127</v>
      </c>
      <c r="B29" s="285">
        <v>0</v>
      </c>
      <c r="C29" s="291">
        <f>B29/'- 3 -'!$D29*100</f>
        <v>0</v>
      </c>
      <c r="D29" s="285">
        <v>0</v>
      </c>
      <c r="E29" s="291">
        <f>D29/'- 3 -'!$D29*100</f>
        <v>0</v>
      </c>
      <c r="F29" s="285">
        <v>595666</v>
      </c>
      <c r="G29" s="291">
        <f>F29/'- 3 -'!$D29*100</f>
        <v>0.37395122885366211</v>
      </c>
      <c r="H29" s="285">
        <v>324832</v>
      </c>
      <c r="I29" s="291">
        <f>H29/'- 3 -'!$D29*100</f>
        <v>0.2039252291905074</v>
      </c>
    </row>
    <row r="30" spans="1:9" ht="14.1" customHeight="1" x14ac:dyDescent="0.2">
      <c r="A30" s="19" t="s">
        <v>128</v>
      </c>
      <c r="B30" s="20">
        <v>0</v>
      </c>
      <c r="C30" s="70">
        <f>B30/'- 3 -'!$D30*100</f>
        <v>0</v>
      </c>
      <c r="D30" s="20">
        <v>0</v>
      </c>
      <c r="E30" s="70">
        <f>D30/'- 3 -'!$D30*100</f>
        <v>0</v>
      </c>
      <c r="F30" s="20">
        <v>0</v>
      </c>
      <c r="G30" s="70">
        <f>F30/'- 3 -'!$D30*100</f>
        <v>0</v>
      </c>
      <c r="H30" s="20">
        <v>11072</v>
      </c>
      <c r="I30" s="70">
        <f>H30/'- 3 -'!$D30*100</f>
        <v>7.8515467660590796E-2</v>
      </c>
    </row>
    <row r="31" spans="1:9" ht="14.1" customHeight="1" x14ac:dyDescent="0.2">
      <c r="A31" s="284" t="s">
        <v>129</v>
      </c>
      <c r="B31" s="285">
        <v>0</v>
      </c>
      <c r="C31" s="291">
        <f>B31/'- 3 -'!$D31*100</f>
        <v>0</v>
      </c>
      <c r="D31" s="285">
        <v>0</v>
      </c>
      <c r="E31" s="291">
        <f>D31/'- 3 -'!$D31*100</f>
        <v>0</v>
      </c>
      <c r="F31" s="285">
        <v>0</v>
      </c>
      <c r="G31" s="291">
        <f>F31/'- 3 -'!$D31*100</f>
        <v>0</v>
      </c>
      <c r="H31" s="285">
        <v>55546</v>
      </c>
      <c r="I31" s="291">
        <f>H31/'- 3 -'!$D31*100</f>
        <v>0.14804588020346782</v>
      </c>
    </row>
    <row r="32" spans="1:9" ht="14.1" customHeight="1" x14ac:dyDescent="0.2">
      <c r="A32" s="19" t="s">
        <v>130</v>
      </c>
      <c r="B32" s="20">
        <v>0</v>
      </c>
      <c r="C32" s="70">
        <f>B32/'- 3 -'!$D32*100</f>
        <v>0</v>
      </c>
      <c r="D32" s="20">
        <v>0</v>
      </c>
      <c r="E32" s="70">
        <f>D32/'- 3 -'!$D32*100</f>
        <v>0</v>
      </c>
      <c r="F32" s="20">
        <v>0</v>
      </c>
      <c r="G32" s="70">
        <f>F32/'- 3 -'!$D32*100</f>
        <v>0</v>
      </c>
      <c r="H32" s="20">
        <v>34438</v>
      </c>
      <c r="I32" s="70">
        <f>H32/'- 3 -'!$D32*100</f>
        <v>0.11754739433594136</v>
      </c>
    </row>
    <row r="33" spans="1:10" ht="14.1" customHeight="1" x14ac:dyDescent="0.2">
      <c r="A33" s="284" t="s">
        <v>131</v>
      </c>
      <c r="B33" s="285">
        <v>0</v>
      </c>
      <c r="C33" s="291">
        <f>B33/'- 3 -'!$D33*100</f>
        <v>0</v>
      </c>
      <c r="D33" s="285">
        <v>0</v>
      </c>
      <c r="E33" s="291">
        <f>D33/'- 3 -'!$D33*100</f>
        <v>0</v>
      </c>
      <c r="F33" s="285">
        <v>0</v>
      </c>
      <c r="G33" s="291">
        <f>F33/'- 3 -'!$D33*100</f>
        <v>0</v>
      </c>
      <c r="H33" s="285">
        <v>38592</v>
      </c>
      <c r="I33" s="291">
        <f>H33/'- 3 -'!$D33*100</f>
        <v>0.13875168140957211</v>
      </c>
    </row>
    <row r="34" spans="1:10" ht="14.1" customHeight="1" x14ac:dyDescent="0.2">
      <c r="A34" s="19" t="s">
        <v>132</v>
      </c>
      <c r="B34" s="20">
        <v>0</v>
      </c>
      <c r="C34" s="70">
        <f>B34/'- 3 -'!$D34*100</f>
        <v>0</v>
      </c>
      <c r="D34" s="20">
        <v>0</v>
      </c>
      <c r="E34" s="70">
        <f>D34/'- 3 -'!$D34*100</f>
        <v>0</v>
      </c>
      <c r="F34" s="20">
        <v>0</v>
      </c>
      <c r="G34" s="70">
        <f>F34/'- 3 -'!$D34*100</f>
        <v>0</v>
      </c>
      <c r="H34" s="20">
        <v>57996</v>
      </c>
      <c r="I34" s="70">
        <f>H34/'- 3 -'!$D34*100</f>
        <v>0.19943429655050465</v>
      </c>
    </row>
    <row r="35" spans="1:10" ht="14.1" customHeight="1" x14ac:dyDescent="0.2">
      <c r="A35" s="284" t="s">
        <v>133</v>
      </c>
      <c r="B35" s="285">
        <v>310995</v>
      </c>
      <c r="C35" s="291">
        <f>B35/'- 3 -'!$D35*100</f>
        <v>0.16878787866452991</v>
      </c>
      <c r="D35" s="285">
        <v>172904</v>
      </c>
      <c r="E35" s="291">
        <f>D35/'- 3 -'!$D35*100</f>
        <v>9.3841056520561045E-2</v>
      </c>
      <c r="F35" s="285">
        <v>715798</v>
      </c>
      <c r="G35" s="291">
        <f>F35/'- 3 -'!$D35*100</f>
        <v>0.38848864442294306</v>
      </c>
      <c r="H35" s="285">
        <v>319290</v>
      </c>
      <c r="I35" s="291">
        <f>H35/'- 3 -'!$D35*100</f>
        <v>0.1732898656852932</v>
      </c>
    </row>
    <row r="36" spans="1:10" ht="14.1" customHeight="1" x14ac:dyDescent="0.2">
      <c r="A36" s="19" t="s">
        <v>134</v>
      </c>
      <c r="B36" s="20">
        <v>0</v>
      </c>
      <c r="C36" s="70">
        <f>B36/'- 3 -'!$D36*100</f>
        <v>0</v>
      </c>
      <c r="D36" s="20">
        <v>0</v>
      </c>
      <c r="E36" s="70">
        <f>D36/'- 3 -'!$D36*100</f>
        <v>0</v>
      </c>
      <c r="F36" s="20">
        <v>0</v>
      </c>
      <c r="G36" s="70">
        <f>F36/'- 3 -'!$D36*100</f>
        <v>0</v>
      </c>
      <c r="H36" s="20">
        <v>57082</v>
      </c>
      <c r="I36" s="70">
        <f>H36/'- 3 -'!$D36*100</f>
        <v>0.24350116123972732</v>
      </c>
    </row>
    <row r="37" spans="1:10" ht="14.1" customHeight="1" x14ac:dyDescent="0.2">
      <c r="A37" s="284" t="s">
        <v>135</v>
      </c>
      <c r="B37" s="285">
        <v>0</v>
      </c>
      <c r="C37" s="291">
        <f>B37/'- 3 -'!$D37*100</f>
        <v>0</v>
      </c>
      <c r="D37" s="285">
        <v>0</v>
      </c>
      <c r="E37" s="291">
        <f>D37/'- 3 -'!$D37*100</f>
        <v>0</v>
      </c>
      <c r="F37" s="285">
        <v>0</v>
      </c>
      <c r="G37" s="291">
        <f>F37/'- 3 -'!$D37*100</f>
        <v>0</v>
      </c>
      <c r="H37" s="285">
        <v>443060</v>
      </c>
      <c r="I37" s="291">
        <f>H37/'- 3 -'!$D37*100</f>
        <v>0.88279803100931187</v>
      </c>
    </row>
    <row r="38" spans="1:10" ht="14.1" customHeight="1" x14ac:dyDescent="0.2">
      <c r="A38" s="19" t="s">
        <v>136</v>
      </c>
      <c r="B38" s="20">
        <v>47300</v>
      </c>
      <c r="C38" s="70">
        <f>B38/'- 3 -'!$D38*100</f>
        <v>3.4860105732395785E-2</v>
      </c>
      <c r="D38" s="20">
        <v>570341</v>
      </c>
      <c r="E38" s="70">
        <f>D38/'- 3 -'!$D38*100</f>
        <v>0.42034138612093752</v>
      </c>
      <c r="F38" s="20">
        <v>1052810</v>
      </c>
      <c r="G38" s="70">
        <f>F38/'- 3 -'!$D38*100</f>
        <v>0.7759210975924653</v>
      </c>
      <c r="H38" s="20">
        <v>426441</v>
      </c>
      <c r="I38" s="70">
        <f>H38/'- 3 -'!$D38*100</f>
        <v>0.31428706868136558</v>
      </c>
    </row>
    <row r="39" spans="1:10" ht="14.1" customHeight="1" x14ac:dyDescent="0.2">
      <c r="A39" s="284" t="s">
        <v>137</v>
      </c>
      <c r="B39" s="285">
        <v>0</v>
      </c>
      <c r="C39" s="291">
        <f>B39/'- 3 -'!$D39*100</f>
        <v>0</v>
      </c>
      <c r="D39" s="285">
        <v>0</v>
      </c>
      <c r="E39" s="291">
        <f>D39/'- 3 -'!$D39*100</f>
        <v>0</v>
      </c>
      <c r="F39" s="285">
        <v>0</v>
      </c>
      <c r="G39" s="291">
        <f>F39/'- 3 -'!$D39*100</f>
        <v>0</v>
      </c>
      <c r="H39" s="285">
        <v>158306</v>
      </c>
      <c r="I39" s="291">
        <f>H39/'- 3 -'!$D39*100</f>
        <v>0.73781737470292097</v>
      </c>
    </row>
    <row r="40" spans="1:10" ht="14.1" customHeight="1" x14ac:dyDescent="0.2">
      <c r="A40" s="19" t="s">
        <v>138</v>
      </c>
      <c r="B40" s="20">
        <v>472836</v>
      </c>
      <c r="C40" s="70">
        <f>B40/'- 3 -'!$D40*100</f>
        <v>0.45315148468408528</v>
      </c>
      <c r="D40" s="20">
        <v>0</v>
      </c>
      <c r="E40" s="70">
        <f>D40/'- 3 -'!$D40*100</f>
        <v>0</v>
      </c>
      <c r="F40" s="20">
        <v>412851</v>
      </c>
      <c r="G40" s="70">
        <f>F40/'- 3 -'!$D40*100</f>
        <v>0.39566370497024189</v>
      </c>
      <c r="H40" s="20">
        <v>108679</v>
      </c>
      <c r="I40" s="70">
        <f>H40/'- 3 -'!$D40*100</f>
        <v>0.10415461217839105</v>
      </c>
    </row>
    <row r="41" spans="1:10" ht="14.1" customHeight="1" x14ac:dyDescent="0.2">
      <c r="A41" s="284" t="s">
        <v>139</v>
      </c>
      <c r="B41" s="285">
        <v>0</v>
      </c>
      <c r="C41" s="291">
        <f>B41/'- 3 -'!$D41*100</f>
        <v>0</v>
      </c>
      <c r="D41" s="285">
        <v>0</v>
      </c>
      <c r="E41" s="291">
        <f>D41/'- 3 -'!$D41*100</f>
        <v>0</v>
      </c>
      <c r="F41" s="285">
        <v>5044</v>
      </c>
      <c r="G41" s="291">
        <f>F41/'- 3 -'!$D41*100</f>
        <v>8.0523130875981511E-3</v>
      </c>
      <c r="H41" s="285">
        <v>299203</v>
      </c>
      <c r="I41" s="291">
        <f>H41/'- 3 -'!$D41*100</f>
        <v>0.47765190974397886</v>
      </c>
    </row>
    <row r="42" spans="1:10" ht="14.1" customHeight="1" x14ac:dyDescent="0.2">
      <c r="A42" s="19" t="s">
        <v>140</v>
      </c>
      <c r="B42" s="20">
        <v>0</v>
      </c>
      <c r="C42" s="70">
        <f>B42/'- 3 -'!$D42*100</f>
        <v>0</v>
      </c>
      <c r="D42" s="20">
        <v>0</v>
      </c>
      <c r="E42" s="70">
        <f>D42/'- 3 -'!$D42*100</f>
        <v>0</v>
      </c>
      <c r="F42" s="20">
        <v>0</v>
      </c>
      <c r="G42" s="70">
        <f>F42/'- 3 -'!$D42*100</f>
        <v>0</v>
      </c>
      <c r="H42" s="20">
        <v>190895</v>
      </c>
      <c r="I42" s="70">
        <f>H42/'- 3 -'!$D42*100</f>
        <v>0.94217109347322381</v>
      </c>
    </row>
    <row r="43" spans="1:10" ht="14.1" customHeight="1" x14ac:dyDescent="0.2">
      <c r="A43" s="284" t="s">
        <v>141</v>
      </c>
      <c r="B43" s="285">
        <v>0</v>
      </c>
      <c r="C43" s="291">
        <f>B43/'- 3 -'!$D43*100</f>
        <v>0</v>
      </c>
      <c r="D43" s="285">
        <v>0</v>
      </c>
      <c r="E43" s="291">
        <f>D43/'- 3 -'!$D43*100</f>
        <v>0</v>
      </c>
      <c r="F43" s="285">
        <v>0</v>
      </c>
      <c r="G43" s="291">
        <f>F43/'- 3 -'!$D43*100</f>
        <v>0</v>
      </c>
      <c r="H43" s="285">
        <v>12070</v>
      </c>
      <c r="I43" s="291">
        <f>H43/'- 3 -'!$D43*100</f>
        <v>9.1110471333263984E-2</v>
      </c>
    </row>
    <row r="44" spans="1:10" ht="14.1" customHeight="1" x14ac:dyDescent="0.2">
      <c r="A44" s="19" t="s">
        <v>142</v>
      </c>
      <c r="B44" s="20">
        <v>0</v>
      </c>
      <c r="C44" s="70">
        <f>B44/'- 3 -'!$D44*100</f>
        <v>0</v>
      </c>
      <c r="D44" s="20">
        <v>0</v>
      </c>
      <c r="E44" s="70">
        <f>D44/'- 3 -'!$D44*100</f>
        <v>0</v>
      </c>
      <c r="F44" s="20">
        <v>0</v>
      </c>
      <c r="G44" s="70">
        <f>F44/'- 3 -'!$D44*100</f>
        <v>0</v>
      </c>
      <c r="H44" s="20">
        <v>33713</v>
      </c>
      <c r="I44" s="70">
        <f>H44/'- 3 -'!$D44*100</f>
        <v>0.31191385467255062</v>
      </c>
    </row>
    <row r="45" spans="1:10" ht="14.1" customHeight="1" x14ac:dyDescent="0.2">
      <c r="A45" s="284" t="s">
        <v>143</v>
      </c>
      <c r="B45" s="285">
        <v>0</v>
      </c>
      <c r="C45" s="291">
        <f>B45/'- 3 -'!$D45*100</f>
        <v>0</v>
      </c>
      <c r="D45" s="285">
        <v>0</v>
      </c>
      <c r="E45" s="291">
        <f>D45/'- 3 -'!$D45*100</f>
        <v>0</v>
      </c>
      <c r="F45" s="285">
        <v>1025</v>
      </c>
      <c r="G45" s="291">
        <f>F45/'- 3 -'!$D45*100</f>
        <v>5.3215227716525756E-3</v>
      </c>
      <c r="H45" s="285">
        <v>50515</v>
      </c>
      <c r="I45" s="291">
        <f>H45/'- 3 -'!$D45*100</f>
        <v>0.26226021737563887</v>
      </c>
    </row>
    <row r="46" spans="1:10" ht="14.1" customHeight="1" x14ac:dyDescent="0.2">
      <c r="A46" s="19" t="s">
        <v>144</v>
      </c>
      <c r="B46" s="20">
        <v>0</v>
      </c>
      <c r="C46" s="70">
        <f>B46/'- 3 -'!$D46*100</f>
        <v>0</v>
      </c>
      <c r="D46" s="20">
        <v>4485564</v>
      </c>
      <c r="E46" s="70">
        <f>D46/'- 3 -'!$D46*100</f>
        <v>1.1464220887968897</v>
      </c>
      <c r="F46" s="20">
        <v>154756</v>
      </c>
      <c r="G46" s="70">
        <f>F46/'- 3 -'!$D46*100</f>
        <v>3.9552595119332033E-2</v>
      </c>
      <c r="H46" s="20">
        <v>5497606</v>
      </c>
      <c r="I46" s="70">
        <f>H46/'- 3 -'!$D46*100</f>
        <v>1.4050801535553419</v>
      </c>
    </row>
    <row r="47" spans="1:10" ht="5.0999999999999996" customHeight="1" x14ac:dyDescent="0.2">
      <c r="A47"/>
      <c r="B47"/>
      <c r="C47"/>
      <c r="D47"/>
      <c r="E47"/>
      <c r="F47"/>
      <c r="G47"/>
      <c r="H47"/>
      <c r="I47"/>
      <c r="J47"/>
    </row>
    <row r="48" spans="1:10" ht="14.1" customHeight="1" x14ac:dyDescent="0.2">
      <c r="A48" s="286" t="s">
        <v>145</v>
      </c>
      <c r="B48" s="287">
        <f>SUM(B11:B46)</f>
        <v>1804092</v>
      </c>
      <c r="C48" s="294">
        <f>B48/'- 3 -'!$D48*100</f>
        <v>7.8677821068310949E-2</v>
      </c>
      <c r="D48" s="287">
        <f>SUM(D11:D46)</f>
        <v>5447910</v>
      </c>
      <c r="E48" s="294">
        <f>D48/'- 3 -'!$D48*100</f>
        <v>0.23758748898407728</v>
      </c>
      <c r="F48" s="287">
        <f>SUM(F11:F46)</f>
        <v>4919198</v>
      </c>
      <c r="G48" s="294">
        <f>F48/'- 3 -'!$D48*100</f>
        <v>0.21452995747644416</v>
      </c>
      <c r="H48" s="287">
        <f>SUM(H11:H46)</f>
        <v>12955663</v>
      </c>
      <c r="I48" s="294">
        <f>H48/'- 3 -'!$D48*100</f>
        <v>0.5650062942107924</v>
      </c>
    </row>
    <row r="49" spans="1:9" ht="5.0999999999999996" customHeight="1" x14ac:dyDescent="0.2">
      <c r="A49" s="21" t="s">
        <v>7</v>
      </c>
      <c r="B49"/>
      <c r="C49"/>
      <c r="D49"/>
      <c r="E49"/>
      <c r="F49"/>
      <c r="G49"/>
      <c r="H49"/>
      <c r="I49"/>
    </row>
    <row r="50" spans="1:9" ht="14.1" customHeight="1" x14ac:dyDescent="0.2">
      <c r="A50" s="19" t="s">
        <v>146</v>
      </c>
      <c r="B50" s="20">
        <v>23263</v>
      </c>
      <c r="C50" s="70">
        <f>B50/'- 3 -'!$D50*100</f>
        <v>0.72547653545114388</v>
      </c>
      <c r="D50" s="20">
        <v>0</v>
      </c>
      <c r="E50" s="70">
        <f>D50/'- 3 -'!$D50*100</f>
        <v>0</v>
      </c>
      <c r="F50" s="20">
        <v>34069</v>
      </c>
      <c r="G50" s="70">
        <f>F50/'- 3 -'!$D50*100</f>
        <v>1.0624708802082716</v>
      </c>
      <c r="H50" s="20">
        <v>34809</v>
      </c>
      <c r="I50" s="70">
        <f>H50/'- 3 -'!$D50*100</f>
        <v>1.0855484126088153</v>
      </c>
    </row>
    <row r="51" spans="1:9" ht="14.1" customHeight="1" x14ac:dyDescent="0.2">
      <c r="A51" s="284" t="s">
        <v>609</v>
      </c>
      <c r="B51" s="285">
        <v>0</v>
      </c>
      <c r="C51" s="291">
        <f>B51/'- 3 -'!$D51*100</f>
        <v>0</v>
      </c>
      <c r="D51" s="285">
        <v>3971137</v>
      </c>
      <c r="E51" s="291">
        <f>D51/'- 3 -'!$D51*100</f>
        <v>13.685529242789007</v>
      </c>
      <c r="F51" s="285">
        <v>6572963</v>
      </c>
      <c r="G51" s="291">
        <f>F51/'- 3 -'!$D51*100</f>
        <v>22.652071018519422</v>
      </c>
      <c r="H51" s="285">
        <v>0</v>
      </c>
      <c r="I51" s="291">
        <f>H51/'- 3 -'!$D51*100</f>
        <v>0</v>
      </c>
    </row>
    <row r="52" spans="1:9" ht="50.1" customHeight="1" x14ac:dyDescent="0.2"/>
  </sheetData>
  <mergeCells count="4">
    <mergeCell ref="B7:C8"/>
    <mergeCell ref="D6:E8"/>
    <mergeCell ref="F7:G8"/>
    <mergeCell ref="H7:I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J52"/>
  <sheetViews>
    <sheetView showGridLines="0" showZeros="0" workbookViewId="0"/>
  </sheetViews>
  <sheetFormatPr defaultColWidth="15.83203125" defaultRowHeight="12" x14ac:dyDescent="0.2"/>
  <cols>
    <col min="1" max="1" width="32.83203125" style="2" customWidth="1"/>
    <col min="2" max="2" width="14.83203125" style="2" customWidth="1"/>
    <col min="3" max="3" width="7.83203125" style="2" customWidth="1"/>
    <col min="4" max="4" width="9.83203125" style="2" customWidth="1"/>
    <col min="5" max="5" width="16.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263</v>
      </c>
      <c r="C2" s="10"/>
      <c r="D2" s="10"/>
      <c r="E2" s="10"/>
      <c r="F2" s="10"/>
      <c r="G2" s="73"/>
      <c r="H2" s="73"/>
      <c r="I2" s="153"/>
      <c r="J2" s="395" t="s">
        <v>406</v>
      </c>
    </row>
    <row r="3" spans="1:10" ht="15.95" customHeight="1" x14ac:dyDescent="0.2">
      <c r="A3" s="541"/>
      <c r="B3" s="11" t="str">
        <f>OPYEAR</f>
        <v>OPERATING FUND 2016/2017 ACTUAL</v>
      </c>
      <c r="C3" s="12"/>
      <c r="D3" s="12"/>
      <c r="E3" s="12"/>
      <c r="F3" s="12"/>
      <c r="G3" s="75"/>
      <c r="H3" s="75"/>
      <c r="I3" s="75"/>
      <c r="J3" s="66"/>
    </row>
    <row r="4" spans="1:10" ht="15.95" customHeight="1" x14ac:dyDescent="0.2">
      <c r="B4" s="8"/>
      <c r="C4" s="8"/>
      <c r="D4" s="8"/>
      <c r="E4" s="8"/>
      <c r="F4" s="8"/>
      <c r="G4" s="8"/>
      <c r="H4" s="8"/>
      <c r="I4" s="8"/>
      <c r="J4" s="8"/>
    </row>
    <row r="5" spans="1:10" ht="15.95" customHeight="1" x14ac:dyDescent="0.2">
      <c r="B5" s="164" t="s">
        <v>94</v>
      </c>
      <c r="C5" s="165"/>
      <c r="D5" s="166"/>
      <c r="E5" s="166"/>
      <c r="F5" s="166"/>
      <c r="G5" s="166"/>
      <c r="H5" s="166"/>
      <c r="I5" s="166"/>
      <c r="J5" s="167"/>
    </row>
    <row r="6" spans="1:10" ht="15.95" customHeight="1" x14ac:dyDescent="0.2">
      <c r="B6" s="309"/>
      <c r="C6" s="312"/>
      <c r="D6" s="310"/>
      <c r="E6" s="643" t="s">
        <v>492</v>
      </c>
      <c r="F6" s="651"/>
      <c r="G6" s="644"/>
      <c r="H6" s="643" t="s">
        <v>493</v>
      </c>
      <c r="I6" s="651"/>
      <c r="J6" s="644"/>
    </row>
    <row r="7" spans="1:10" ht="15.95" customHeight="1" x14ac:dyDescent="0.2">
      <c r="B7" s="648" t="s">
        <v>23</v>
      </c>
      <c r="C7" s="650"/>
      <c r="D7" s="649"/>
      <c r="E7" s="645"/>
      <c r="F7" s="652"/>
      <c r="G7" s="646"/>
      <c r="H7" s="645"/>
      <c r="I7" s="652"/>
      <c r="J7" s="646"/>
    </row>
    <row r="8" spans="1:10" ht="15.95" customHeight="1" x14ac:dyDescent="0.2">
      <c r="A8" s="67"/>
      <c r="B8" s="137"/>
      <c r="C8" s="138"/>
      <c r="D8" s="596" t="s">
        <v>477</v>
      </c>
      <c r="E8" s="137"/>
      <c r="F8" s="139"/>
      <c r="G8" s="596" t="s">
        <v>477</v>
      </c>
      <c r="H8" s="137"/>
      <c r="I8" s="139"/>
      <c r="J8" s="596" t="s">
        <v>477</v>
      </c>
    </row>
    <row r="9" spans="1:10" ht="15.95" customHeight="1" x14ac:dyDescent="0.2">
      <c r="A9" s="35" t="s">
        <v>42</v>
      </c>
      <c r="B9" s="77" t="s">
        <v>43</v>
      </c>
      <c r="C9" s="77" t="s">
        <v>44</v>
      </c>
      <c r="D9" s="598"/>
      <c r="E9" s="77" t="s">
        <v>43</v>
      </c>
      <c r="F9" s="77" t="s">
        <v>44</v>
      </c>
      <c r="G9" s="598"/>
      <c r="H9" s="77" t="s">
        <v>43</v>
      </c>
      <c r="I9" s="77" t="s">
        <v>44</v>
      </c>
      <c r="J9" s="598"/>
    </row>
    <row r="10" spans="1:10" ht="5.0999999999999996" customHeight="1" x14ac:dyDescent="0.2">
      <c r="A10" s="6"/>
    </row>
    <row r="11" spans="1:10" ht="14.1" customHeight="1" x14ac:dyDescent="0.2">
      <c r="A11" s="284" t="s">
        <v>110</v>
      </c>
      <c r="B11" s="285">
        <v>113989</v>
      </c>
      <c r="C11" s="291">
        <f>B11/'- 3 -'!$D11*100</f>
        <v>0.59624479131223074</v>
      </c>
      <c r="D11" s="285">
        <f>B11/'- 7 -'!$E11</f>
        <v>64.546432616081546</v>
      </c>
      <c r="E11" s="285">
        <v>148750</v>
      </c>
      <c r="F11" s="291">
        <f>E11/'- 3 -'!$D11*100</f>
        <v>0.77806992523571861</v>
      </c>
      <c r="G11" s="285">
        <f>E11/'- 7 -'!$E11</f>
        <v>84.229898074745194</v>
      </c>
      <c r="H11" s="285">
        <v>339621</v>
      </c>
      <c r="I11" s="291">
        <f>H11/'- 3 -'!$D11*100</f>
        <v>1.7764630996872601</v>
      </c>
      <c r="J11" s="285">
        <f>H11/'- 7 -'!$E11</f>
        <v>192.31087202718007</v>
      </c>
    </row>
    <row r="12" spans="1:10" ht="14.1" customHeight="1" x14ac:dyDescent="0.2">
      <c r="A12" s="19" t="s">
        <v>111</v>
      </c>
      <c r="B12" s="20">
        <v>160509</v>
      </c>
      <c r="C12" s="70">
        <f>B12/'- 3 -'!$D12*100</f>
        <v>0.48029642771957543</v>
      </c>
      <c r="D12" s="20">
        <f>B12/'- 7 -'!$E12</f>
        <v>75.727866764171637</v>
      </c>
      <c r="E12" s="20">
        <v>316349</v>
      </c>
      <c r="F12" s="70">
        <f>E12/'- 3 -'!$D12*100</f>
        <v>0.94662165120124075</v>
      </c>
      <c r="G12" s="20">
        <f>E12/'- 7 -'!$E12</f>
        <v>149.25290745677148</v>
      </c>
      <c r="H12" s="20">
        <v>653779</v>
      </c>
      <c r="I12" s="70">
        <f>H12/'- 3 -'!$D12*100</f>
        <v>1.9563246809716359</v>
      </c>
      <c r="J12" s="20">
        <f>H12/'- 7 -'!$E12</f>
        <v>308.45179401288004</v>
      </c>
    </row>
    <row r="13" spans="1:10" ht="14.1" customHeight="1" x14ac:dyDescent="0.2">
      <c r="A13" s="284" t="s">
        <v>112</v>
      </c>
      <c r="B13" s="285">
        <v>316517</v>
      </c>
      <c r="C13" s="291">
        <f>B13/'- 3 -'!$D13*100</f>
        <v>0.3300077016428517</v>
      </c>
      <c r="D13" s="285">
        <f>B13/'- 7 -'!$E13</f>
        <v>37.799844748313127</v>
      </c>
      <c r="E13" s="285">
        <v>709505</v>
      </c>
      <c r="F13" s="291">
        <f>E13/'- 3 -'!$D13*100</f>
        <v>0.73974577780691553</v>
      </c>
      <c r="G13" s="285">
        <f>E13/'- 7 -'!$E13</f>
        <v>84.73219084015048</v>
      </c>
      <c r="H13" s="285">
        <v>1816476</v>
      </c>
      <c r="I13" s="291">
        <f>H13/'- 3 -'!$D13*100</f>
        <v>1.8938984947077113</v>
      </c>
      <c r="J13" s="285">
        <f>H13/'- 7 -'!$E13</f>
        <v>216.93151012121575</v>
      </c>
    </row>
    <row r="14" spans="1:10" ht="14.1" customHeight="1" x14ac:dyDescent="0.2">
      <c r="A14" s="19" t="s">
        <v>359</v>
      </c>
      <c r="B14" s="20">
        <v>707500</v>
      </c>
      <c r="C14" s="70">
        <f>B14/'- 3 -'!$D14*100</f>
        <v>0.85304822223122767</v>
      </c>
      <c r="D14" s="20">
        <f>B14/'- 7 -'!$E14</f>
        <v>129.03190507628841</v>
      </c>
      <c r="E14" s="20">
        <v>1250608</v>
      </c>
      <c r="F14" s="70">
        <f>E14/'- 3 -'!$D14*100</f>
        <v>1.5078854149938532</v>
      </c>
      <c r="G14" s="20">
        <f>E14/'- 7 -'!$E14</f>
        <v>228.08244910762809</v>
      </c>
      <c r="H14" s="20">
        <v>975526</v>
      </c>
      <c r="I14" s="70">
        <f>H14/'- 3 -'!$D14*100</f>
        <v>1.1762130318591386</v>
      </c>
      <c r="J14" s="20">
        <f>H14/'- 7 -'!$E14</f>
        <v>177.91375015046123</v>
      </c>
    </row>
    <row r="15" spans="1:10" ht="14.1" customHeight="1" x14ac:dyDescent="0.2">
      <c r="A15" s="284" t="s">
        <v>113</v>
      </c>
      <c r="B15" s="285">
        <v>178506</v>
      </c>
      <c r="C15" s="291">
        <f>B15/'- 3 -'!$D15*100</f>
        <v>0.91464909629301849</v>
      </c>
      <c r="D15" s="285">
        <f>B15/'- 7 -'!$E15</f>
        <v>127.57718696397941</v>
      </c>
      <c r="E15" s="285">
        <v>203745</v>
      </c>
      <c r="F15" s="291">
        <f>E15/'- 3 -'!$D15*100</f>
        <v>1.0439715198605148</v>
      </c>
      <c r="G15" s="285">
        <f>E15/'- 7 -'!$E15</f>
        <v>145.61535162950256</v>
      </c>
      <c r="H15" s="285">
        <v>373395</v>
      </c>
      <c r="I15" s="291">
        <f>H15/'- 3 -'!$D15*100</f>
        <v>1.9132432484640942</v>
      </c>
      <c r="J15" s="285">
        <f>H15/'- 7 -'!$E15</f>
        <v>266.86320754716979</v>
      </c>
    </row>
    <row r="16" spans="1:10" ht="14.1" customHeight="1" x14ac:dyDescent="0.2">
      <c r="A16" s="19" t="s">
        <v>114</v>
      </c>
      <c r="B16" s="20">
        <v>105402</v>
      </c>
      <c r="C16" s="70">
        <f>B16/'- 3 -'!$D16*100</f>
        <v>0.72708103336810936</v>
      </c>
      <c r="D16" s="20">
        <f>B16/'- 7 -'!$E16</f>
        <v>116.62093383491924</v>
      </c>
      <c r="E16" s="20">
        <v>227818</v>
      </c>
      <c r="F16" s="70">
        <f>E16/'- 3 -'!$D16*100</f>
        <v>1.5715275503297463</v>
      </c>
      <c r="G16" s="20">
        <f>E16/'- 7 -'!$E16</f>
        <v>252.06682894445674</v>
      </c>
      <c r="H16" s="20">
        <v>361114</v>
      </c>
      <c r="I16" s="70">
        <f>H16/'- 3 -'!$D16*100</f>
        <v>2.4910261691779225</v>
      </c>
      <c r="J16" s="20">
        <f>H16/'- 7 -'!$E16</f>
        <v>399.55078557202921</v>
      </c>
    </row>
    <row r="17" spans="1:10" ht="14.1" customHeight="1" x14ac:dyDescent="0.2">
      <c r="A17" s="284" t="s">
        <v>115</v>
      </c>
      <c r="B17" s="285">
        <v>197562</v>
      </c>
      <c r="C17" s="291">
        <f>B17/'- 3 -'!$D17*100</f>
        <v>1.1008720962953542</v>
      </c>
      <c r="D17" s="285">
        <f>B17/'- 7 -'!$E17</f>
        <v>141.36815742397138</v>
      </c>
      <c r="E17" s="285">
        <v>168774</v>
      </c>
      <c r="F17" s="291">
        <f>E17/'- 3 -'!$D17*100</f>
        <v>0.9404571080478642</v>
      </c>
      <c r="G17" s="285">
        <f>E17/'- 7 -'!$E17</f>
        <v>120.76851520572451</v>
      </c>
      <c r="H17" s="285">
        <v>313499</v>
      </c>
      <c r="I17" s="291">
        <f>H17/'- 3 -'!$D17*100</f>
        <v>1.746906294310127</v>
      </c>
      <c r="J17" s="285">
        <f>H17/'- 7 -'!$E17</f>
        <v>224.3284436493739</v>
      </c>
    </row>
    <row r="18" spans="1:10" ht="14.1" customHeight="1" x14ac:dyDescent="0.2">
      <c r="A18" s="19" t="s">
        <v>116</v>
      </c>
      <c r="B18" s="20">
        <v>1111291</v>
      </c>
      <c r="C18" s="70">
        <f>B18/'- 3 -'!$D18*100</f>
        <v>0.86378289198875258</v>
      </c>
      <c r="D18" s="20">
        <f>B18/'- 7 -'!$E18</f>
        <v>182.33129337642947</v>
      </c>
      <c r="E18" s="20">
        <v>2133013</v>
      </c>
      <c r="F18" s="70">
        <f>E18/'- 3 -'!$D18*100</f>
        <v>1.6579457026013933</v>
      </c>
      <c r="G18" s="20">
        <f>E18/'- 7 -'!$E18</f>
        <v>349.96685753662899</v>
      </c>
      <c r="H18" s="20">
        <v>2678151</v>
      </c>
      <c r="I18" s="70">
        <f>H18/'- 3 -'!$D18*100</f>
        <v>2.0816698920107966</v>
      </c>
      <c r="J18" s="20">
        <f>H18/'- 7 -'!$E18</f>
        <v>439.40852187894802</v>
      </c>
    </row>
    <row r="19" spans="1:10" ht="14.1" customHeight="1" x14ac:dyDescent="0.2">
      <c r="A19" s="284" t="s">
        <v>117</v>
      </c>
      <c r="B19" s="285">
        <v>193699</v>
      </c>
      <c r="C19" s="291">
        <f>B19/'- 3 -'!$D19*100</f>
        <v>0.4197008054256694</v>
      </c>
      <c r="D19" s="285">
        <f>B19/'- 7 -'!$E19</f>
        <v>44.213421593243552</v>
      </c>
      <c r="E19" s="285">
        <v>357600</v>
      </c>
      <c r="F19" s="291">
        <f>E19/'- 3 -'!$D19*100</f>
        <v>0.77483625635764453</v>
      </c>
      <c r="G19" s="285">
        <f>E19/'- 7 -'!$E19</f>
        <v>81.625199726089932</v>
      </c>
      <c r="H19" s="285">
        <v>655395</v>
      </c>
      <c r="I19" s="291">
        <f>H19/'- 3 -'!$D19*100</f>
        <v>1.4200889492044697</v>
      </c>
      <c r="J19" s="285">
        <f>H19/'- 7 -'!$E19</f>
        <v>149.59940652818992</v>
      </c>
    </row>
    <row r="20" spans="1:10" ht="14.1" customHeight="1" x14ac:dyDescent="0.2">
      <c r="A20" s="19" t="s">
        <v>118</v>
      </c>
      <c r="B20" s="20">
        <v>275184</v>
      </c>
      <c r="C20" s="70">
        <f>B20/'- 3 -'!$D20*100</f>
        <v>0.33457234833413829</v>
      </c>
      <c r="D20" s="20">
        <f>B20/'- 7 -'!$E20</f>
        <v>36.040075960971777</v>
      </c>
      <c r="E20" s="20">
        <v>587681</v>
      </c>
      <c r="F20" s="70">
        <f>E20/'- 3 -'!$D20*100</f>
        <v>0.7145103357802588</v>
      </c>
      <c r="G20" s="20">
        <f>E20/'- 7 -'!$E20</f>
        <v>76.966930783838649</v>
      </c>
      <c r="H20" s="20">
        <v>1262710</v>
      </c>
      <c r="I20" s="70">
        <f>H20/'- 3 -'!$D20*100</f>
        <v>1.5352195257173373</v>
      </c>
      <c r="J20" s="20">
        <f>H20/'- 7 -'!$E20</f>
        <v>165.37358391722873</v>
      </c>
    </row>
    <row r="21" spans="1:10" ht="14.1" customHeight="1" x14ac:dyDescent="0.2">
      <c r="A21" s="284" t="s">
        <v>119</v>
      </c>
      <c r="B21" s="285">
        <v>218135</v>
      </c>
      <c r="C21" s="291">
        <f>B21/'- 3 -'!$D21*100</f>
        <v>0.60647167991195705</v>
      </c>
      <c r="D21" s="285">
        <f>B21/'- 7 -'!$E21</f>
        <v>79.550344626381246</v>
      </c>
      <c r="E21" s="285">
        <v>381763</v>
      </c>
      <c r="F21" s="291">
        <f>E21/'- 3 -'!$D21*100</f>
        <v>1.0613998117598205</v>
      </c>
      <c r="G21" s="285">
        <f>E21/'- 7 -'!$E21</f>
        <v>139.2228583932023</v>
      </c>
      <c r="H21" s="285">
        <v>704269</v>
      </c>
      <c r="I21" s="291">
        <f>H21/'- 3 -'!$D21*100</f>
        <v>1.9580498477544368</v>
      </c>
      <c r="J21" s="285">
        <f>H21/'- 7 -'!$E21</f>
        <v>256.83563692060829</v>
      </c>
    </row>
    <row r="22" spans="1:10" ht="14.1" customHeight="1" x14ac:dyDescent="0.2">
      <c r="A22" s="19" t="s">
        <v>120</v>
      </c>
      <c r="B22" s="20">
        <v>101624</v>
      </c>
      <c r="C22" s="70">
        <f>B22/'- 3 -'!$D22*100</f>
        <v>0.50631531500695492</v>
      </c>
      <c r="D22" s="20">
        <f>B22/'- 7 -'!$E22</f>
        <v>66.699921239170394</v>
      </c>
      <c r="E22" s="20">
        <v>121700</v>
      </c>
      <c r="F22" s="70">
        <f>E22/'- 3 -'!$D22*100</f>
        <v>0.60633879631136756</v>
      </c>
      <c r="G22" s="20">
        <f>E22/'- 7 -'!$E22</f>
        <v>79.876608033604626</v>
      </c>
      <c r="H22" s="20">
        <v>507561</v>
      </c>
      <c r="I22" s="70">
        <f>H22/'- 3 -'!$D22*100</f>
        <v>2.5287915020098111</v>
      </c>
      <c r="J22" s="20">
        <f>H22/'- 7 -'!$E22</f>
        <v>333.13271199789972</v>
      </c>
    </row>
    <row r="23" spans="1:10" ht="14.1" customHeight="1" x14ac:dyDescent="0.2">
      <c r="A23" s="284" t="s">
        <v>121</v>
      </c>
      <c r="B23" s="285">
        <v>104427</v>
      </c>
      <c r="C23" s="291">
        <f>B23/'- 3 -'!$D23*100</f>
        <v>0.60371685900733796</v>
      </c>
      <c r="D23" s="285">
        <f>B23/'- 7 -'!$E23</f>
        <v>93.698519515477798</v>
      </c>
      <c r="E23" s="285">
        <v>198681</v>
      </c>
      <c r="F23" s="291">
        <f>E23/'- 3 -'!$D23*100</f>
        <v>1.1486212307586823</v>
      </c>
      <c r="G23" s="285">
        <f>E23/'- 7 -'!$E23</f>
        <v>178.26917900403768</v>
      </c>
      <c r="H23" s="285">
        <v>340763</v>
      </c>
      <c r="I23" s="291">
        <f>H23/'- 3 -'!$D23*100</f>
        <v>1.9700304329906777</v>
      </c>
      <c r="J23" s="285">
        <f>H23/'- 7 -'!$E23</f>
        <v>305.7541498429789</v>
      </c>
    </row>
    <row r="24" spans="1:10" ht="14.1" customHeight="1" x14ac:dyDescent="0.2">
      <c r="A24" s="19" t="s">
        <v>122</v>
      </c>
      <c r="B24" s="20">
        <v>296927</v>
      </c>
      <c r="C24" s="70">
        <f>B24/'- 3 -'!$D24*100</f>
        <v>0.51796116021332195</v>
      </c>
      <c r="D24" s="20">
        <f>B24/'- 7 -'!$E24</f>
        <v>75.203758579641871</v>
      </c>
      <c r="E24" s="20">
        <v>354197</v>
      </c>
      <c r="F24" s="70">
        <f>E24/'- 3 -'!$D24*100</f>
        <v>0.61786327637459038</v>
      </c>
      <c r="G24" s="20">
        <f>E24/'- 7 -'!$E24</f>
        <v>89.708735405111057</v>
      </c>
      <c r="H24" s="20">
        <v>1183190</v>
      </c>
      <c r="I24" s="70">
        <f>H24/'- 3 -'!$D24*100</f>
        <v>2.0639634157648192</v>
      </c>
      <c r="J24" s="20">
        <f>H24/'- 7 -'!$E24</f>
        <v>299.67074437099512</v>
      </c>
    </row>
    <row r="25" spans="1:10" ht="14.1" customHeight="1" x14ac:dyDescent="0.2">
      <c r="A25" s="284" t="s">
        <v>123</v>
      </c>
      <c r="B25" s="285">
        <v>461848</v>
      </c>
      <c r="C25" s="291">
        <f>B25/'- 3 -'!$D25*100</f>
        <v>0.26041020889122168</v>
      </c>
      <c r="D25" s="285">
        <f>B25/'- 7 -'!$E25</f>
        <v>32.216184543697992</v>
      </c>
      <c r="E25" s="285">
        <v>742322</v>
      </c>
      <c r="F25" s="291">
        <f>E25/'- 3 -'!$D25*100</f>
        <v>0.41855378194676485</v>
      </c>
      <c r="G25" s="285">
        <f>E25/'- 7 -'!$E25</f>
        <v>51.780634630542906</v>
      </c>
      <c r="H25" s="285">
        <v>3937954</v>
      </c>
      <c r="I25" s="291">
        <f>H25/'- 3 -'!$D25*100</f>
        <v>2.2203916088064086</v>
      </c>
      <c r="J25" s="285">
        <f>H25/'- 7 -'!$E25</f>
        <v>274.69178774963552</v>
      </c>
    </row>
    <row r="26" spans="1:10" ht="14.1" customHeight="1" x14ac:dyDescent="0.2">
      <c r="A26" s="19" t="s">
        <v>124</v>
      </c>
      <c r="B26" s="20">
        <v>221298</v>
      </c>
      <c r="C26" s="70">
        <f>B26/'- 3 -'!$D26*100</f>
        <v>0.53992250663521479</v>
      </c>
      <c r="D26" s="20">
        <f>B26/'- 7 -'!$E26</f>
        <v>72.414267015706812</v>
      </c>
      <c r="E26" s="20">
        <v>431060</v>
      </c>
      <c r="F26" s="70">
        <f>E26/'- 3 -'!$D26*100</f>
        <v>1.0516994989117645</v>
      </c>
      <c r="G26" s="20">
        <f>E26/'- 7 -'!$E26</f>
        <v>141.05366492146598</v>
      </c>
      <c r="H26" s="20">
        <v>730037</v>
      </c>
      <c r="I26" s="70">
        <f>H26/'- 3 -'!$D26*100</f>
        <v>1.7811431055701012</v>
      </c>
      <c r="J26" s="20">
        <f>H26/'- 7 -'!$E26</f>
        <v>238.88645287958116</v>
      </c>
    </row>
    <row r="27" spans="1:10" ht="14.1" customHeight="1" x14ac:dyDescent="0.2">
      <c r="A27" s="284" t="s">
        <v>125</v>
      </c>
      <c r="B27" s="285">
        <v>253047</v>
      </c>
      <c r="C27" s="291">
        <f>B27/'- 3 -'!$D27*100</f>
        <v>0.61053465977953858</v>
      </c>
      <c r="D27" s="285">
        <f>B27/'- 7 -'!$E27</f>
        <v>84.694837252112777</v>
      </c>
      <c r="E27" s="285">
        <v>511497</v>
      </c>
      <c r="F27" s="291">
        <f>E27/'- 3 -'!$D27*100</f>
        <v>1.2341053119509602</v>
      </c>
      <c r="G27" s="285">
        <f>E27/'- 7 -'!$E27</f>
        <v>171.19805873985439</v>
      </c>
      <c r="H27" s="285">
        <v>819638</v>
      </c>
      <c r="I27" s="291">
        <f>H27/'- 3 -'!$D27*100</f>
        <v>1.9775670427722178</v>
      </c>
      <c r="J27" s="285">
        <f>H27/'- 7 -'!$E27</f>
        <v>274.33285917496437</v>
      </c>
    </row>
    <row r="28" spans="1:10" ht="14.1" customHeight="1" x14ac:dyDescent="0.2">
      <c r="A28" s="19" t="s">
        <v>126</v>
      </c>
      <c r="B28" s="20">
        <v>177104</v>
      </c>
      <c r="C28" s="70">
        <f>B28/'- 3 -'!$D28*100</f>
        <v>0.62788428938877183</v>
      </c>
      <c r="D28" s="20">
        <f>B28/'- 7 -'!$E28</f>
        <v>90.221090168110038</v>
      </c>
      <c r="E28" s="20">
        <v>381245</v>
      </c>
      <c r="F28" s="70">
        <f>E28/'- 3 -'!$D28*100</f>
        <v>1.351622469893522</v>
      </c>
      <c r="G28" s="20">
        <f>E28/'- 7 -'!$E28</f>
        <v>194.21548650025471</v>
      </c>
      <c r="H28" s="20">
        <v>636307</v>
      </c>
      <c r="I28" s="70">
        <f>H28/'- 3 -'!$D28*100</f>
        <v>2.2558901466262831</v>
      </c>
      <c r="J28" s="20">
        <f>H28/'- 7 -'!$E28</f>
        <v>324.15028018339274</v>
      </c>
    </row>
    <row r="29" spans="1:10" ht="14.1" customHeight="1" x14ac:dyDescent="0.2">
      <c r="A29" s="284" t="s">
        <v>127</v>
      </c>
      <c r="B29" s="285">
        <v>369108</v>
      </c>
      <c r="C29" s="291">
        <f>B29/'- 3 -'!$D29*100</f>
        <v>0.2317211158261803</v>
      </c>
      <c r="D29" s="285">
        <f>B29/'- 7 -'!$E29</f>
        <v>28.214089157952671</v>
      </c>
      <c r="E29" s="285">
        <v>2071779</v>
      </c>
      <c r="F29" s="291">
        <f>E29/'- 3 -'!$D29*100</f>
        <v>1.3006354281815837</v>
      </c>
      <c r="G29" s="285">
        <f>E29/'- 7 -'!$E29</f>
        <v>158.36383232434417</v>
      </c>
      <c r="H29" s="285">
        <v>1643749</v>
      </c>
      <c r="I29" s="291">
        <f>H29/'- 3 -'!$D29*100</f>
        <v>1.03192386081626</v>
      </c>
      <c r="J29" s="285">
        <f>H29/'- 7 -'!$E29</f>
        <v>125.64582951140464</v>
      </c>
    </row>
    <row r="30" spans="1:10" ht="14.1" customHeight="1" x14ac:dyDescent="0.2">
      <c r="A30" s="19" t="s">
        <v>128</v>
      </c>
      <c r="B30" s="20">
        <v>110965</v>
      </c>
      <c r="C30" s="70">
        <f>B30/'- 3 -'!$D30*100</f>
        <v>0.78689205825121544</v>
      </c>
      <c r="D30" s="20">
        <f>B30/'- 7 -'!$E30</f>
        <v>111.06019445238776</v>
      </c>
      <c r="E30" s="20">
        <v>124563</v>
      </c>
      <c r="F30" s="70">
        <f>E30/'- 3 -'!$D30*100</f>
        <v>0.8833202852426093</v>
      </c>
      <c r="G30" s="20">
        <f>E30/'- 7 -'!$E30</f>
        <v>124.66985987989706</v>
      </c>
      <c r="H30" s="20">
        <v>277599</v>
      </c>
      <c r="I30" s="70">
        <f>H30/'- 3 -'!$D30*100</f>
        <v>1.9685526830845685</v>
      </c>
      <c r="J30" s="20">
        <f>H30/'- 7 -'!$E30</f>
        <v>277.83714612525023</v>
      </c>
    </row>
    <row r="31" spans="1:10" ht="14.1" customHeight="1" x14ac:dyDescent="0.2">
      <c r="A31" s="284" t="s">
        <v>129</v>
      </c>
      <c r="B31" s="285">
        <v>151277</v>
      </c>
      <c r="C31" s="291">
        <f>B31/'- 3 -'!$D31*100</f>
        <v>0.40319620889965074</v>
      </c>
      <c r="D31" s="285">
        <f>B31/'- 7 -'!$E31</f>
        <v>46.50384260682447</v>
      </c>
      <c r="E31" s="285">
        <v>394520</v>
      </c>
      <c r="F31" s="291">
        <f>E31/'- 3 -'!$D31*100</f>
        <v>1.0515079512093062</v>
      </c>
      <c r="G31" s="285">
        <f>E31/'- 7 -'!$E31</f>
        <v>121.27881955118352</v>
      </c>
      <c r="H31" s="285">
        <v>663875</v>
      </c>
      <c r="I31" s="291">
        <f>H31/'- 3 -'!$D31*100</f>
        <v>1.7694155964439777</v>
      </c>
      <c r="J31" s="285">
        <f>H31/'- 7 -'!$E31</f>
        <v>204.08084844758685</v>
      </c>
    </row>
    <row r="32" spans="1:10" ht="14.1" customHeight="1" x14ac:dyDescent="0.2">
      <c r="A32" s="19" t="s">
        <v>130</v>
      </c>
      <c r="B32" s="20">
        <v>159973</v>
      </c>
      <c r="C32" s="70">
        <f>B32/'- 3 -'!$D32*100</f>
        <v>0.54603662564909539</v>
      </c>
      <c r="D32" s="20">
        <f>B32/'- 7 -'!$E32</f>
        <v>74.295467211592054</v>
      </c>
      <c r="E32" s="20">
        <v>236346</v>
      </c>
      <c r="F32" s="70">
        <f>E32/'- 3 -'!$D32*100</f>
        <v>0.80672096119758407</v>
      </c>
      <c r="G32" s="20">
        <f>E32/'- 7 -'!$E32</f>
        <v>109.7650009288501</v>
      </c>
      <c r="H32" s="20">
        <v>686451</v>
      </c>
      <c r="I32" s="70">
        <f>H32/'- 3 -'!$D32*100</f>
        <v>2.3430665656920051</v>
      </c>
      <c r="J32" s="20">
        <f>H32/'- 7 -'!$E32</f>
        <v>318.80503436745312</v>
      </c>
    </row>
    <row r="33" spans="1:10" ht="14.1" customHeight="1" x14ac:dyDescent="0.2">
      <c r="A33" s="284" t="s">
        <v>131</v>
      </c>
      <c r="B33" s="285">
        <v>212519</v>
      </c>
      <c r="C33" s="291">
        <f>B33/'- 3 -'!$D33*100</f>
        <v>0.76407982435429256</v>
      </c>
      <c r="D33" s="285">
        <f>B33/'- 7 -'!$E33</f>
        <v>105.23347363208715</v>
      </c>
      <c r="E33" s="285">
        <v>237137</v>
      </c>
      <c r="F33" s="291">
        <f>E33/'- 3 -'!$D33*100</f>
        <v>0.85259010868630036</v>
      </c>
      <c r="G33" s="285">
        <f>E33/'- 7 -'!$E33</f>
        <v>117.42361970784847</v>
      </c>
      <c r="H33" s="285">
        <v>426390</v>
      </c>
      <c r="I33" s="291">
        <f>H33/'- 3 -'!$D33*100</f>
        <v>1.5330205596037381</v>
      </c>
      <c r="J33" s="285">
        <f>H33/'- 7 -'!$E33</f>
        <v>211.13641990591731</v>
      </c>
    </row>
    <row r="34" spans="1:10" ht="14.1" customHeight="1" x14ac:dyDescent="0.2">
      <c r="A34" s="19" t="s">
        <v>132</v>
      </c>
      <c r="B34" s="20">
        <v>172808</v>
      </c>
      <c r="C34" s="70">
        <f>B34/'- 3 -'!$D34*100</f>
        <v>0.59424515342954021</v>
      </c>
      <c r="D34" s="20">
        <f>B34/'- 7 -'!$E34</f>
        <v>84.922109194555006</v>
      </c>
      <c r="E34" s="20">
        <v>312098</v>
      </c>
      <c r="F34" s="70">
        <f>E34/'- 3 -'!$D34*100</f>
        <v>1.073229965597962</v>
      </c>
      <c r="G34" s="20">
        <f>E34/'- 7 -'!$E34</f>
        <v>153.37264730453583</v>
      </c>
      <c r="H34" s="20">
        <v>595315</v>
      </c>
      <c r="I34" s="70">
        <f>H34/'- 3 -'!$D34*100</f>
        <v>2.0471451177833591</v>
      </c>
      <c r="J34" s="20">
        <f>H34/'- 7 -'!$E34</f>
        <v>292.55245958032333</v>
      </c>
    </row>
    <row r="35" spans="1:10" ht="14.1" customHeight="1" x14ac:dyDescent="0.2">
      <c r="A35" s="284" t="s">
        <v>133</v>
      </c>
      <c r="B35" s="285">
        <v>434701</v>
      </c>
      <c r="C35" s="291">
        <f>B35/'- 3 -'!$D35*100</f>
        <v>0.23592745749401056</v>
      </c>
      <c r="D35" s="285">
        <f>B35/'- 7 -'!$E35</f>
        <v>27.851166068682726</v>
      </c>
      <c r="E35" s="285">
        <v>1533123</v>
      </c>
      <c r="F35" s="291">
        <f>E35/'- 3 -'!$D35*100</f>
        <v>0.83207954758693892</v>
      </c>
      <c r="G35" s="285">
        <f>E35/'- 7 -'!$E35</f>
        <v>98.226742696053307</v>
      </c>
      <c r="H35" s="285">
        <v>2542767</v>
      </c>
      <c r="I35" s="291">
        <f>H35/'- 3 -'!$D35*100</f>
        <v>1.380048707754693</v>
      </c>
      <c r="J35" s="285">
        <f>H35/'- 7 -'!$E35</f>
        <v>162.91433880061507</v>
      </c>
    </row>
    <row r="36" spans="1:10" ht="14.1" customHeight="1" x14ac:dyDescent="0.2">
      <c r="A36" s="19" t="s">
        <v>134</v>
      </c>
      <c r="B36" s="20">
        <v>201738</v>
      </c>
      <c r="C36" s="70">
        <f>B36/'- 3 -'!$D36*100</f>
        <v>0.86057666630776963</v>
      </c>
      <c r="D36" s="20">
        <f>B36/'- 7 -'!$E36</f>
        <v>120.98230884557721</v>
      </c>
      <c r="E36" s="20">
        <v>172910</v>
      </c>
      <c r="F36" s="70">
        <f>E36/'- 3 -'!$D36*100</f>
        <v>0.73760179723838071</v>
      </c>
      <c r="G36" s="20">
        <f>E36/'- 7 -'!$E36</f>
        <v>103.69415292353823</v>
      </c>
      <c r="H36" s="20">
        <v>501430</v>
      </c>
      <c r="I36" s="70">
        <f>H36/'- 3 -'!$D36*100</f>
        <v>2.1390068196705871</v>
      </c>
      <c r="J36" s="20">
        <f>H36/'- 7 -'!$E36</f>
        <v>300.70764617691157</v>
      </c>
    </row>
    <row r="37" spans="1:10" ht="14.1" customHeight="1" x14ac:dyDescent="0.2">
      <c r="A37" s="284" t="s">
        <v>135</v>
      </c>
      <c r="B37" s="285">
        <v>193883</v>
      </c>
      <c r="C37" s="291">
        <f>B37/'- 3 -'!$D37*100</f>
        <v>0.38631230678955092</v>
      </c>
      <c r="D37" s="285">
        <f>B37/'- 7 -'!$E37</f>
        <v>46.350227109729857</v>
      </c>
      <c r="E37" s="285">
        <v>449934</v>
      </c>
      <c r="F37" s="291">
        <f>E37/'- 3 -'!$D37*100</f>
        <v>0.89649449122950342</v>
      </c>
      <c r="G37" s="285">
        <f>E37/'- 7 -'!$E37</f>
        <v>107.5625149414296</v>
      </c>
      <c r="H37" s="285">
        <v>818813</v>
      </c>
      <c r="I37" s="291">
        <f>H37/'- 3 -'!$D37*100</f>
        <v>1.6314867154896127</v>
      </c>
      <c r="J37" s="285">
        <f>H37/'- 7 -'!$E37</f>
        <v>195.74778866841979</v>
      </c>
    </row>
    <row r="38" spans="1:10" ht="14.1" customHeight="1" x14ac:dyDescent="0.2">
      <c r="A38" s="19" t="s">
        <v>136</v>
      </c>
      <c r="B38" s="20">
        <v>392518</v>
      </c>
      <c r="C38" s="70">
        <f>B38/'- 3 -'!$D38*100</f>
        <v>0.2892858135701592</v>
      </c>
      <c r="D38" s="20">
        <f>B38/'- 7 -'!$E38</f>
        <v>35.703578380541764</v>
      </c>
      <c r="E38" s="20">
        <v>1265403</v>
      </c>
      <c r="F38" s="70">
        <f>E38/'- 3 -'!$D38*100</f>
        <v>0.93260216435709986</v>
      </c>
      <c r="G38" s="20">
        <f>E38/'- 7 -'!$E38</f>
        <v>115.10151176117449</v>
      </c>
      <c r="H38" s="20">
        <v>1667211</v>
      </c>
      <c r="I38" s="70">
        <f>H38/'- 3 -'!$D38*100</f>
        <v>1.2287347090531355</v>
      </c>
      <c r="J38" s="20">
        <f>H38/'- 7 -'!$E38</f>
        <v>151.65011188124217</v>
      </c>
    </row>
    <row r="39" spans="1:10" ht="14.1" customHeight="1" x14ac:dyDescent="0.2">
      <c r="A39" s="284" t="s">
        <v>137</v>
      </c>
      <c r="B39" s="285">
        <v>160062</v>
      </c>
      <c r="C39" s="291">
        <f>B39/'- 3 -'!$D39*100</f>
        <v>0.74600157056396421</v>
      </c>
      <c r="D39" s="285">
        <f>B39/'- 7 -'!$E39</f>
        <v>106.708</v>
      </c>
      <c r="E39" s="285">
        <v>232759</v>
      </c>
      <c r="F39" s="291">
        <f>E39/'- 3 -'!$D39*100</f>
        <v>1.0848207542258486</v>
      </c>
      <c r="G39" s="285">
        <f>E39/'- 7 -'!$E39</f>
        <v>155.17266666666666</v>
      </c>
      <c r="H39" s="285">
        <v>418152</v>
      </c>
      <c r="I39" s="291">
        <f>H39/'- 3 -'!$D39*100</f>
        <v>1.9488826125780185</v>
      </c>
      <c r="J39" s="285">
        <f>H39/'- 7 -'!$E39</f>
        <v>278.76799999999997</v>
      </c>
    </row>
    <row r="40" spans="1:10" ht="14.1" customHeight="1" x14ac:dyDescent="0.2">
      <c r="A40" s="19" t="s">
        <v>138</v>
      </c>
      <c r="B40" s="20">
        <v>405216</v>
      </c>
      <c r="C40" s="70">
        <f>B40/'- 3 -'!$D40*100</f>
        <v>0.3883465557143414</v>
      </c>
      <c r="D40" s="20">
        <f>B40/'- 7 -'!$E40</f>
        <v>49.055251561667717</v>
      </c>
      <c r="E40" s="20">
        <v>1196949</v>
      </c>
      <c r="F40" s="70">
        <f>E40/'- 3 -'!$D40*100</f>
        <v>1.1471191204585336</v>
      </c>
      <c r="G40" s="20">
        <f>E40/'- 7 -'!$E40</f>
        <v>144.90206285409909</v>
      </c>
      <c r="H40" s="20">
        <v>1549959</v>
      </c>
      <c r="I40" s="70">
        <f>H40/'- 3 -'!$D40*100</f>
        <v>1.4854330508875386</v>
      </c>
      <c r="J40" s="20">
        <f>H40/'- 7 -'!$E40</f>
        <v>187.63728148757932</v>
      </c>
    </row>
    <row r="41" spans="1:10" ht="14.1" customHeight="1" x14ac:dyDescent="0.2">
      <c r="A41" s="284" t="s">
        <v>139</v>
      </c>
      <c r="B41" s="285">
        <v>226406</v>
      </c>
      <c r="C41" s="291">
        <f>B41/'- 3 -'!$D41*100</f>
        <v>0.36143774720673016</v>
      </c>
      <c r="D41" s="285">
        <f>B41/'- 7 -'!$E41</f>
        <v>50.780755859594031</v>
      </c>
      <c r="E41" s="285">
        <v>726163</v>
      </c>
      <c r="F41" s="291">
        <f>E41/'- 3 -'!$D41*100</f>
        <v>1.1592569049622394</v>
      </c>
      <c r="G41" s="285">
        <f>E41/'- 7 -'!$E41</f>
        <v>162.87159358528652</v>
      </c>
      <c r="H41" s="285">
        <v>1174704</v>
      </c>
      <c r="I41" s="291">
        <f>H41/'- 3 -'!$D41*100</f>
        <v>1.8753141144436756</v>
      </c>
      <c r="J41" s="285">
        <f>H41/'- 7 -'!$E41</f>
        <v>263.47515980711</v>
      </c>
    </row>
    <row r="42" spans="1:10" ht="14.1" customHeight="1" x14ac:dyDescent="0.2">
      <c r="A42" s="19" t="s">
        <v>140</v>
      </c>
      <c r="B42" s="20">
        <v>182513</v>
      </c>
      <c r="C42" s="70">
        <f>B42/'- 3 -'!$D42*100</f>
        <v>0.90080134515350585</v>
      </c>
      <c r="D42" s="20">
        <f>B42/'- 7 -'!$E42</f>
        <v>132.39010590454086</v>
      </c>
      <c r="E42" s="20">
        <v>240652</v>
      </c>
      <c r="F42" s="70">
        <f>E42/'- 3 -'!$D42*100</f>
        <v>1.1877490661699797</v>
      </c>
      <c r="G42" s="20">
        <f>E42/'- 7 -'!$E42</f>
        <v>174.56259973886552</v>
      </c>
      <c r="H42" s="20">
        <v>397700</v>
      </c>
      <c r="I42" s="70">
        <f>H42/'- 3 -'!$D42*100</f>
        <v>1.9628667271238174</v>
      </c>
      <c r="J42" s="20">
        <f>H42/'- 7 -'!$E42</f>
        <v>288.48106774989122</v>
      </c>
    </row>
    <row r="43" spans="1:10" ht="14.1" customHeight="1" x14ac:dyDescent="0.2">
      <c r="A43" s="284" t="s">
        <v>141</v>
      </c>
      <c r="B43" s="285">
        <v>104125</v>
      </c>
      <c r="C43" s="291">
        <f>B43/'- 3 -'!$D43*100</f>
        <v>0.7859882210087914</v>
      </c>
      <c r="D43" s="285">
        <f>B43/'- 7 -'!$E43</f>
        <v>108.15934351303625</v>
      </c>
      <c r="E43" s="285">
        <v>122240</v>
      </c>
      <c r="F43" s="291">
        <f>E43/'- 3 -'!$D43*100</f>
        <v>0.92272941307192957</v>
      </c>
      <c r="G43" s="285">
        <f>E43/'- 7 -'!$E43</f>
        <v>126.97621273501609</v>
      </c>
      <c r="H43" s="285">
        <v>303777</v>
      </c>
      <c r="I43" s="291">
        <f>H43/'- 3 -'!$D43*100</f>
        <v>2.2930626056507815</v>
      </c>
      <c r="J43" s="285">
        <f>H43/'- 7 -'!$E43</f>
        <v>315.54689934559053</v>
      </c>
    </row>
    <row r="44" spans="1:10" ht="14.1" customHeight="1" x14ac:dyDescent="0.2">
      <c r="A44" s="19" t="s">
        <v>142</v>
      </c>
      <c r="B44" s="20">
        <v>87569</v>
      </c>
      <c r="C44" s="70">
        <f>B44/'- 3 -'!$D44*100</f>
        <v>0.81019144958385736</v>
      </c>
      <c r="D44" s="20">
        <f>B44/'- 7 -'!$E44</f>
        <v>126.27108868060563</v>
      </c>
      <c r="E44" s="20">
        <v>48193</v>
      </c>
      <c r="F44" s="70">
        <f>E44/'- 3 -'!$D44*100</f>
        <v>0.44588332092172844</v>
      </c>
      <c r="G44" s="20">
        <f>E44/'- 7 -'!$E44</f>
        <v>69.492429704397978</v>
      </c>
      <c r="H44" s="20">
        <v>255021</v>
      </c>
      <c r="I44" s="70">
        <f>H44/'- 3 -'!$D44*100</f>
        <v>2.359463208033949</v>
      </c>
      <c r="J44" s="20">
        <f>H44/'- 7 -'!$E44</f>
        <v>367.73035328046143</v>
      </c>
    </row>
    <row r="45" spans="1:10" ht="14.1" customHeight="1" x14ac:dyDescent="0.2">
      <c r="A45" s="284" t="s">
        <v>143</v>
      </c>
      <c r="B45" s="285">
        <v>116356</v>
      </c>
      <c r="C45" s="291">
        <f>B45/'- 3 -'!$D45*100</f>
        <v>0.6040888815789337</v>
      </c>
      <c r="D45" s="285">
        <f>B45/'- 7 -'!$E45</f>
        <v>69.054005934718106</v>
      </c>
      <c r="E45" s="285">
        <v>172240</v>
      </c>
      <c r="F45" s="291">
        <f>E45/'- 3 -'!$D45*100</f>
        <v>0.89422349481896535</v>
      </c>
      <c r="G45" s="285">
        <f>E45/'- 7 -'!$E45</f>
        <v>102.21958456973294</v>
      </c>
      <c r="H45" s="285">
        <v>403626</v>
      </c>
      <c r="I45" s="291">
        <f>H45/'- 3 -'!$D45*100</f>
        <v>2.0955170246156509</v>
      </c>
      <c r="J45" s="285">
        <f>H45/'- 7 -'!$E45</f>
        <v>239.54065281899111</v>
      </c>
    </row>
    <row r="46" spans="1:10" ht="14.1" customHeight="1" x14ac:dyDescent="0.2">
      <c r="A46" s="19" t="s">
        <v>144</v>
      </c>
      <c r="B46" s="20">
        <v>862801</v>
      </c>
      <c r="C46" s="70">
        <f>B46/'- 3 -'!$D46*100</f>
        <v>0.22051499535756156</v>
      </c>
      <c r="D46" s="20">
        <f>B46/'- 7 -'!$E46</f>
        <v>28.876501890960206</v>
      </c>
      <c r="E46" s="20">
        <v>2931686</v>
      </c>
      <c r="F46" s="70">
        <f>E46/'- 3 -'!$D46*100</f>
        <v>0.74928138085123708</v>
      </c>
      <c r="G46" s="20">
        <f>E46/'- 7 -'!$E46</f>
        <v>98.118611733993774</v>
      </c>
      <c r="H46" s="20">
        <v>5754367</v>
      </c>
      <c r="I46" s="70">
        <f>H46/'- 3 -'!$D46*100</f>
        <v>1.470703223907605</v>
      </c>
      <c r="J46" s="20">
        <f>H46/'- 7 -'!$E46</f>
        <v>192.58900900297868</v>
      </c>
    </row>
    <row r="47" spans="1:10" ht="5.0999999999999996" customHeight="1" x14ac:dyDescent="0.2">
      <c r="A47" s="21"/>
      <c r="B47" s="22"/>
      <c r="C47"/>
      <c r="D47" s="22"/>
      <c r="E47" s="552"/>
      <c r="F47"/>
      <c r="G47" s="22"/>
      <c r="H47"/>
      <c r="I47"/>
      <c r="J47"/>
    </row>
    <row r="48" spans="1:10" ht="14.1" customHeight="1" x14ac:dyDescent="0.2">
      <c r="A48" s="286" t="s">
        <v>145</v>
      </c>
      <c r="B48" s="287">
        <f>SUM(B11:B46)</f>
        <v>9739107</v>
      </c>
      <c r="C48" s="294">
        <f>B48/'- 3 -'!$D48*100</f>
        <v>0.42472984632221344</v>
      </c>
      <c r="D48" s="287">
        <f>B48/'- 7 -'!$E48</f>
        <v>55.324084248079515</v>
      </c>
      <c r="E48" s="287">
        <f>SUM(E11:E46)</f>
        <v>21695003</v>
      </c>
      <c r="F48" s="294">
        <f>E48/'- 3 -'!$D48*100</f>
        <v>0.94613554303797676</v>
      </c>
      <c r="G48" s="287">
        <f>E48/'- 7 -'!$E48</f>
        <v>123.24088581574654</v>
      </c>
      <c r="H48" s="287">
        <f>SUM(H11:H46)</f>
        <v>38370291</v>
      </c>
      <c r="I48" s="294">
        <f>H48/'- 3 -'!$D48*100</f>
        <v>1.6733575059570256</v>
      </c>
      <c r="J48" s="287">
        <f>H48/'- 7 -'!$E48</f>
        <v>217.96672034790532</v>
      </c>
    </row>
    <row r="49" spans="1:10" ht="5.0999999999999996" customHeight="1" x14ac:dyDescent="0.2">
      <c r="A49" s="21" t="s">
        <v>7</v>
      </c>
      <c r="B49" s="22"/>
      <c r="C49"/>
      <c r="D49" s="22"/>
      <c r="E49" s="552"/>
      <c r="F49"/>
      <c r="H49"/>
      <c r="I49"/>
      <c r="J49"/>
    </row>
    <row r="50" spans="1:10" ht="14.1" customHeight="1" x14ac:dyDescent="0.2">
      <c r="A50" s="19" t="s">
        <v>146</v>
      </c>
      <c r="B50" s="20">
        <v>48615</v>
      </c>
      <c r="C50" s="70">
        <f>B50/'- 3 -'!$D50*100</f>
        <v>1.5161003211519306</v>
      </c>
      <c r="D50" s="20">
        <f>B50/'- 7 -'!$E50</f>
        <v>313.64516129032256</v>
      </c>
      <c r="E50" s="20">
        <v>24397</v>
      </c>
      <c r="F50" s="70">
        <f>E50/'- 3 -'!$D50*100</f>
        <v>0.76084129456224725</v>
      </c>
      <c r="G50" s="20">
        <f>E50/'- 7 -'!$E50</f>
        <v>157.4</v>
      </c>
      <c r="H50" s="20">
        <v>115172</v>
      </c>
      <c r="I50" s="70">
        <f>H50/'- 3 -'!$D50*100</f>
        <v>3.5917372454532579</v>
      </c>
      <c r="J50" s="20">
        <f>H50/'- 7 -'!$E50</f>
        <v>743.04516129032254</v>
      </c>
    </row>
    <row r="51" spans="1:10" ht="14.1" customHeight="1" x14ac:dyDescent="0.2">
      <c r="A51" s="284" t="s">
        <v>609</v>
      </c>
      <c r="B51" s="285">
        <v>60459</v>
      </c>
      <c r="C51" s="291">
        <f>B51/'- 3 -'!$D51*100</f>
        <v>0.20835680372895235</v>
      </c>
      <c r="D51" s="285">
        <f>B51/'- 7 -'!$E51</f>
        <v>51.128118393234672</v>
      </c>
      <c r="E51" s="285">
        <v>489765</v>
      </c>
      <c r="F51" s="291">
        <f>E51/'- 3 -'!$D51*100</f>
        <v>1.6878524285600216</v>
      </c>
      <c r="G51" s="285">
        <f>E51/'- 7 -'!$E51</f>
        <v>414.17758985200845</v>
      </c>
      <c r="H51" s="285">
        <v>2760110</v>
      </c>
      <c r="I51" s="291">
        <f>H51/'- 3 -'!$D51*100</f>
        <v>9.512027945224343</v>
      </c>
      <c r="J51" s="285">
        <f>H51/'- 7 -'!$E51</f>
        <v>2334.1310782241017</v>
      </c>
    </row>
    <row r="52" spans="1:10" ht="50.1" customHeight="1" x14ac:dyDescent="0.2"/>
  </sheetData>
  <mergeCells count="6">
    <mergeCell ref="D8:D9"/>
    <mergeCell ref="G8:G9"/>
    <mergeCell ref="J8:J9"/>
    <mergeCell ref="B7:D7"/>
    <mergeCell ref="E6:G7"/>
    <mergeCell ref="H6: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52"/>
  <sheetViews>
    <sheetView showGridLines="0" showZeros="0" workbookViewId="0"/>
  </sheetViews>
  <sheetFormatPr defaultColWidth="15.83203125" defaultRowHeight="12" x14ac:dyDescent="0.2"/>
  <cols>
    <col min="1" max="1" width="35.83203125" style="2" customWidth="1"/>
    <col min="2" max="2" width="20.83203125" style="2" customWidth="1"/>
    <col min="3" max="4" width="15.83203125" style="2" customWidth="1"/>
    <col min="5" max="5" width="44.83203125" style="2" customWidth="1"/>
    <col min="6" max="16384" width="15.83203125" style="2"/>
  </cols>
  <sheetData>
    <row r="1" spans="1:5" ht="6.95" customHeight="1" x14ac:dyDescent="0.2">
      <c r="A1" s="7"/>
      <c r="B1" s="8"/>
      <c r="C1" s="8"/>
      <c r="D1" s="8"/>
      <c r="E1" s="8"/>
    </row>
    <row r="2" spans="1:5" ht="15.95" customHeight="1" x14ac:dyDescent="0.2">
      <c r="A2" s="134"/>
      <c r="B2" s="9" t="s">
        <v>263</v>
      </c>
      <c r="C2" s="10"/>
      <c r="D2" s="10"/>
      <c r="E2" s="395" t="s">
        <v>407</v>
      </c>
    </row>
    <row r="3" spans="1:5" ht="15.95" customHeight="1" x14ac:dyDescent="0.2">
      <c r="A3" s="541"/>
      <c r="B3" s="11" t="str">
        <f>OPYEAR</f>
        <v>OPERATING FUND 2016/2017 ACTUAL</v>
      </c>
      <c r="C3" s="12"/>
      <c r="D3" s="12"/>
      <c r="E3" s="66"/>
    </row>
    <row r="4" spans="1:5" ht="15.95" customHeight="1" x14ac:dyDescent="0.2">
      <c r="B4" s="8"/>
      <c r="C4" s="8"/>
      <c r="D4" s="8"/>
      <c r="E4" s="8"/>
    </row>
    <row r="5" spans="1:5" ht="15.95" customHeight="1" x14ac:dyDescent="0.2">
      <c r="B5" s="164" t="s">
        <v>94</v>
      </c>
      <c r="C5" s="155"/>
      <c r="D5" s="157"/>
      <c r="E5" s="43"/>
    </row>
    <row r="6" spans="1:5" ht="15.95" customHeight="1" x14ac:dyDescent="0.2">
      <c r="B6" s="643" t="s">
        <v>494</v>
      </c>
      <c r="C6" s="651"/>
      <c r="D6" s="644"/>
      <c r="E6" s="69"/>
    </row>
    <row r="7" spans="1:5" ht="15.95" customHeight="1" x14ac:dyDescent="0.2">
      <c r="B7" s="645"/>
      <c r="C7" s="652"/>
      <c r="D7" s="646"/>
      <c r="E7" s="69"/>
    </row>
    <row r="8" spans="1:5" ht="15.95" customHeight="1" x14ac:dyDescent="0.2">
      <c r="A8" s="67"/>
      <c r="B8" s="139"/>
      <c r="C8" s="68"/>
      <c r="D8" s="596" t="s">
        <v>477</v>
      </c>
      <c r="E8" s="69"/>
    </row>
    <row r="9" spans="1:5" ht="15.95" customHeight="1" x14ac:dyDescent="0.2">
      <c r="A9" s="35" t="s">
        <v>42</v>
      </c>
      <c r="B9" s="77" t="s">
        <v>43</v>
      </c>
      <c r="C9" s="77" t="s">
        <v>44</v>
      </c>
      <c r="D9" s="598"/>
    </row>
    <row r="10" spans="1:5" ht="5.0999999999999996" customHeight="1" x14ac:dyDescent="0.2">
      <c r="A10" s="6"/>
    </row>
    <row r="11" spans="1:5" ht="14.1" customHeight="1" x14ac:dyDescent="0.2">
      <c r="A11" s="284" t="s">
        <v>110</v>
      </c>
      <c r="B11" s="285">
        <v>5708</v>
      </c>
      <c r="C11" s="291">
        <f>B11/'- 3 -'!$D11*100</f>
        <v>2.9856962240305759E-2</v>
      </c>
      <c r="D11" s="285">
        <f>B11/'- 7 -'!$E11</f>
        <v>3.2321630804077008</v>
      </c>
    </row>
    <row r="12" spans="1:5" ht="14.1" customHeight="1" x14ac:dyDescent="0.2">
      <c r="A12" s="19" t="s">
        <v>111</v>
      </c>
      <c r="B12" s="20">
        <v>78319</v>
      </c>
      <c r="C12" s="70">
        <f>B12/'- 3 -'!$D12*100</f>
        <v>0.23435655273267808</v>
      </c>
      <c r="D12" s="20">
        <f>B12/'- 7 -'!$E12</f>
        <v>36.950767851666626</v>
      </c>
    </row>
    <row r="13" spans="1:5" ht="14.1" customHeight="1" x14ac:dyDescent="0.2">
      <c r="A13" s="284" t="s">
        <v>112</v>
      </c>
      <c r="B13" s="285">
        <v>325150</v>
      </c>
      <c r="C13" s="291">
        <f>B13/'- 3 -'!$D13*100</f>
        <v>0.33900866048007922</v>
      </c>
      <c r="D13" s="285">
        <f>B13/'- 7 -'!$E13</f>
        <v>38.830835373499731</v>
      </c>
    </row>
    <row r="14" spans="1:5" ht="14.1" customHeight="1" x14ac:dyDescent="0.2">
      <c r="A14" s="19" t="s">
        <v>359</v>
      </c>
      <c r="B14" s="20">
        <v>117166</v>
      </c>
      <c r="C14" s="70">
        <f>B14/'- 3 -'!$D14*100</f>
        <v>0.14126960848896683</v>
      </c>
      <c r="D14" s="20">
        <f>B14/'- 7 -'!$E14</f>
        <v>21.368412989637324</v>
      </c>
    </row>
    <row r="15" spans="1:5" ht="14.1" customHeight="1" x14ac:dyDescent="0.2">
      <c r="A15" s="284" t="s">
        <v>113</v>
      </c>
      <c r="B15" s="285">
        <v>46808</v>
      </c>
      <c r="C15" s="291">
        <f>B15/'- 3 -'!$D15*100</f>
        <v>0.23984008884454086</v>
      </c>
      <c r="D15" s="285">
        <f>B15/'- 7 -'!$E15</f>
        <v>33.453401943967982</v>
      </c>
    </row>
    <row r="16" spans="1:5" ht="14.1" customHeight="1" x14ac:dyDescent="0.2">
      <c r="A16" s="19" t="s">
        <v>114</v>
      </c>
      <c r="B16" s="20">
        <v>32440</v>
      </c>
      <c r="C16" s="70">
        <f>B16/'- 3 -'!$D16*100</f>
        <v>0.22377667143376281</v>
      </c>
      <c r="D16" s="20">
        <f>B16/'- 7 -'!$E16</f>
        <v>35.892896658552779</v>
      </c>
    </row>
    <row r="17" spans="1:4" ht="14.1" customHeight="1" x14ac:dyDescent="0.2">
      <c r="A17" s="284" t="s">
        <v>115</v>
      </c>
      <c r="B17" s="285">
        <v>70855</v>
      </c>
      <c r="C17" s="291">
        <f>B17/'- 3 -'!$D17*100</f>
        <v>0.39482437099749612</v>
      </c>
      <c r="D17" s="285">
        <f>B17/'- 7 -'!$E17</f>
        <v>50.701252236135957</v>
      </c>
    </row>
    <row r="18" spans="1:4" ht="14.1" customHeight="1" x14ac:dyDescent="0.2">
      <c r="A18" s="19" t="s">
        <v>116</v>
      </c>
      <c r="B18" s="20">
        <v>677384</v>
      </c>
      <c r="C18" s="70">
        <f>B18/'- 3 -'!$D18*100</f>
        <v>0.52651619648400749</v>
      </c>
      <c r="D18" s="20">
        <f>B18/'- 7 -'!$E18</f>
        <v>111.13947726787971</v>
      </c>
    </row>
    <row r="19" spans="1:4" ht="14.1" customHeight="1" x14ac:dyDescent="0.2">
      <c r="A19" s="284" t="s">
        <v>117</v>
      </c>
      <c r="B19" s="285">
        <v>136790</v>
      </c>
      <c r="C19" s="291">
        <f>B19/'- 3 -'!$D19*100</f>
        <v>0.29639220220123652</v>
      </c>
      <c r="D19" s="285">
        <f>B19/'- 7 -'!$E19</f>
        <v>31.223464962337367</v>
      </c>
    </row>
    <row r="20" spans="1:4" ht="14.1" customHeight="1" x14ac:dyDescent="0.2">
      <c r="A20" s="19" t="s">
        <v>118</v>
      </c>
      <c r="B20" s="20">
        <v>90644</v>
      </c>
      <c r="C20" s="70">
        <f>B20/'- 3 -'!$D20*100</f>
        <v>0.11020617456828752</v>
      </c>
      <c r="D20" s="20">
        <f>B20/'- 7 -'!$E20</f>
        <v>11.871390216750704</v>
      </c>
    </row>
    <row r="21" spans="1:4" ht="14.1" customHeight="1" x14ac:dyDescent="0.2">
      <c r="A21" s="284" t="s">
        <v>119</v>
      </c>
      <c r="B21" s="285">
        <v>33437</v>
      </c>
      <c r="C21" s="291">
        <f>B21/'- 3 -'!$D21*100</f>
        <v>9.2963502240429582E-2</v>
      </c>
      <c r="D21" s="285">
        <f>B21/'- 7 -'!$E21</f>
        <v>12.193938951898181</v>
      </c>
    </row>
    <row r="22" spans="1:4" ht="14.1" customHeight="1" x14ac:dyDescent="0.2">
      <c r="A22" s="19" t="s">
        <v>120</v>
      </c>
      <c r="B22" s="20">
        <v>62616</v>
      </c>
      <c r="C22" s="70">
        <f>B22/'- 3 -'!$D22*100</f>
        <v>0.31196803672828755</v>
      </c>
      <c r="D22" s="20">
        <f>B22/'- 7 -'!$E22</f>
        <v>41.097400892622737</v>
      </c>
    </row>
    <row r="23" spans="1:4" ht="14.1" customHeight="1" x14ac:dyDescent="0.2">
      <c r="A23" s="284" t="s">
        <v>121</v>
      </c>
      <c r="B23" s="285">
        <v>55105</v>
      </c>
      <c r="C23" s="291">
        <f>B23/'- 3 -'!$D23*100</f>
        <v>0.31857486584503392</v>
      </c>
      <c r="D23" s="285">
        <f>B23/'- 7 -'!$E23</f>
        <v>49.443696724988783</v>
      </c>
    </row>
    <row r="24" spans="1:4" ht="14.1" customHeight="1" x14ac:dyDescent="0.2">
      <c r="A24" s="19" t="s">
        <v>122</v>
      </c>
      <c r="B24" s="20">
        <v>151578</v>
      </c>
      <c r="C24" s="70">
        <f>B24/'- 3 -'!$D24*100</f>
        <v>0.26441353175297266</v>
      </c>
      <c r="D24" s="20">
        <f>B24/'- 7 -'!$E24</f>
        <v>38.390699794848416</v>
      </c>
    </row>
    <row r="25" spans="1:4" ht="14.1" customHeight="1" x14ac:dyDescent="0.2">
      <c r="A25" s="284" t="s">
        <v>123</v>
      </c>
      <c r="B25" s="285">
        <v>794371</v>
      </c>
      <c r="C25" s="291">
        <f>B25/'- 3 -'!$D25*100</f>
        <v>0.44790129663250394</v>
      </c>
      <c r="D25" s="285">
        <f>B25/'- 7 -'!$E25</f>
        <v>55.41131006773206</v>
      </c>
    </row>
    <row r="26" spans="1:4" ht="14.1" customHeight="1" x14ac:dyDescent="0.2">
      <c r="A26" s="19" t="s">
        <v>124</v>
      </c>
      <c r="B26" s="20">
        <v>40826</v>
      </c>
      <c r="C26" s="70">
        <f>B26/'- 3 -'!$D26*100</f>
        <v>9.9607209535961819E-2</v>
      </c>
      <c r="D26" s="20">
        <f>B26/'- 7 -'!$E26</f>
        <v>13.359293193717278</v>
      </c>
    </row>
    <row r="27" spans="1:4" ht="14.1" customHeight="1" x14ac:dyDescent="0.2">
      <c r="A27" s="284" t="s">
        <v>125</v>
      </c>
      <c r="B27" s="285">
        <v>214723</v>
      </c>
      <c r="C27" s="291">
        <f>B27/'- 3 -'!$D27*100</f>
        <v>0.51806910871040501</v>
      </c>
      <c r="D27" s="285">
        <f>B27/'- 7 -'!$E27</f>
        <v>71.867793490084495</v>
      </c>
    </row>
    <row r="28" spans="1:4" ht="14.1" customHeight="1" x14ac:dyDescent="0.2">
      <c r="A28" s="19" t="s">
        <v>126</v>
      </c>
      <c r="B28" s="20">
        <v>76541</v>
      </c>
      <c r="C28" s="70">
        <f>B28/'- 3 -'!$D28*100</f>
        <v>0.27135971742087123</v>
      </c>
      <c r="D28" s="20">
        <f>B28/'- 7 -'!$E28</f>
        <v>38.99184921039226</v>
      </c>
    </row>
    <row r="29" spans="1:4" ht="14.1" customHeight="1" x14ac:dyDescent="0.2">
      <c r="A29" s="284" t="s">
        <v>127</v>
      </c>
      <c r="B29" s="285">
        <v>1009928</v>
      </c>
      <c r="C29" s="291">
        <f>B29/'- 3 -'!$D29*100</f>
        <v>0.63401942809178513</v>
      </c>
      <c r="D29" s="285">
        <f>B29/'- 7 -'!$E29</f>
        <v>77.197456124258551</v>
      </c>
    </row>
    <row r="30" spans="1:4" ht="14.1" customHeight="1" x14ac:dyDescent="0.2">
      <c r="A30" s="19" t="s">
        <v>128</v>
      </c>
      <c r="B30" s="20">
        <v>43178</v>
      </c>
      <c r="C30" s="70">
        <f>B30/'- 3 -'!$D30*100</f>
        <v>0.30619046808607203</v>
      </c>
      <c r="D30" s="20">
        <f>B30/'- 7 -'!$E30</f>
        <v>43.215041464112097</v>
      </c>
    </row>
    <row r="31" spans="1:4" ht="14.1" customHeight="1" x14ac:dyDescent="0.2">
      <c r="A31" s="284" t="s">
        <v>129</v>
      </c>
      <c r="B31" s="285">
        <v>155812</v>
      </c>
      <c r="C31" s="291">
        <f>B31/'- 3 -'!$D31*100</f>
        <v>0.41528327307569807</v>
      </c>
      <c r="D31" s="285">
        <f>B31/'- 7 -'!$E31</f>
        <v>47.897940362742084</v>
      </c>
    </row>
    <row r="32" spans="1:4" ht="14.1" customHeight="1" x14ac:dyDescent="0.2">
      <c r="A32" s="19" t="s">
        <v>130</v>
      </c>
      <c r="B32" s="20">
        <v>63544</v>
      </c>
      <c r="C32" s="70">
        <f>B32/'- 3 -'!$D32*100</f>
        <v>0.21689504691570524</v>
      </c>
      <c r="D32" s="20">
        <f>B32/'- 7 -'!$E32</f>
        <v>29.511424856028238</v>
      </c>
    </row>
    <row r="33" spans="1:5" ht="14.1" customHeight="1" x14ac:dyDescent="0.2">
      <c r="A33" s="284" t="s">
        <v>131</v>
      </c>
      <c r="B33" s="285">
        <v>70345</v>
      </c>
      <c r="C33" s="291">
        <f>B33/'- 3 -'!$D33*100</f>
        <v>0.25291477582805638</v>
      </c>
      <c r="D33" s="285">
        <f>B33/'- 7 -'!$E33</f>
        <v>34.832879425600396</v>
      </c>
    </row>
    <row r="34" spans="1:5" ht="14.1" customHeight="1" x14ac:dyDescent="0.2">
      <c r="A34" s="19" t="s">
        <v>132</v>
      </c>
      <c r="B34" s="20">
        <v>23050</v>
      </c>
      <c r="C34" s="70">
        <f>B34/'- 3 -'!$D34*100</f>
        <v>7.9263406708896006E-2</v>
      </c>
      <c r="D34" s="20">
        <f>B34/'- 7 -'!$E34</f>
        <v>11.32733795272495</v>
      </c>
    </row>
    <row r="35" spans="1:5" ht="14.1" customHeight="1" x14ac:dyDescent="0.2">
      <c r="A35" s="284" t="s">
        <v>133</v>
      </c>
      <c r="B35" s="285">
        <v>776107</v>
      </c>
      <c r="C35" s="291">
        <f>B35/'- 3 -'!$D35*100</f>
        <v>0.42122045096124477</v>
      </c>
      <c r="D35" s="285">
        <f>B35/'- 7 -'!$E35</f>
        <v>49.724948744233728</v>
      </c>
    </row>
    <row r="36" spans="1:5" ht="14.1" customHeight="1" x14ac:dyDescent="0.2">
      <c r="A36" s="19" t="s">
        <v>134</v>
      </c>
      <c r="B36" s="20">
        <v>33889</v>
      </c>
      <c r="C36" s="70">
        <f>B36/'- 3 -'!$D36*100</f>
        <v>0.14456415075248097</v>
      </c>
      <c r="D36" s="20">
        <f>B36/'- 7 -'!$E36</f>
        <v>20.323238380809595</v>
      </c>
    </row>
    <row r="37" spans="1:5" ht="14.1" customHeight="1" x14ac:dyDescent="0.2">
      <c r="A37" s="284" t="s">
        <v>135</v>
      </c>
      <c r="B37" s="285">
        <v>228562</v>
      </c>
      <c r="C37" s="291">
        <f>B37/'- 3 -'!$D37*100</f>
        <v>0.455410291074686</v>
      </c>
      <c r="D37" s="285">
        <f>B37/'- 7 -'!$E37</f>
        <v>54.640688501075786</v>
      </c>
    </row>
    <row r="38" spans="1:5" ht="14.1" customHeight="1" x14ac:dyDescent="0.2">
      <c r="A38" s="19" t="s">
        <v>136</v>
      </c>
      <c r="B38" s="20">
        <v>541415</v>
      </c>
      <c r="C38" s="70">
        <f>B38/'- 3 -'!$D38*100</f>
        <v>0.39902292061532901</v>
      </c>
      <c r="D38" s="20">
        <f>B38/'- 7 -'!$E38</f>
        <v>49.247303025341559</v>
      </c>
    </row>
    <row r="39" spans="1:5" ht="14.1" customHeight="1" x14ac:dyDescent="0.2">
      <c r="A39" s="284" t="s">
        <v>137</v>
      </c>
      <c r="B39" s="285">
        <v>60703</v>
      </c>
      <c r="C39" s="291">
        <f>B39/'- 3 -'!$D39*100</f>
        <v>0.28291870236498556</v>
      </c>
      <c r="D39" s="285">
        <f>B39/'- 7 -'!$E39</f>
        <v>40.468666666666664</v>
      </c>
    </row>
    <row r="40" spans="1:5" ht="14.1" customHeight="1" x14ac:dyDescent="0.2">
      <c r="A40" s="19" t="s">
        <v>138</v>
      </c>
      <c r="B40" s="20">
        <v>436800</v>
      </c>
      <c r="C40" s="70">
        <f>B40/'- 3 -'!$D40*100</f>
        <v>0.41861569023933975</v>
      </c>
      <c r="D40" s="20">
        <f>B40/'- 7 -'!$E40</f>
        <v>52.878795215728054</v>
      </c>
    </row>
    <row r="41" spans="1:5" ht="14.1" customHeight="1" x14ac:dyDescent="0.2">
      <c r="A41" s="284" t="s">
        <v>139</v>
      </c>
      <c r="B41" s="285">
        <v>125190</v>
      </c>
      <c r="C41" s="291">
        <f>B41/'- 3 -'!$D41*100</f>
        <v>0.19985509029270668</v>
      </c>
      <c r="D41" s="285">
        <f>B41/'- 7 -'!$E41</f>
        <v>28.078950319614219</v>
      </c>
    </row>
    <row r="42" spans="1:5" ht="14.1" customHeight="1" x14ac:dyDescent="0.2">
      <c r="A42" s="19" t="s">
        <v>140</v>
      </c>
      <c r="B42" s="20">
        <v>41192</v>
      </c>
      <c r="C42" s="70">
        <f>B42/'- 3 -'!$D42*100</f>
        <v>0.20330501942088078</v>
      </c>
      <c r="D42" s="20">
        <f>B42/'- 7 -'!$E42</f>
        <v>29.879587987813725</v>
      </c>
    </row>
    <row r="43" spans="1:5" ht="14.1" customHeight="1" x14ac:dyDescent="0.2">
      <c r="A43" s="284" t="s">
        <v>141</v>
      </c>
      <c r="B43" s="285">
        <v>28949</v>
      </c>
      <c r="C43" s="291">
        <f>B43/'- 3 -'!$D43*100</f>
        <v>0.21852170957967348</v>
      </c>
      <c r="D43" s="285">
        <f>B43/'- 7 -'!$E43</f>
        <v>30.070634673314636</v>
      </c>
    </row>
    <row r="44" spans="1:5" ht="14.1" customHeight="1" x14ac:dyDescent="0.2">
      <c r="A44" s="19" t="s">
        <v>142</v>
      </c>
      <c r="B44" s="20">
        <v>5008</v>
      </c>
      <c r="C44" s="70">
        <f>B44/'- 3 -'!$D44*100</f>
        <v>4.6334191089494658E-2</v>
      </c>
      <c r="D44" s="20">
        <f>B44/'- 7 -'!$E44</f>
        <v>7.2213410237923572</v>
      </c>
    </row>
    <row r="45" spans="1:5" ht="14.1" customHeight="1" x14ac:dyDescent="0.2">
      <c r="A45" s="284" t="s">
        <v>143</v>
      </c>
      <c r="B45" s="285">
        <v>67339</v>
      </c>
      <c r="C45" s="291">
        <f>B45/'- 3 -'!$D45*100</f>
        <v>0.34960587504420759</v>
      </c>
      <c r="D45" s="285">
        <f>B45/'- 7 -'!$E45</f>
        <v>39.963798219584568</v>
      </c>
    </row>
    <row r="46" spans="1:5" ht="14.1" customHeight="1" x14ac:dyDescent="0.2">
      <c r="A46" s="19" t="s">
        <v>144</v>
      </c>
      <c r="B46" s="20">
        <v>1267764</v>
      </c>
      <c r="C46" s="70">
        <f>B46/'- 3 -'!$D46*100</f>
        <v>0.32401558711045036</v>
      </c>
      <c r="D46" s="20">
        <f>B46/'- 7 -'!$E46</f>
        <v>42.429934067405199</v>
      </c>
    </row>
    <row r="47" spans="1:5" ht="5.0999999999999996" customHeight="1" x14ac:dyDescent="0.2">
      <c r="A47" s="21"/>
      <c r="B47" s="22"/>
      <c r="C47"/>
      <c r="D47" s="22"/>
    </row>
    <row r="48" spans="1:5" ht="14.1" customHeight="1" x14ac:dyDescent="0.2">
      <c r="A48" s="286" t="s">
        <v>145</v>
      </c>
      <c r="B48" s="287">
        <f>SUM(B11:B46)</f>
        <v>7989236</v>
      </c>
      <c r="C48" s="294">
        <f>B48/'- 3 -'!$D48*100</f>
        <v>0.3484166442068965</v>
      </c>
      <c r="D48" s="287">
        <f>B48/'- 7 -'!$E48</f>
        <v>45.383746737949359</v>
      </c>
      <c r="E48" s="6"/>
    </row>
    <row r="49" spans="1:4" ht="5.0999999999999996" customHeight="1" x14ac:dyDescent="0.2">
      <c r="A49" s="21" t="s">
        <v>7</v>
      </c>
      <c r="B49" s="22"/>
      <c r="C49"/>
      <c r="D49" s="22"/>
    </row>
    <row r="50" spans="1:4" ht="14.1" customHeight="1" x14ac:dyDescent="0.2">
      <c r="A50" s="19" t="s">
        <v>146</v>
      </c>
      <c r="B50" s="20">
        <v>515</v>
      </c>
      <c r="C50" s="70">
        <f>B50/'- 3 -'!$D50*100</f>
        <v>1.6060715116594553E-2</v>
      </c>
      <c r="D50" s="20">
        <f>B50/'- 7 -'!$E50</f>
        <v>3.3225806451612905</v>
      </c>
    </row>
    <row r="51" spans="1:4" ht="14.1" customHeight="1" x14ac:dyDescent="0.2">
      <c r="A51" s="284" t="s">
        <v>609</v>
      </c>
      <c r="B51" s="285">
        <v>1281825</v>
      </c>
      <c r="C51" s="291">
        <f>B51/'- 3 -'!$D51*100</f>
        <v>4.4174888757648043</v>
      </c>
      <c r="D51" s="285">
        <f>B51/'- 7 -'!$E51</f>
        <v>1083.9957716701904</v>
      </c>
    </row>
    <row r="52" spans="1:4" ht="50.1" customHeight="1" x14ac:dyDescent="0.2"/>
  </sheetData>
  <mergeCells count="2">
    <mergeCell ref="D8:D9"/>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J52"/>
  <sheetViews>
    <sheetView showGridLines="0" showZeros="0" workbookViewId="0"/>
  </sheetViews>
  <sheetFormatPr defaultColWidth="15.83203125" defaultRowHeight="12" x14ac:dyDescent="0.2"/>
  <cols>
    <col min="1" max="1" width="32.83203125" style="2" customWidth="1"/>
    <col min="2" max="2" width="15.83203125" style="2" customWidth="1"/>
    <col min="3" max="3" width="7.83203125" style="2" customWidth="1"/>
    <col min="4" max="4" width="9.83203125" style="2" customWidth="1"/>
    <col min="5" max="5" width="15.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row>
    <row r="2" spans="1:10" ht="15.95" customHeight="1" x14ac:dyDescent="0.2">
      <c r="A2" s="134"/>
      <c r="B2" s="9" t="s">
        <v>263</v>
      </c>
      <c r="C2" s="10"/>
      <c r="D2" s="10"/>
      <c r="E2" s="10"/>
      <c r="F2" s="10"/>
      <c r="G2" s="10"/>
      <c r="H2" s="73"/>
      <c r="I2" s="135"/>
      <c r="J2" s="395" t="s">
        <v>408</v>
      </c>
    </row>
    <row r="3" spans="1:10" ht="15.95" customHeight="1" x14ac:dyDescent="0.2">
      <c r="A3" s="541"/>
      <c r="B3" s="11" t="str">
        <f>OPYEAR</f>
        <v>OPERATING FUND 2016/2017 ACTUAL</v>
      </c>
      <c r="C3" s="12"/>
      <c r="D3" s="12"/>
      <c r="E3" s="12"/>
      <c r="F3" s="12"/>
      <c r="G3" s="12"/>
      <c r="H3" s="75"/>
      <c r="I3" s="12"/>
      <c r="J3" s="12"/>
    </row>
    <row r="4" spans="1:10" ht="15.95" customHeight="1" x14ac:dyDescent="0.2">
      <c r="B4" s="8"/>
      <c r="C4" s="8"/>
      <c r="D4" s="8"/>
      <c r="E4" s="8"/>
      <c r="F4" s="8"/>
      <c r="G4" s="8"/>
    </row>
    <row r="5" spans="1:10" ht="15.95" customHeight="1" x14ac:dyDescent="0.2">
      <c r="B5" s="393" t="s">
        <v>249</v>
      </c>
      <c r="C5" s="166"/>
      <c r="D5" s="166"/>
      <c r="E5" s="166"/>
      <c r="F5" s="166"/>
      <c r="G5" s="166"/>
      <c r="H5" s="39"/>
      <c r="I5" s="39"/>
      <c r="J5" s="183"/>
    </row>
    <row r="6" spans="1:10" ht="15.95" customHeight="1" x14ac:dyDescent="0.2">
      <c r="B6" s="643" t="s">
        <v>495</v>
      </c>
      <c r="C6" s="651"/>
      <c r="D6" s="644"/>
      <c r="E6" s="643" t="s">
        <v>496</v>
      </c>
      <c r="F6" s="651"/>
      <c r="G6" s="644"/>
      <c r="H6" s="643" t="s">
        <v>497</v>
      </c>
      <c r="I6" s="651"/>
      <c r="J6" s="644"/>
    </row>
    <row r="7" spans="1:10" ht="15.95" customHeight="1" x14ac:dyDescent="0.2">
      <c r="B7" s="645"/>
      <c r="C7" s="652"/>
      <c r="D7" s="646"/>
      <c r="E7" s="645"/>
      <c r="F7" s="652"/>
      <c r="G7" s="646"/>
      <c r="H7" s="645"/>
      <c r="I7" s="652"/>
      <c r="J7" s="646"/>
    </row>
    <row r="8" spans="1:10" ht="15.95" customHeight="1" x14ac:dyDescent="0.2">
      <c r="A8" s="67"/>
      <c r="B8" s="137"/>
      <c r="C8" s="138"/>
      <c r="D8" s="596" t="s">
        <v>477</v>
      </c>
      <c r="E8" s="137"/>
      <c r="F8" s="139"/>
      <c r="G8" s="596" t="s">
        <v>477</v>
      </c>
      <c r="H8" s="137"/>
      <c r="I8" s="139"/>
      <c r="J8" s="596" t="s">
        <v>477</v>
      </c>
    </row>
    <row r="9" spans="1:10" ht="15.95" customHeight="1" x14ac:dyDescent="0.2">
      <c r="A9" s="35" t="s">
        <v>42</v>
      </c>
      <c r="B9" s="77" t="s">
        <v>43</v>
      </c>
      <c r="C9" s="77" t="s">
        <v>44</v>
      </c>
      <c r="D9" s="598"/>
      <c r="E9" s="77" t="s">
        <v>43</v>
      </c>
      <c r="F9" s="77" t="s">
        <v>44</v>
      </c>
      <c r="G9" s="598"/>
      <c r="H9" s="77" t="s">
        <v>43</v>
      </c>
      <c r="I9" s="77" t="s">
        <v>44</v>
      </c>
      <c r="J9" s="598"/>
    </row>
    <row r="10" spans="1:10" ht="5.0999999999999996" customHeight="1" x14ac:dyDescent="0.2">
      <c r="A10" s="6"/>
    </row>
    <row r="11" spans="1:10" ht="14.1" customHeight="1" x14ac:dyDescent="0.2">
      <c r="A11" s="284" t="s">
        <v>110</v>
      </c>
      <c r="B11" s="285">
        <v>0</v>
      </c>
      <c r="C11" s="291">
        <f>B11/'- 3 -'!$D11*100</f>
        <v>0</v>
      </c>
      <c r="D11" s="285">
        <f>B11/'- 7 -'!$E11</f>
        <v>0</v>
      </c>
      <c r="E11" s="285">
        <v>135245</v>
      </c>
      <c r="F11" s="291">
        <f>E11/'- 3 -'!$D11*100</f>
        <v>0.70742902210759506</v>
      </c>
      <c r="G11" s="285">
        <f>E11/'- 7 -'!$E11</f>
        <v>76.582672706681763</v>
      </c>
      <c r="H11" s="285">
        <v>223280</v>
      </c>
      <c r="I11" s="291">
        <f>H11/'- 3 -'!$D11*100</f>
        <v>1.167915649792479</v>
      </c>
      <c r="J11" s="285">
        <f>H11/'- 7 -'!$E11</f>
        <v>126.4326160815402</v>
      </c>
    </row>
    <row r="12" spans="1:10" ht="14.1" customHeight="1" x14ac:dyDescent="0.2">
      <c r="A12" s="19" t="s">
        <v>111</v>
      </c>
      <c r="B12" s="20">
        <v>0</v>
      </c>
      <c r="C12" s="70">
        <f>B12/'- 3 -'!$D12*100</f>
        <v>0</v>
      </c>
      <c r="D12" s="20">
        <f>B12/'- 7 -'!$E12</f>
        <v>0</v>
      </c>
      <c r="E12" s="20">
        <v>0</v>
      </c>
      <c r="F12" s="70">
        <f>E12/'- 3 -'!$D12*100</f>
        <v>0</v>
      </c>
      <c r="G12" s="20">
        <f>E12/'- 7 -'!$E12</f>
        <v>0</v>
      </c>
      <c r="H12" s="20">
        <v>274926</v>
      </c>
      <c r="I12" s="70">
        <f>H12/'- 3 -'!$D12*100</f>
        <v>0.82267022838116244</v>
      </c>
      <c r="J12" s="20">
        <f>H12/'- 7 -'!$E12</f>
        <v>129.70960817154582</v>
      </c>
    </row>
    <row r="13" spans="1:10" ht="14.1" customHeight="1" x14ac:dyDescent="0.2">
      <c r="A13" s="284" t="s">
        <v>112</v>
      </c>
      <c r="B13" s="285">
        <v>85508</v>
      </c>
      <c r="C13" s="291">
        <f>B13/'- 3 -'!$D13*100</f>
        <v>8.9152552792036335E-2</v>
      </c>
      <c r="D13" s="285">
        <f>B13/'- 7 -'!$E13</f>
        <v>10.211739416014808</v>
      </c>
      <c r="E13" s="285">
        <v>470564</v>
      </c>
      <c r="F13" s="291">
        <f>E13/'- 3 -'!$D13*100</f>
        <v>0.4906205483935045</v>
      </c>
      <c r="G13" s="285">
        <f>E13/'- 7 -'!$E13</f>
        <v>56.196811369200454</v>
      </c>
      <c r="H13" s="285">
        <v>1043318</v>
      </c>
      <c r="I13" s="291">
        <f>H13/'- 3 -'!$D13*100</f>
        <v>1.0877866757950339</v>
      </c>
      <c r="J13" s="285">
        <f>H13/'- 7 -'!$E13</f>
        <v>124.59759957007225</v>
      </c>
    </row>
    <row r="14" spans="1:10" ht="14.1" customHeight="1" x14ac:dyDescent="0.2">
      <c r="A14" s="19" t="s">
        <v>359</v>
      </c>
      <c r="B14" s="20">
        <v>166781</v>
      </c>
      <c r="C14" s="70">
        <f>B14/'- 3 -'!$D14*100</f>
        <v>0.20109149901335177</v>
      </c>
      <c r="D14" s="20">
        <f>B14/'- 7 -'!$E14</f>
        <v>30.417060297566721</v>
      </c>
      <c r="E14" s="20">
        <v>1463359</v>
      </c>
      <c r="F14" s="70">
        <f>E14/'- 3 -'!$D14*100</f>
        <v>1.7644039483195293</v>
      </c>
      <c r="G14" s="20">
        <f>E14/'- 7 -'!$E14</f>
        <v>266.88339163326123</v>
      </c>
      <c r="H14" s="20">
        <v>787147</v>
      </c>
      <c r="I14" s="70">
        <f>H14/'- 3 -'!$D14*100</f>
        <v>0.94908035192175844</v>
      </c>
      <c r="J14" s="20">
        <f>H14/'- 7 -'!$E14</f>
        <v>143.55770598598613</v>
      </c>
    </row>
    <row r="15" spans="1:10" ht="14.1" customHeight="1" x14ac:dyDescent="0.2">
      <c r="A15" s="284" t="s">
        <v>113</v>
      </c>
      <c r="B15" s="285">
        <v>65833</v>
      </c>
      <c r="C15" s="291">
        <f>B15/'- 3 -'!$D15*100</f>
        <v>0.33732252112678729</v>
      </c>
      <c r="D15" s="285">
        <f>B15/'- 7 -'!$E15</f>
        <v>47.05045740423099</v>
      </c>
      <c r="E15" s="285">
        <v>95268</v>
      </c>
      <c r="F15" s="291">
        <f>E15/'- 3 -'!$D15*100</f>
        <v>0.48814488087595531</v>
      </c>
      <c r="G15" s="285">
        <f>E15/'- 7 -'!$E15</f>
        <v>68.087478559176674</v>
      </c>
      <c r="H15" s="285">
        <v>191156</v>
      </c>
      <c r="I15" s="291">
        <f>H15/'- 3 -'!$D15*100</f>
        <v>0.97946658740315873</v>
      </c>
      <c r="J15" s="285">
        <f>H15/'- 7 -'!$E15</f>
        <v>136.61806746712406</v>
      </c>
    </row>
    <row r="16" spans="1:10" ht="14.1" customHeight="1" x14ac:dyDescent="0.2">
      <c r="A16" s="19" t="s">
        <v>114</v>
      </c>
      <c r="B16" s="20">
        <v>0</v>
      </c>
      <c r="C16" s="70">
        <f>B16/'- 3 -'!$D16*100</f>
        <v>0</v>
      </c>
      <c r="D16" s="20">
        <f>B16/'- 7 -'!$E16</f>
        <v>0</v>
      </c>
      <c r="E16" s="20">
        <v>0</v>
      </c>
      <c r="F16" s="70">
        <f>E16/'- 3 -'!$D16*100</f>
        <v>0</v>
      </c>
      <c r="G16" s="20">
        <f>E16/'- 7 -'!$E16</f>
        <v>0</v>
      </c>
      <c r="H16" s="20">
        <v>166831</v>
      </c>
      <c r="I16" s="70">
        <f>H16/'- 3 -'!$D16*100</f>
        <v>1.1508287876684982</v>
      </c>
      <c r="J16" s="20">
        <f>H16/'- 7 -'!$E16</f>
        <v>184.58840451427307</v>
      </c>
    </row>
    <row r="17" spans="1:10" ht="14.1" customHeight="1" x14ac:dyDescent="0.2">
      <c r="A17" s="284" t="s">
        <v>115</v>
      </c>
      <c r="B17" s="285">
        <v>0</v>
      </c>
      <c r="C17" s="291">
        <f>B17/'- 3 -'!$D17*100</f>
        <v>0</v>
      </c>
      <c r="D17" s="285">
        <f>B17/'- 7 -'!$E17</f>
        <v>0</v>
      </c>
      <c r="E17" s="285">
        <v>115334</v>
      </c>
      <c r="F17" s="291">
        <f>E17/'- 3 -'!$D17*100</f>
        <v>0.64267410916131851</v>
      </c>
      <c r="G17" s="285">
        <f>E17/'- 7 -'!$E17</f>
        <v>82.528801431127008</v>
      </c>
      <c r="H17" s="285">
        <v>220986</v>
      </c>
      <c r="I17" s="291">
        <f>H17/'- 3 -'!$D17*100</f>
        <v>1.2313973389210737</v>
      </c>
      <c r="J17" s="285">
        <f>H17/'- 7 -'!$E17</f>
        <v>158.12951699463326</v>
      </c>
    </row>
    <row r="18" spans="1:10" ht="14.1" customHeight="1" x14ac:dyDescent="0.2">
      <c r="A18" s="19" t="s">
        <v>116</v>
      </c>
      <c r="B18" s="20">
        <v>0</v>
      </c>
      <c r="C18" s="70">
        <f>B18/'- 3 -'!$D18*100</f>
        <v>0</v>
      </c>
      <c r="D18" s="20">
        <f>B18/'- 7 -'!$E18</f>
        <v>0</v>
      </c>
      <c r="E18" s="20">
        <v>2502983</v>
      </c>
      <c r="F18" s="70">
        <f>E18/'- 3 -'!$D18*100</f>
        <v>1.9455155259411656</v>
      </c>
      <c r="G18" s="20">
        <f>E18/'- 7 -'!$E18</f>
        <v>410.66842770184911</v>
      </c>
      <c r="H18" s="20">
        <v>1875211</v>
      </c>
      <c r="I18" s="70">
        <f>H18/'- 3 -'!$D18*100</f>
        <v>1.4575616833656717</v>
      </c>
      <c r="J18" s="20">
        <f>H18/'- 7 -'!$E18</f>
        <v>307.66887069517139</v>
      </c>
    </row>
    <row r="19" spans="1:10" ht="14.1" customHeight="1" x14ac:dyDescent="0.2">
      <c r="A19" s="284" t="s">
        <v>117</v>
      </c>
      <c r="B19" s="285">
        <v>51893</v>
      </c>
      <c r="C19" s="291">
        <f>B19/'- 3 -'!$D19*100</f>
        <v>0.1124400946621008</v>
      </c>
      <c r="D19" s="285">
        <f>B19/'- 7 -'!$E19</f>
        <v>11.845012554211367</v>
      </c>
      <c r="E19" s="285">
        <v>194039</v>
      </c>
      <c r="F19" s="291">
        <f>E19/'- 3 -'!$D19*100</f>
        <v>0.42043750656426448</v>
      </c>
      <c r="G19" s="285">
        <f>E19/'- 7 -'!$E19</f>
        <v>44.291029445332114</v>
      </c>
      <c r="H19" s="285">
        <v>493697</v>
      </c>
      <c r="I19" s="291">
        <f>H19/'- 3 -'!$D19*100</f>
        <v>1.0697268882969799</v>
      </c>
      <c r="J19" s="285">
        <f>H19/'- 7 -'!$E19</f>
        <v>112.69048162519972</v>
      </c>
    </row>
    <row r="20" spans="1:10" ht="14.1" customHeight="1" x14ac:dyDescent="0.2">
      <c r="A20" s="19" t="s">
        <v>118</v>
      </c>
      <c r="B20" s="20">
        <v>28459</v>
      </c>
      <c r="C20" s="70">
        <f>B20/'- 3 -'!$D20*100</f>
        <v>3.4600828759089347E-2</v>
      </c>
      <c r="D20" s="20">
        <f>B20/'- 7 -'!$E20</f>
        <v>3.7271953375679394</v>
      </c>
      <c r="E20" s="20">
        <v>549890</v>
      </c>
      <c r="F20" s="70">
        <f>E20/'- 3 -'!$D20*100</f>
        <v>0.66856353794355527</v>
      </c>
      <c r="G20" s="20">
        <f>E20/'- 7 -'!$E20</f>
        <v>72.017549603824236</v>
      </c>
      <c r="H20" s="20">
        <v>847550</v>
      </c>
      <c r="I20" s="70">
        <f>H20/'- 3 -'!$D20*100</f>
        <v>1.0304625044719131</v>
      </c>
      <c r="J20" s="20">
        <f>H20/'- 7 -'!$E20</f>
        <v>111.00124418833083</v>
      </c>
    </row>
    <row r="21" spans="1:10" ht="14.1" customHeight="1" x14ac:dyDescent="0.2">
      <c r="A21" s="284" t="s">
        <v>119</v>
      </c>
      <c r="B21" s="285">
        <v>0</v>
      </c>
      <c r="C21" s="291">
        <f>B21/'- 3 -'!$D21*100</f>
        <v>0</v>
      </c>
      <c r="D21" s="285">
        <f>B21/'- 7 -'!$E21</f>
        <v>0</v>
      </c>
      <c r="E21" s="285">
        <v>102137</v>
      </c>
      <c r="F21" s="291">
        <f>E21/'- 3 -'!$D21*100</f>
        <v>0.28396725867544204</v>
      </c>
      <c r="G21" s="285">
        <f>E21/'- 7 -'!$E21</f>
        <v>37.247729842091829</v>
      </c>
      <c r="H21" s="285">
        <v>525234</v>
      </c>
      <c r="I21" s="291">
        <f>H21/'- 3 -'!$D21*100</f>
        <v>1.4602862737610967</v>
      </c>
      <c r="J21" s="285">
        <f>H21/'- 7 -'!$E21</f>
        <v>191.54443674555998</v>
      </c>
    </row>
    <row r="22" spans="1:10" ht="14.1" customHeight="1" x14ac:dyDescent="0.2">
      <c r="A22" s="19" t="s">
        <v>120</v>
      </c>
      <c r="B22" s="20">
        <v>19599</v>
      </c>
      <c r="C22" s="70">
        <f>B22/'- 3 -'!$D22*100</f>
        <v>9.7646952086331076E-2</v>
      </c>
      <c r="D22" s="20">
        <f>B22/'- 7 -'!$E22</f>
        <v>12.8636124967183</v>
      </c>
      <c r="E22" s="20">
        <v>71260</v>
      </c>
      <c r="F22" s="70">
        <f>E22/'- 3 -'!$D22*100</f>
        <v>0.35503453266350082</v>
      </c>
      <c r="G22" s="20">
        <f>E22/'- 7 -'!$E22</f>
        <v>46.770805985823053</v>
      </c>
      <c r="H22" s="20">
        <v>193735</v>
      </c>
      <c r="I22" s="70">
        <f>H22/'- 3 -'!$D22*100</f>
        <v>0.96523456617405756</v>
      </c>
      <c r="J22" s="20">
        <f>H22/'- 7 -'!$E22</f>
        <v>127.15607771068522</v>
      </c>
    </row>
    <row r="23" spans="1:10" ht="14.1" customHeight="1" x14ac:dyDescent="0.2">
      <c r="A23" s="284" t="s">
        <v>121</v>
      </c>
      <c r="B23" s="285">
        <v>0</v>
      </c>
      <c r="C23" s="291">
        <f>B23/'- 3 -'!$D23*100</f>
        <v>0</v>
      </c>
      <c r="D23" s="285">
        <f>B23/'- 7 -'!$E23</f>
        <v>0</v>
      </c>
      <c r="E23" s="285">
        <v>0</v>
      </c>
      <c r="F23" s="291">
        <f>E23/'- 3 -'!$D23*100</f>
        <v>0</v>
      </c>
      <c r="G23" s="285">
        <f>E23/'- 7 -'!$E23</f>
        <v>0</v>
      </c>
      <c r="H23" s="285">
        <v>142744</v>
      </c>
      <c r="I23" s="291">
        <f>H23/'- 3 -'!$D23*100</f>
        <v>0.82523637873484301</v>
      </c>
      <c r="J23" s="285">
        <f>H23/'- 7 -'!$E23</f>
        <v>128.07895917451773</v>
      </c>
    </row>
    <row r="24" spans="1:10" ht="14.1" customHeight="1" x14ac:dyDescent="0.2">
      <c r="A24" s="19" t="s">
        <v>122</v>
      </c>
      <c r="B24" s="20">
        <v>69495</v>
      </c>
      <c r="C24" s="70">
        <f>B24/'- 3 -'!$D24*100</f>
        <v>0.12122747621140822</v>
      </c>
      <c r="D24" s="20">
        <f>B24/'- 7 -'!$E24</f>
        <v>17.601246105919003</v>
      </c>
      <c r="E24" s="20">
        <v>142266</v>
      </c>
      <c r="F24" s="70">
        <f>E24/'- 3 -'!$D24*100</f>
        <v>0.2481696255945349</v>
      </c>
      <c r="G24" s="20">
        <f>E24/'- 7 -'!$E24</f>
        <v>36.032216396930323</v>
      </c>
      <c r="H24" s="20">
        <v>624176</v>
      </c>
      <c r="I24" s="70">
        <f>H24/'- 3 -'!$D24*100</f>
        <v>1.0888161909739109</v>
      </c>
      <c r="J24" s="20">
        <f>H24/'- 7 -'!$E24</f>
        <v>158.08727806904236</v>
      </c>
    </row>
    <row r="25" spans="1:10" ht="14.1" customHeight="1" x14ac:dyDescent="0.2">
      <c r="A25" s="284" t="s">
        <v>123</v>
      </c>
      <c r="B25" s="285">
        <v>199873</v>
      </c>
      <c r="C25" s="291">
        <f>B25/'- 3 -'!$D25*100</f>
        <v>0.11269718539804255</v>
      </c>
      <c r="D25" s="285">
        <f>B25/'- 7 -'!$E25</f>
        <v>13.942131292768504</v>
      </c>
      <c r="E25" s="285">
        <v>1512847</v>
      </c>
      <c r="F25" s="291">
        <f>E25/'- 3 -'!$D25*100</f>
        <v>0.85300965532049078</v>
      </c>
      <c r="G25" s="285">
        <f>E25/'- 7 -'!$E25</f>
        <v>105.52856814012375</v>
      </c>
      <c r="H25" s="285">
        <v>4163966</v>
      </c>
      <c r="I25" s="291">
        <f>H25/'- 3 -'!$D25*100</f>
        <v>2.3478271116816463</v>
      </c>
      <c r="J25" s="285">
        <f>H25/'- 7 -'!$E25</f>
        <v>290.45724370287184</v>
      </c>
    </row>
    <row r="26" spans="1:10" ht="14.1" customHeight="1" x14ac:dyDescent="0.2">
      <c r="A26" s="19" t="s">
        <v>124</v>
      </c>
      <c r="B26" s="20">
        <v>16579</v>
      </c>
      <c r="C26" s="70">
        <f>B26/'- 3 -'!$D26*100</f>
        <v>4.0449417696975229E-2</v>
      </c>
      <c r="D26" s="20">
        <f>B26/'- 7 -'!$E26</f>
        <v>5.4250654450261777</v>
      </c>
      <c r="E26" s="20">
        <v>180520</v>
      </c>
      <c r="F26" s="70">
        <f>E26/'- 3 -'!$D26*100</f>
        <v>0.4404324074225206</v>
      </c>
      <c r="G26" s="20">
        <f>E26/'- 7 -'!$E26</f>
        <v>59.07068062827225</v>
      </c>
      <c r="H26" s="20">
        <v>526834</v>
      </c>
      <c r="I26" s="70">
        <f>H26/'- 3 -'!$D26*100</f>
        <v>1.2853687510083991</v>
      </c>
      <c r="J26" s="20">
        <f>H26/'- 7 -'!$E26</f>
        <v>172.39332460732984</v>
      </c>
    </row>
    <row r="27" spans="1:10" ht="14.1" customHeight="1" x14ac:dyDescent="0.2">
      <c r="A27" s="284" t="s">
        <v>125</v>
      </c>
      <c r="B27" s="285">
        <v>0</v>
      </c>
      <c r="C27" s="291">
        <f>B27/'- 3 -'!$D27*100</f>
        <v>0</v>
      </c>
      <c r="D27" s="285">
        <f>B27/'- 7 -'!$E27</f>
        <v>0</v>
      </c>
      <c r="E27" s="285">
        <v>622347</v>
      </c>
      <c r="F27" s="291">
        <f>E27/'- 3 -'!$D27*100</f>
        <v>1.5015566827894284</v>
      </c>
      <c r="G27" s="285">
        <f>E27/'- 7 -'!$E27</f>
        <v>208.2995565224667</v>
      </c>
      <c r="H27" s="285">
        <v>1008983</v>
      </c>
      <c r="I27" s="291">
        <f>H27/'- 3 -'!$D27*100</f>
        <v>2.4344058322301314</v>
      </c>
      <c r="J27" s="285">
        <f>H27/'- 7 -'!$E27</f>
        <v>337.70663542799758</v>
      </c>
    </row>
    <row r="28" spans="1:10" ht="14.1" customHeight="1" x14ac:dyDescent="0.2">
      <c r="A28" s="19" t="s">
        <v>126</v>
      </c>
      <c r="B28" s="20">
        <v>93899</v>
      </c>
      <c r="C28" s="70">
        <f>B28/'- 3 -'!$D28*100</f>
        <v>0.33289878765762648</v>
      </c>
      <c r="D28" s="20">
        <f>B28/'- 7 -'!$E28</f>
        <v>47.834437086092713</v>
      </c>
      <c r="E28" s="20">
        <v>9074</v>
      </c>
      <c r="F28" s="70">
        <f>E28/'- 3 -'!$D28*100</f>
        <v>3.2169922993911575E-2</v>
      </c>
      <c r="G28" s="20">
        <f>E28/'- 7 -'!$E28</f>
        <v>4.6225165562913908</v>
      </c>
      <c r="H28" s="20">
        <v>282186</v>
      </c>
      <c r="I28" s="70">
        <f>H28/'- 3 -'!$D28*100</f>
        <v>1.0004300077099328</v>
      </c>
      <c r="J28" s="20">
        <f>H28/'- 7 -'!$E28</f>
        <v>143.7524197656648</v>
      </c>
    </row>
    <row r="29" spans="1:10" ht="14.1" customHeight="1" x14ac:dyDescent="0.2">
      <c r="A29" s="284" t="s">
        <v>127</v>
      </c>
      <c r="B29" s="285">
        <v>367551</v>
      </c>
      <c r="C29" s="291">
        <f>B29/'- 3 -'!$D29*100</f>
        <v>0.23074365183910509</v>
      </c>
      <c r="D29" s="285">
        <f>B29/'- 7 -'!$E29</f>
        <v>28.095074298293891</v>
      </c>
      <c r="E29" s="285">
        <v>612991</v>
      </c>
      <c r="F29" s="291">
        <f>E29/'- 3 -'!$D29*100</f>
        <v>0.38482763449019286</v>
      </c>
      <c r="G29" s="285">
        <f>E29/'- 7 -'!$E29</f>
        <v>46.856157891518379</v>
      </c>
      <c r="H29" s="285">
        <v>3621707</v>
      </c>
      <c r="I29" s="291">
        <f>H29/'- 3 -'!$D29*100</f>
        <v>2.2736597072821181</v>
      </c>
      <c r="J29" s="285">
        <f>H29/'- 7 -'!$E29</f>
        <v>276.83811838806338</v>
      </c>
    </row>
    <row r="30" spans="1:10" ht="14.1" customHeight="1" x14ac:dyDescent="0.2">
      <c r="A30" s="19" t="s">
        <v>128</v>
      </c>
      <c r="B30" s="20">
        <v>0</v>
      </c>
      <c r="C30" s="70">
        <f>B30/'- 3 -'!$D30*100</f>
        <v>0</v>
      </c>
      <c r="D30" s="20">
        <f>B30/'- 7 -'!$E30</f>
        <v>0</v>
      </c>
      <c r="E30" s="20">
        <v>0</v>
      </c>
      <c r="F30" s="70">
        <f>E30/'- 3 -'!$D30*100</f>
        <v>0</v>
      </c>
      <c r="G30" s="20">
        <f>E30/'- 7 -'!$E30</f>
        <v>0</v>
      </c>
      <c r="H30" s="20">
        <v>412803</v>
      </c>
      <c r="I30" s="70">
        <f>H30/'- 3 -'!$D30*100</f>
        <v>2.9273320625627588</v>
      </c>
      <c r="J30" s="20">
        <f>H30/'- 7 -'!$E30</f>
        <v>413.15713468687449</v>
      </c>
    </row>
    <row r="31" spans="1:10" ht="14.1" customHeight="1" x14ac:dyDescent="0.2">
      <c r="A31" s="284" t="s">
        <v>129</v>
      </c>
      <c r="B31" s="285">
        <v>0</v>
      </c>
      <c r="C31" s="291">
        <f>B31/'- 3 -'!$D31*100</f>
        <v>0</v>
      </c>
      <c r="D31" s="285">
        <f>B31/'- 7 -'!$E31</f>
        <v>0</v>
      </c>
      <c r="E31" s="285">
        <v>98994</v>
      </c>
      <c r="F31" s="291">
        <f>E31/'- 3 -'!$D31*100</f>
        <v>0.26384715127753738</v>
      </c>
      <c r="G31" s="285">
        <f>E31/'- 7 -'!$E31</f>
        <v>30.431601598524438</v>
      </c>
      <c r="H31" s="285">
        <v>498371</v>
      </c>
      <c r="I31" s="291">
        <f>H31/'- 3 -'!$D31*100</f>
        <v>1.3283003881986544</v>
      </c>
      <c r="J31" s="285">
        <f>H31/'- 7 -'!$E31</f>
        <v>153.20350445742392</v>
      </c>
    </row>
    <row r="32" spans="1:10" ht="14.1" customHeight="1" x14ac:dyDescent="0.2">
      <c r="A32" s="19" t="s">
        <v>130</v>
      </c>
      <c r="B32" s="20">
        <v>39262</v>
      </c>
      <c r="C32" s="70">
        <f>B32/'- 3 -'!$D32*100</f>
        <v>0.1340131772001199</v>
      </c>
      <c r="D32" s="20">
        <f>B32/'- 7 -'!$E32</f>
        <v>18.234255991083042</v>
      </c>
      <c r="E32" s="20">
        <v>0</v>
      </c>
      <c r="F32" s="70">
        <f>E32/'- 3 -'!$D32*100</f>
        <v>0</v>
      </c>
      <c r="G32" s="20">
        <f>E32/'- 7 -'!$E32</f>
        <v>0</v>
      </c>
      <c r="H32" s="20">
        <v>310636</v>
      </c>
      <c r="I32" s="70">
        <f>H32/'- 3 -'!$D32*100</f>
        <v>1.060295382627896</v>
      </c>
      <c r="J32" s="20">
        <f>H32/'- 7 -'!$E32</f>
        <v>144.26713728404238</v>
      </c>
    </row>
    <row r="33" spans="1:10" ht="14.1" customHeight="1" x14ac:dyDescent="0.2">
      <c r="A33" s="284" t="s">
        <v>131</v>
      </c>
      <c r="B33" s="285">
        <v>0</v>
      </c>
      <c r="C33" s="291">
        <f>B33/'- 3 -'!$D33*100</f>
        <v>0</v>
      </c>
      <c r="D33" s="285">
        <f>B33/'- 7 -'!$E33</f>
        <v>0</v>
      </c>
      <c r="E33" s="285">
        <v>91834</v>
      </c>
      <c r="F33" s="291">
        <f>E33/'- 3 -'!$D33*100</f>
        <v>0.33017521534428496</v>
      </c>
      <c r="G33" s="285">
        <f>E33/'- 7 -'!$E33</f>
        <v>45.473632087150285</v>
      </c>
      <c r="H33" s="285">
        <v>387046</v>
      </c>
      <c r="I33" s="291">
        <f>H33/'- 3 -'!$D33*100</f>
        <v>1.3915651762761518</v>
      </c>
      <c r="J33" s="285">
        <f>H33/'- 7 -'!$E33</f>
        <v>191.65436989353802</v>
      </c>
    </row>
    <row r="34" spans="1:10" ht="14.1" customHeight="1" x14ac:dyDescent="0.2">
      <c r="A34" s="19" t="s">
        <v>132</v>
      </c>
      <c r="B34" s="20">
        <v>7686</v>
      </c>
      <c r="C34" s="70">
        <f>B34/'- 3 -'!$D34*100</f>
        <v>2.6430305594992397E-2</v>
      </c>
      <c r="D34" s="20">
        <f>B34/'- 7 -'!$E34</f>
        <v>3.7770897832817334</v>
      </c>
      <c r="E34" s="20">
        <v>152115</v>
      </c>
      <c r="F34" s="70">
        <f>E34/'- 3 -'!$D34*100</f>
        <v>0.52308690288606141</v>
      </c>
      <c r="G34" s="20">
        <f>E34/'- 7 -'!$E34</f>
        <v>74.753059118384186</v>
      </c>
      <c r="H34" s="20">
        <v>223930</v>
      </c>
      <c r="I34" s="70">
        <f>H34/'- 3 -'!$D34*100</f>
        <v>0.77004141710729213</v>
      </c>
      <c r="J34" s="20">
        <f>H34/'- 7 -'!$E34</f>
        <v>110.04471964224285</v>
      </c>
    </row>
    <row r="35" spans="1:10" ht="14.1" customHeight="1" x14ac:dyDescent="0.2">
      <c r="A35" s="284" t="s">
        <v>133</v>
      </c>
      <c r="B35" s="285">
        <v>388362</v>
      </c>
      <c r="C35" s="291">
        <f>B35/'- 3 -'!$D35*100</f>
        <v>0.21077765923540304</v>
      </c>
      <c r="D35" s="285">
        <f>B35/'- 7 -'!$E35</f>
        <v>24.882239876986162</v>
      </c>
      <c r="E35" s="285">
        <v>681288</v>
      </c>
      <c r="F35" s="291">
        <f>E35/'- 3 -'!$D35*100</f>
        <v>0.36975885875850178</v>
      </c>
      <c r="G35" s="285">
        <f>E35/'- 7 -'!$E35</f>
        <v>43.649923116350593</v>
      </c>
      <c r="H35" s="285">
        <v>4128785</v>
      </c>
      <c r="I35" s="291">
        <f>H35/'- 3 -'!$D35*100</f>
        <v>2.240836224414962</v>
      </c>
      <c r="J35" s="285">
        <f>H35/'- 7 -'!$E35</f>
        <v>264.53004869297797</v>
      </c>
    </row>
    <row r="36" spans="1:10" ht="14.1" customHeight="1" x14ac:dyDescent="0.2">
      <c r="A36" s="19" t="s">
        <v>134</v>
      </c>
      <c r="B36" s="20">
        <v>16745</v>
      </c>
      <c r="C36" s="70">
        <f>B36/'- 3 -'!$D36*100</f>
        <v>7.1431045600350962E-2</v>
      </c>
      <c r="D36" s="20">
        <f>B36/'- 7 -'!$E36</f>
        <v>10.041979010494753</v>
      </c>
      <c r="E36" s="20">
        <v>226365</v>
      </c>
      <c r="F36" s="70">
        <f>E36/'- 3 -'!$D36*100</f>
        <v>0.96563085322922926</v>
      </c>
      <c r="G36" s="20">
        <f>E36/'- 7 -'!$E36</f>
        <v>135.7511244377811</v>
      </c>
      <c r="H36" s="20">
        <v>291528</v>
      </c>
      <c r="I36" s="70">
        <f>H36/'- 3 -'!$D36*100</f>
        <v>1.2436040526592484</v>
      </c>
      <c r="J36" s="20">
        <f>H36/'- 7 -'!$E36</f>
        <v>174.82938530734631</v>
      </c>
    </row>
    <row r="37" spans="1:10" ht="14.1" customHeight="1" x14ac:dyDescent="0.2">
      <c r="A37" s="284" t="s">
        <v>135</v>
      </c>
      <c r="B37" s="285">
        <v>48044</v>
      </c>
      <c r="C37" s="291">
        <f>B37/'- 3 -'!$D37*100</f>
        <v>9.5727776377491497E-2</v>
      </c>
      <c r="D37" s="285">
        <f>B37/'- 7 -'!$E37</f>
        <v>11.485536696151089</v>
      </c>
      <c r="E37" s="285">
        <v>492916</v>
      </c>
      <c r="F37" s="291">
        <f>E37/'- 3 -'!$D37*100</f>
        <v>0.98213622139887613</v>
      </c>
      <c r="G37" s="285">
        <f>E37/'- 7 -'!$E37</f>
        <v>117.83791537174277</v>
      </c>
      <c r="H37" s="285">
        <v>509954</v>
      </c>
      <c r="I37" s="291">
        <f>H37/'- 3 -'!$D37*100</f>
        <v>1.0160844741238719</v>
      </c>
      <c r="J37" s="285">
        <f>H37/'- 7 -'!$E37</f>
        <v>121.9110686110447</v>
      </c>
    </row>
    <row r="38" spans="1:10" ht="14.1" customHeight="1" x14ac:dyDescent="0.2">
      <c r="A38" s="19" t="s">
        <v>136</v>
      </c>
      <c r="B38" s="20">
        <v>81160</v>
      </c>
      <c r="C38" s="70">
        <f>B38/'- 3 -'!$D38*100</f>
        <v>5.9814929835967062E-2</v>
      </c>
      <c r="D38" s="20">
        <f>B38/'- 7 -'!$E38</f>
        <v>7.382342775018647</v>
      </c>
      <c r="E38" s="20">
        <v>417101</v>
      </c>
      <c r="F38" s="70">
        <f>E38/'- 3 -'!$D38*100</f>
        <v>0.30740348754942948</v>
      </c>
      <c r="G38" s="20">
        <f>E38/'- 7 -'!$E38</f>
        <v>37.93965689752406</v>
      </c>
      <c r="H38" s="20">
        <v>1753832</v>
      </c>
      <c r="I38" s="70">
        <f>H38/'- 3 -'!$D38*100</f>
        <v>1.2925743965509338</v>
      </c>
      <c r="J38" s="20">
        <f>H38/'- 7 -'!$E38</f>
        <v>159.52918917935565</v>
      </c>
    </row>
    <row r="39" spans="1:10" ht="14.1" customHeight="1" x14ac:dyDescent="0.2">
      <c r="A39" s="284" t="s">
        <v>137</v>
      </c>
      <c r="B39" s="285">
        <v>0</v>
      </c>
      <c r="C39" s="291">
        <f>B39/'- 3 -'!$D39*100</f>
        <v>0</v>
      </c>
      <c r="D39" s="285">
        <f>B39/'- 7 -'!$E39</f>
        <v>0</v>
      </c>
      <c r="E39" s="285">
        <v>105314</v>
      </c>
      <c r="F39" s="291">
        <f>E39/'- 3 -'!$D39*100</f>
        <v>0.49083735928810923</v>
      </c>
      <c r="G39" s="285">
        <f>E39/'- 7 -'!$E39</f>
        <v>70.209333333333333</v>
      </c>
      <c r="H39" s="285">
        <v>213818</v>
      </c>
      <c r="I39" s="291">
        <f>H39/'- 3 -'!$D39*100</f>
        <v>0.99654236367686089</v>
      </c>
      <c r="J39" s="285">
        <f>H39/'- 7 -'!$E39</f>
        <v>142.54533333333333</v>
      </c>
    </row>
    <row r="40" spans="1:10" ht="14.1" customHeight="1" x14ac:dyDescent="0.2">
      <c r="A40" s="19" t="s">
        <v>138</v>
      </c>
      <c r="B40" s="20">
        <v>34779</v>
      </c>
      <c r="C40" s="70">
        <f>B40/'- 3 -'!$D40*100</f>
        <v>3.3331124292202377E-2</v>
      </c>
      <c r="D40" s="20">
        <f>B40/'- 7 -'!$E40</f>
        <v>4.2103287976369188</v>
      </c>
      <c r="E40" s="20">
        <v>1134863</v>
      </c>
      <c r="F40" s="70">
        <f>E40/'- 3 -'!$D40*100</f>
        <v>1.0876178069415932</v>
      </c>
      <c r="G40" s="20">
        <f>E40/'- 7 -'!$E40</f>
        <v>137.38596193888915</v>
      </c>
      <c r="H40" s="20">
        <v>1254321</v>
      </c>
      <c r="I40" s="70">
        <f>H40/'- 3 -'!$D40*100</f>
        <v>1.202102681311124</v>
      </c>
      <c r="J40" s="20">
        <f>H40/'- 7 -'!$E40</f>
        <v>151.84748922570336</v>
      </c>
    </row>
    <row r="41" spans="1:10" ht="14.1" customHeight="1" x14ac:dyDescent="0.2">
      <c r="A41" s="284" t="s">
        <v>139</v>
      </c>
      <c r="B41" s="285">
        <v>43085</v>
      </c>
      <c r="C41" s="291">
        <f>B41/'- 3 -'!$D41*100</f>
        <v>6.8781504635044871E-2</v>
      </c>
      <c r="D41" s="285">
        <f>B41/'- 7 -'!$E41</f>
        <v>9.6635639789166756</v>
      </c>
      <c r="E41" s="285">
        <v>460232</v>
      </c>
      <c r="F41" s="291">
        <f>E41/'- 3 -'!$D41*100</f>
        <v>0.73472088757562892</v>
      </c>
      <c r="G41" s="285">
        <f>E41/'- 7 -'!$E41</f>
        <v>103.22574857014691</v>
      </c>
      <c r="H41" s="285">
        <v>601296</v>
      </c>
      <c r="I41" s="291">
        <f>H41/'- 3 -'!$D41*100</f>
        <v>0.95991745644734694</v>
      </c>
      <c r="J41" s="285">
        <f>H41/'- 7 -'!$E41</f>
        <v>134.86508915554558</v>
      </c>
    </row>
    <row r="42" spans="1:10" ht="14.1" customHeight="1" x14ac:dyDescent="0.2">
      <c r="A42" s="19" t="s">
        <v>140</v>
      </c>
      <c r="B42" s="20">
        <v>0</v>
      </c>
      <c r="C42" s="70">
        <f>B42/'- 3 -'!$D42*100</f>
        <v>0</v>
      </c>
      <c r="D42" s="20">
        <f>B42/'- 7 -'!$E42</f>
        <v>0</v>
      </c>
      <c r="E42" s="20">
        <v>0</v>
      </c>
      <c r="F42" s="70">
        <f>E42/'- 3 -'!$D42*100</f>
        <v>0</v>
      </c>
      <c r="G42" s="20">
        <f>E42/'- 7 -'!$E42</f>
        <v>0</v>
      </c>
      <c r="H42" s="20">
        <v>226105</v>
      </c>
      <c r="I42" s="70">
        <f>H42/'- 3 -'!$D42*100</f>
        <v>1.1159516754748069</v>
      </c>
      <c r="J42" s="20">
        <f>H42/'- 7 -'!$E42</f>
        <v>164.01059045408385</v>
      </c>
    </row>
    <row r="43" spans="1:10" ht="14.1" customHeight="1" x14ac:dyDescent="0.2">
      <c r="A43" s="284" t="s">
        <v>141</v>
      </c>
      <c r="B43" s="285">
        <v>0</v>
      </c>
      <c r="C43" s="291">
        <f>B43/'- 3 -'!$D43*100</f>
        <v>0</v>
      </c>
      <c r="D43" s="285">
        <f>B43/'- 7 -'!$E43</f>
        <v>0</v>
      </c>
      <c r="E43" s="285">
        <v>44156</v>
      </c>
      <c r="F43" s="291">
        <f>E43/'- 3 -'!$D43*100</f>
        <v>0.33331184525199709</v>
      </c>
      <c r="G43" s="285">
        <f>E43/'- 7 -'!$E43</f>
        <v>45.86683286589799</v>
      </c>
      <c r="H43" s="285">
        <v>231738</v>
      </c>
      <c r="I43" s="291">
        <f>H43/'- 3 -'!$D43*100</f>
        <v>1.7492757585607235</v>
      </c>
      <c r="J43" s="285">
        <f>H43/'- 7 -'!$E43</f>
        <v>240.71673418510437</v>
      </c>
    </row>
    <row r="44" spans="1:10" ht="14.1" customHeight="1" x14ac:dyDescent="0.2">
      <c r="A44" s="19" t="s">
        <v>142</v>
      </c>
      <c r="B44" s="20">
        <v>0</v>
      </c>
      <c r="C44" s="70">
        <f>B44/'- 3 -'!$D44*100</f>
        <v>0</v>
      </c>
      <c r="D44" s="20">
        <f>B44/'- 7 -'!$E44</f>
        <v>0</v>
      </c>
      <c r="E44" s="20">
        <v>0</v>
      </c>
      <c r="F44" s="70">
        <f>E44/'- 3 -'!$D44*100</f>
        <v>0</v>
      </c>
      <c r="G44" s="20">
        <f>E44/'- 7 -'!$E44</f>
        <v>0</v>
      </c>
      <c r="H44" s="20">
        <v>127429</v>
      </c>
      <c r="I44" s="70">
        <f>H44/'- 3 -'!$D44*100</f>
        <v>1.178977563167575</v>
      </c>
      <c r="J44" s="20">
        <f>H44/'- 7 -'!$E44</f>
        <v>183.74765681326605</v>
      </c>
    </row>
    <row r="45" spans="1:10" ht="14.1" customHeight="1" x14ac:dyDescent="0.2">
      <c r="A45" s="284" t="s">
        <v>143</v>
      </c>
      <c r="B45" s="285">
        <v>0</v>
      </c>
      <c r="C45" s="291">
        <f>B45/'- 3 -'!$D45*100</f>
        <v>0</v>
      </c>
      <c r="D45" s="285">
        <f>B45/'- 7 -'!$E45</f>
        <v>0</v>
      </c>
      <c r="E45" s="285">
        <v>0</v>
      </c>
      <c r="F45" s="291">
        <f>E45/'- 3 -'!$D45*100</f>
        <v>0</v>
      </c>
      <c r="G45" s="285">
        <f>E45/'- 7 -'!$E45</f>
        <v>0</v>
      </c>
      <c r="H45" s="285">
        <v>236794</v>
      </c>
      <c r="I45" s="291">
        <f>H45/'- 3 -'!$D45*100</f>
        <v>1.2293704031128778</v>
      </c>
      <c r="J45" s="285">
        <f>H45/'- 7 -'!$E45</f>
        <v>140.53056379821959</v>
      </c>
    </row>
    <row r="46" spans="1:10" ht="14.1" customHeight="1" x14ac:dyDescent="0.2">
      <c r="A46" s="19" t="s">
        <v>144</v>
      </c>
      <c r="B46" s="20">
        <v>40026</v>
      </c>
      <c r="C46" s="70">
        <f>B46/'- 3 -'!$D46*100</f>
        <v>1.0229859729163224E-2</v>
      </c>
      <c r="D46" s="20">
        <f>B46/'- 7 -'!$E46</f>
        <v>1.3396030656983164</v>
      </c>
      <c r="E46" s="20">
        <v>743798</v>
      </c>
      <c r="F46" s="70">
        <f>E46/'- 3 -'!$D46*100</f>
        <v>0.19010016506351241</v>
      </c>
      <c r="G46" s="20">
        <f>E46/'- 7 -'!$E46</f>
        <v>24.893671140265738</v>
      </c>
      <c r="H46" s="20">
        <v>2889298</v>
      </c>
      <c r="I46" s="70">
        <f>H46/'- 3 -'!$D46*100</f>
        <v>0.73844784029760269</v>
      </c>
      <c r="J46" s="20">
        <f>H46/'- 7 -'!$E46</f>
        <v>96.699956491181098</v>
      </c>
    </row>
    <row r="47" spans="1:10" ht="5.0999999999999996" customHeight="1" x14ac:dyDescent="0.2">
      <c r="A47" s="21"/>
      <c r="B47" s="22"/>
      <c r="C47"/>
      <c r="D47" s="22"/>
      <c r="E47" s="22"/>
      <c r="F47"/>
      <c r="G47" s="22"/>
      <c r="H47"/>
      <c r="I47"/>
      <c r="J47"/>
    </row>
    <row r="48" spans="1:10" ht="14.1" customHeight="1" x14ac:dyDescent="0.2">
      <c r="A48" s="286" t="s">
        <v>145</v>
      </c>
      <c r="B48" s="287">
        <f>SUM(B11:B46)</f>
        <v>1864619</v>
      </c>
      <c r="C48" s="294">
        <f>B48/'- 3 -'!$D48*100</f>
        <v>8.1317449466309324E-2</v>
      </c>
      <c r="D48" s="287">
        <f>B48/'- 7 -'!$E48</f>
        <v>10.592176330598871</v>
      </c>
      <c r="E48" s="287">
        <f>SUM(E11:E46)</f>
        <v>13429100</v>
      </c>
      <c r="F48" s="294">
        <f>E48/'- 3 -'!$D48*100</f>
        <v>0.5856532410256543</v>
      </c>
      <c r="G48" s="287">
        <f>E48/'- 7 -'!$E48</f>
        <v>76.285501306832813</v>
      </c>
      <c r="H48" s="287">
        <f>SUM(H11:H46)</f>
        <v>31511351</v>
      </c>
      <c r="I48" s="294">
        <f>H48/'- 3 -'!$D48*100</f>
        <v>1.3742339279808022</v>
      </c>
      <c r="J48" s="287">
        <f>H48/'- 7 -'!$E48</f>
        <v>179.0037461848201</v>
      </c>
    </row>
    <row r="49" spans="1:10" ht="5.0999999999999996" customHeight="1" x14ac:dyDescent="0.2">
      <c r="A49" s="21" t="s">
        <v>7</v>
      </c>
      <c r="B49" s="22"/>
      <c r="C49"/>
      <c r="D49" s="22"/>
      <c r="E49" s="22"/>
      <c r="F49"/>
      <c r="H49"/>
      <c r="I49"/>
      <c r="J49"/>
    </row>
    <row r="50" spans="1:10" ht="14.1" customHeight="1" x14ac:dyDescent="0.2">
      <c r="A50" s="19" t="s">
        <v>146</v>
      </c>
      <c r="B50" s="20">
        <v>0</v>
      </c>
      <c r="C50" s="70">
        <f>B50/'- 3 -'!$D50*100</f>
        <v>0</v>
      </c>
      <c r="D50" s="20">
        <f>B50/'- 7 -'!$E50</f>
        <v>0</v>
      </c>
      <c r="E50" s="20">
        <v>0</v>
      </c>
      <c r="F50" s="70">
        <f>E50/'- 3 -'!$D50*100</f>
        <v>0</v>
      </c>
      <c r="G50" s="20">
        <f>E50/'- 7 -'!$E50</f>
        <v>0</v>
      </c>
      <c r="H50" s="20">
        <v>19296</v>
      </c>
      <c r="I50" s="70">
        <f>H50/'- 3 -'!$D50*100</f>
        <v>0.6017622502714729</v>
      </c>
      <c r="J50" s="20">
        <f>H50/'- 7 -'!$E50</f>
        <v>124.49032258064516</v>
      </c>
    </row>
    <row r="51" spans="1:10" ht="14.1" customHeight="1" x14ac:dyDescent="0.2">
      <c r="A51" s="284" t="s">
        <v>609</v>
      </c>
      <c r="B51" s="285">
        <v>0</v>
      </c>
      <c r="C51" s="291">
        <f>B51/'- 3 -'!$D51*100</f>
        <v>0</v>
      </c>
      <c r="D51" s="285">
        <f>B51/'- 7 -'!$E51</f>
        <v>0</v>
      </c>
      <c r="E51" s="285">
        <v>327199</v>
      </c>
      <c r="F51" s="291">
        <f>E51/'- 3 -'!$D51*100</f>
        <v>1.1276094183382039</v>
      </c>
      <c r="G51" s="285">
        <f>E51/'- 7 -'!$E51</f>
        <v>276.70105708245245</v>
      </c>
      <c r="H51" s="285">
        <v>20000</v>
      </c>
      <c r="I51" s="291">
        <f>H51/'- 3 -'!$D51*100</f>
        <v>6.8924991722970064E-2</v>
      </c>
      <c r="J51" s="285">
        <f>H51/'- 7 -'!$E51</f>
        <v>16.913319238900634</v>
      </c>
    </row>
    <row r="52" spans="1:10" ht="50.1" customHeight="1" x14ac:dyDescent="0.2">
      <c r="A52" s="184"/>
      <c r="B52" s="184"/>
      <c r="C52" s="184"/>
      <c r="D52" s="184"/>
      <c r="E52" s="184"/>
      <c r="F52" s="184"/>
      <c r="G52" s="184"/>
      <c r="H52" s="184"/>
      <c r="I52" s="184"/>
      <c r="J52" s="184"/>
    </row>
  </sheetData>
  <mergeCells count="6">
    <mergeCell ref="D8:D9"/>
    <mergeCell ref="G8:G9"/>
    <mergeCell ref="J8:J9"/>
    <mergeCell ref="B6:D7"/>
    <mergeCell ref="E6:G7"/>
    <mergeCell ref="H6: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J53"/>
  <sheetViews>
    <sheetView showGridLines="0" showZeros="0" workbookViewId="0"/>
  </sheetViews>
  <sheetFormatPr defaultColWidth="15.83203125" defaultRowHeight="12" x14ac:dyDescent="0.2"/>
  <cols>
    <col min="1" max="1" width="32.83203125" style="2" customWidth="1"/>
    <col min="2" max="2" width="15.83203125" style="2" customWidth="1"/>
    <col min="3" max="3" width="7.83203125" style="2" customWidth="1"/>
    <col min="4" max="4" width="9.83203125" style="2" customWidth="1"/>
    <col min="5" max="5" width="15.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263</v>
      </c>
      <c r="C2" s="10"/>
      <c r="D2" s="10"/>
      <c r="E2" s="10"/>
      <c r="F2" s="10"/>
      <c r="G2" s="10"/>
      <c r="H2" s="73"/>
      <c r="I2" s="153"/>
      <c r="J2" s="395" t="s">
        <v>409</v>
      </c>
    </row>
    <row r="3" spans="1:10" ht="15.95" customHeight="1" x14ac:dyDescent="0.2">
      <c r="A3" s="541"/>
      <c r="B3" s="11" t="str">
        <f>OPYEAR</f>
        <v>OPERATING FUND 2016/2017 ACTUAL</v>
      </c>
      <c r="C3" s="12"/>
      <c r="D3" s="12"/>
      <c r="E3" s="12"/>
      <c r="F3" s="12"/>
      <c r="G3" s="12"/>
      <c r="H3" s="75"/>
      <c r="I3" s="75"/>
      <c r="J3" s="66"/>
    </row>
    <row r="4" spans="1:10" ht="15.95" customHeight="1" x14ac:dyDescent="0.2">
      <c r="B4" s="8"/>
      <c r="C4" s="8"/>
      <c r="D4" s="8"/>
      <c r="E4" s="8"/>
      <c r="F4" s="8"/>
      <c r="G4" s="8"/>
      <c r="H4" s="8"/>
      <c r="I4" s="8"/>
      <c r="J4" s="8"/>
    </row>
    <row r="5" spans="1:10" ht="15.95" customHeight="1" x14ac:dyDescent="0.2">
      <c r="B5" s="393" t="s">
        <v>249</v>
      </c>
      <c r="C5" s="172"/>
      <c r="D5" s="173"/>
      <c r="E5" s="181"/>
      <c r="F5" s="181"/>
      <c r="G5" s="182"/>
    </row>
    <row r="6" spans="1:10" ht="15.95" customHeight="1" x14ac:dyDescent="0.2">
      <c r="B6" s="643" t="s">
        <v>498</v>
      </c>
      <c r="C6" s="651"/>
      <c r="D6" s="644"/>
      <c r="E6" s="387"/>
      <c r="F6" s="388"/>
      <c r="G6" s="389"/>
    </row>
    <row r="7" spans="1:10" ht="15.95" customHeight="1" x14ac:dyDescent="0.2">
      <c r="B7" s="645"/>
      <c r="C7" s="652"/>
      <c r="D7" s="646"/>
      <c r="E7" s="648" t="s">
        <v>281</v>
      </c>
      <c r="F7" s="650"/>
      <c r="G7" s="649"/>
    </row>
    <row r="8" spans="1:10" ht="15.95" customHeight="1" x14ac:dyDescent="0.2">
      <c r="A8" s="67"/>
      <c r="B8" s="137"/>
      <c r="C8" s="138"/>
      <c r="D8" s="596" t="s">
        <v>477</v>
      </c>
      <c r="E8" s="137"/>
      <c r="F8" s="139"/>
      <c r="G8" s="596" t="s">
        <v>477</v>
      </c>
    </row>
    <row r="9" spans="1:10" ht="15.95" customHeight="1" x14ac:dyDescent="0.2">
      <c r="A9" s="35" t="s">
        <v>42</v>
      </c>
      <c r="B9" s="77" t="s">
        <v>43</v>
      </c>
      <c r="C9" s="77" t="s">
        <v>44</v>
      </c>
      <c r="D9" s="598"/>
      <c r="E9" s="77" t="s">
        <v>43</v>
      </c>
      <c r="F9" s="77" t="s">
        <v>44</v>
      </c>
      <c r="G9" s="598"/>
    </row>
    <row r="10" spans="1:10" ht="5.0999999999999996" customHeight="1" x14ac:dyDescent="0.2">
      <c r="A10" s="6"/>
    </row>
    <row r="11" spans="1:10" ht="14.1" customHeight="1" x14ac:dyDescent="0.2">
      <c r="A11" s="284" t="s">
        <v>110</v>
      </c>
      <c r="B11" s="285">
        <v>153710</v>
      </c>
      <c r="C11" s="291">
        <f>B11/'- 3 -'!$D11*100</f>
        <v>0.80401430728055323</v>
      </c>
      <c r="D11" s="285">
        <f>B11/'- 7 -'!$E11</f>
        <v>87.038505096262739</v>
      </c>
      <c r="E11" s="285">
        <v>10083</v>
      </c>
      <c r="F11" s="291">
        <f>E11/'- 3 -'!$D11*100</f>
        <v>5.2741371806062184E-2</v>
      </c>
      <c r="G11" s="285">
        <f>E11/'- 7 -'!$E11</f>
        <v>5.7095130237825593</v>
      </c>
    </row>
    <row r="12" spans="1:10" ht="14.1" customHeight="1" x14ac:dyDescent="0.2">
      <c r="A12" s="19" t="s">
        <v>111</v>
      </c>
      <c r="B12" s="20">
        <v>386214</v>
      </c>
      <c r="C12" s="70">
        <f>B12/'- 3 -'!$D12*100</f>
        <v>1.1556810181066988</v>
      </c>
      <c r="D12" s="20">
        <f>B12/'- 7 -'!$E12</f>
        <v>182.21509282630745</v>
      </c>
      <c r="E12" s="20">
        <v>127143</v>
      </c>
      <c r="F12" s="70">
        <f>E12/'- 3 -'!$D12*100</f>
        <v>0.38045423440149762</v>
      </c>
      <c r="G12" s="20">
        <f>E12/'- 7 -'!$E12</f>
        <v>59.985846052228062</v>
      </c>
    </row>
    <row r="13" spans="1:10" ht="14.1" customHeight="1" x14ac:dyDescent="0.2">
      <c r="A13" s="284" t="s">
        <v>112</v>
      </c>
      <c r="B13" s="285">
        <v>1197310</v>
      </c>
      <c r="C13" s="291">
        <f>B13/'- 3 -'!$D13*100</f>
        <v>1.2483421783158655</v>
      </c>
      <c r="D13" s="285">
        <f>B13/'- 7 -'!$E13</f>
        <v>142.98799785036127</v>
      </c>
      <c r="E13" s="285">
        <v>98579</v>
      </c>
      <c r="F13" s="291">
        <f>E13/'- 3 -'!$D13*100</f>
        <v>0.1027806696646647</v>
      </c>
      <c r="G13" s="285">
        <f>E13/'- 7 -'!$E13</f>
        <v>11.772735415298262</v>
      </c>
    </row>
    <row r="14" spans="1:10" ht="14.1" customHeight="1" x14ac:dyDescent="0.2">
      <c r="A14" s="19" t="s">
        <v>359</v>
      </c>
      <c r="B14" s="20">
        <v>547531</v>
      </c>
      <c r="C14" s="70">
        <f>B14/'- 3 -'!$D14*100</f>
        <v>0.6601701005886732</v>
      </c>
      <c r="D14" s="20">
        <f>B14/'- 7 -'!$E14</f>
        <v>99.857198612473866</v>
      </c>
      <c r="E14" s="20">
        <v>77411</v>
      </c>
      <c r="F14" s="70">
        <f>E14/'- 3 -'!$D14*100</f>
        <v>9.3336135591719521E-2</v>
      </c>
      <c r="G14" s="20">
        <f>E14/'- 7 -'!$E14</f>
        <v>14.118005376481358</v>
      </c>
    </row>
    <row r="15" spans="1:10" ht="14.1" customHeight="1" x14ac:dyDescent="0.2">
      <c r="A15" s="284" t="s">
        <v>113</v>
      </c>
      <c r="B15" s="285">
        <v>226352</v>
      </c>
      <c r="C15" s="291">
        <f>B15/'- 3 -'!$D15*100</f>
        <v>1.1598078061472294</v>
      </c>
      <c r="D15" s="285">
        <f>B15/'- 7 -'!$E15</f>
        <v>161.77244139508289</v>
      </c>
      <c r="E15" s="285">
        <v>5037</v>
      </c>
      <c r="F15" s="291">
        <f>E15/'- 3 -'!$D15*100</f>
        <v>2.5809146460219454E-2</v>
      </c>
      <c r="G15" s="285">
        <f>E15/'- 7 -'!$E15</f>
        <v>3.5999142367066894</v>
      </c>
    </row>
    <row r="16" spans="1:10" ht="14.1" customHeight="1" x14ac:dyDescent="0.2">
      <c r="A16" s="19" t="s">
        <v>114</v>
      </c>
      <c r="B16" s="20">
        <v>102948</v>
      </c>
      <c r="C16" s="70">
        <f>B16/'- 3 -'!$D16*100</f>
        <v>0.71015292141686226</v>
      </c>
      <c r="D16" s="20">
        <f>B16/'- 7 -'!$E16</f>
        <v>113.90573135649481</v>
      </c>
      <c r="E16" s="20">
        <v>36336</v>
      </c>
      <c r="F16" s="70">
        <f>E16/'- 3 -'!$D16*100</f>
        <v>0.25065194615342801</v>
      </c>
      <c r="G16" s="20">
        <f>E16/'- 7 -'!$E16</f>
        <v>40.203584863907949</v>
      </c>
    </row>
    <row r="17" spans="1:7" ht="14.1" customHeight="1" x14ac:dyDescent="0.2">
      <c r="A17" s="284" t="s">
        <v>115</v>
      </c>
      <c r="B17" s="285">
        <v>90929</v>
      </c>
      <c r="C17" s="291">
        <f>B17/'- 3 -'!$D17*100</f>
        <v>0.50668245332624839</v>
      </c>
      <c r="D17" s="285">
        <f>B17/'- 7 -'!$E17</f>
        <v>65.065474060822893</v>
      </c>
      <c r="E17" s="285">
        <v>1500</v>
      </c>
      <c r="F17" s="291">
        <f>E17/'- 3 -'!$D17*100</f>
        <v>8.3584299837166642E-3</v>
      </c>
      <c r="G17" s="285">
        <f>E17/'- 7 -'!$E17</f>
        <v>1.0733452593917709</v>
      </c>
    </row>
    <row r="18" spans="1:7" ht="14.1" customHeight="1" x14ac:dyDescent="0.2">
      <c r="A18" s="19" t="s">
        <v>116</v>
      </c>
      <c r="B18" s="20">
        <v>797257</v>
      </c>
      <c r="C18" s="70">
        <f>B18/'- 3 -'!$D18*100</f>
        <v>0.61969093344432458</v>
      </c>
      <c r="D18" s="20">
        <f>B18/'- 7 -'!$E18</f>
        <v>130.80723227616534</v>
      </c>
      <c r="E18" s="20">
        <v>1877268</v>
      </c>
      <c r="F18" s="70">
        <f>E18/'- 3 -'!$D18*100</f>
        <v>1.4591605457777859</v>
      </c>
      <c r="G18" s="20">
        <f>E18/'- 7 -'!$E18</f>
        <v>308.00636597811285</v>
      </c>
    </row>
    <row r="19" spans="1:7" ht="14.1" customHeight="1" x14ac:dyDescent="0.2">
      <c r="A19" s="284" t="s">
        <v>117</v>
      </c>
      <c r="B19" s="285">
        <v>493045</v>
      </c>
      <c r="C19" s="291">
        <f>B19/'- 3 -'!$D19*100</f>
        <v>1.0683141555253211</v>
      </c>
      <c r="D19" s="285">
        <f>B19/'- 7 -'!$E19</f>
        <v>112.54165715590048</v>
      </c>
      <c r="E19" s="285">
        <v>246017</v>
      </c>
      <c r="F19" s="291">
        <f>E19/'- 3 -'!$D19*100</f>
        <v>0.53306177651101405</v>
      </c>
      <c r="G19" s="285">
        <f>E19/'- 7 -'!$E19</f>
        <v>56.155443962565627</v>
      </c>
    </row>
    <row r="20" spans="1:7" ht="14.1" customHeight="1" x14ac:dyDescent="0.2">
      <c r="A20" s="19" t="s">
        <v>118</v>
      </c>
      <c r="B20" s="20">
        <v>973615</v>
      </c>
      <c r="C20" s="70">
        <f>B20/'- 3 -'!$D20*100</f>
        <v>1.1837339995179301</v>
      </c>
      <c r="D20" s="20">
        <f>B20/'- 7 -'!$E20</f>
        <v>127.51162333835374</v>
      </c>
      <c r="E20" s="20">
        <v>199716</v>
      </c>
      <c r="F20" s="70">
        <f>E20/'- 3 -'!$D20*100</f>
        <v>0.24281735536913762</v>
      </c>
      <c r="G20" s="20">
        <f>E20/'- 7 -'!$E20</f>
        <v>26.156243860912841</v>
      </c>
    </row>
    <row r="21" spans="1:7" ht="14.1" customHeight="1" x14ac:dyDescent="0.2">
      <c r="A21" s="284" t="s">
        <v>119</v>
      </c>
      <c r="B21" s="285">
        <v>615836</v>
      </c>
      <c r="C21" s="291">
        <f>B21/'- 3 -'!$D21*100</f>
        <v>1.7121832510613149</v>
      </c>
      <c r="D21" s="285">
        <f>B21/'- 7 -'!$E21</f>
        <v>224.58553663250794</v>
      </c>
      <c r="E21" s="285">
        <v>82968</v>
      </c>
      <c r="F21" s="291">
        <f>E21/'- 3 -'!$D21*100</f>
        <v>0.23067248419068581</v>
      </c>
      <c r="G21" s="285">
        <f>E21/'- 7 -'!$E21</f>
        <v>30.257102220925567</v>
      </c>
    </row>
    <row r="22" spans="1:7" ht="14.1" customHeight="1" x14ac:dyDescent="0.2">
      <c r="A22" s="19" t="s">
        <v>120</v>
      </c>
      <c r="B22" s="20">
        <v>154223</v>
      </c>
      <c r="C22" s="70">
        <f>B22/'- 3 -'!$D22*100</f>
        <v>0.76837623815553036</v>
      </c>
      <c r="D22" s="20">
        <f>B22/'- 7 -'!$E22</f>
        <v>101.22276187975848</v>
      </c>
      <c r="E22" s="20">
        <v>25116</v>
      </c>
      <c r="F22" s="70">
        <f>E22/'- 3 -'!$D22*100</f>
        <v>0.12513397870300993</v>
      </c>
      <c r="G22" s="20">
        <f>E22/'- 7 -'!$E22</f>
        <v>16.484641638225256</v>
      </c>
    </row>
    <row r="23" spans="1:7" ht="14.1" customHeight="1" x14ac:dyDescent="0.2">
      <c r="A23" s="284" t="s">
        <v>121</v>
      </c>
      <c r="B23" s="285">
        <v>365224</v>
      </c>
      <c r="C23" s="291">
        <f>B23/'- 3 -'!$D23*100</f>
        <v>2.1114451828942324</v>
      </c>
      <c r="D23" s="285">
        <f>B23/'- 7 -'!$E23</f>
        <v>327.70210856886496</v>
      </c>
      <c r="E23" s="285">
        <v>32063</v>
      </c>
      <c r="F23" s="291">
        <f>E23/'- 3 -'!$D23*100</f>
        <v>0.18536368611903317</v>
      </c>
      <c r="G23" s="285">
        <f>E23/'- 7 -'!$E23</f>
        <v>28.768954688200989</v>
      </c>
    </row>
    <row r="24" spans="1:7" ht="14.1" customHeight="1" x14ac:dyDescent="0.2">
      <c r="A24" s="19" t="s">
        <v>122</v>
      </c>
      <c r="B24" s="20">
        <v>708309</v>
      </c>
      <c r="C24" s="70">
        <f>B24/'- 3 -'!$D24*100</f>
        <v>1.2355782782621247</v>
      </c>
      <c r="D24" s="20">
        <f>B24/'- 7 -'!$E24</f>
        <v>179.3959425575564</v>
      </c>
      <c r="E24" s="20">
        <v>30391</v>
      </c>
      <c r="F24" s="70">
        <f>E24/'- 3 -'!$D24*100</f>
        <v>5.3014234542642029E-2</v>
      </c>
      <c r="G24" s="20">
        <f>E24/'- 7 -'!$E24</f>
        <v>7.6972367854519659</v>
      </c>
    </row>
    <row r="25" spans="1:7" ht="14.1" customHeight="1" x14ac:dyDescent="0.2">
      <c r="A25" s="284" t="s">
        <v>123</v>
      </c>
      <c r="B25" s="285">
        <v>1801538</v>
      </c>
      <c r="C25" s="291">
        <f>B25/'- 3 -'!$D25*100</f>
        <v>1.0157863342603493</v>
      </c>
      <c r="D25" s="285">
        <f>B25/'- 7 -'!$E25</f>
        <v>125.66619465816586</v>
      </c>
      <c r="E25" s="285">
        <v>681709</v>
      </c>
      <c r="F25" s="291">
        <f>E25/'- 3 -'!$D25*100</f>
        <v>0.38437750751984606</v>
      </c>
      <c r="G25" s="285">
        <f>E25/'- 7 -'!$E25</f>
        <v>47.552577794208943</v>
      </c>
    </row>
    <row r="26" spans="1:7" ht="14.1" customHeight="1" x14ac:dyDescent="0.2">
      <c r="A26" s="19" t="s">
        <v>124</v>
      </c>
      <c r="B26" s="20">
        <v>321835</v>
      </c>
      <c r="C26" s="70">
        <f>B26/'- 3 -'!$D26*100</f>
        <v>0.78521251851776486</v>
      </c>
      <c r="D26" s="20">
        <f>B26/'- 7 -'!$E26</f>
        <v>105.3125</v>
      </c>
      <c r="E26" s="20">
        <v>291947</v>
      </c>
      <c r="F26" s="70">
        <f>E26/'- 3 -'!$D26*100</f>
        <v>0.71229182389642487</v>
      </c>
      <c r="G26" s="20">
        <f>E26/'- 7 -'!$E26</f>
        <v>95.53239528795811</v>
      </c>
    </row>
    <row r="27" spans="1:7" ht="14.1" customHeight="1" x14ac:dyDescent="0.2">
      <c r="A27" s="284" t="s">
        <v>125</v>
      </c>
      <c r="B27" s="285">
        <v>213906</v>
      </c>
      <c r="C27" s="291">
        <f>B27/'- 3 -'!$D27*100</f>
        <v>0.51609790645533038</v>
      </c>
      <c r="D27" s="285">
        <f>B27/'- 7 -'!$E27</f>
        <v>71.594343569575756</v>
      </c>
      <c r="E27" s="285">
        <v>2078</v>
      </c>
      <c r="F27" s="291">
        <f>E27/'- 3 -'!$D27*100</f>
        <v>5.0136576328582479E-3</v>
      </c>
      <c r="G27" s="285">
        <f>E27/'- 7 -'!$E27</f>
        <v>0.69550665216299878</v>
      </c>
    </row>
    <row r="28" spans="1:7" ht="14.1" customHeight="1" x14ac:dyDescent="0.2">
      <c r="A28" s="19" t="s">
        <v>126</v>
      </c>
      <c r="B28" s="20">
        <v>344134</v>
      </c>
      <c r="C28" s="70">
        <f>B28/'- 3 -'!$D28*100</f>
        <v>1.2200533700227867</v>
      </c>
      <c r="D28" s="20">
        <f>B28/'- 7 -'!$E28</f>
        <v>175.31023942944472</v>
      </c>
      <c r="E28" s="20">
        <v>0</v>
      </c>
      <c r="F28" s="70">
        <f>E28/'- 3 -'!$D28*100</f>
        <v>0</v>
      </c>
      <c r="G28" s="20">
        <f>E28/'- 7 -'!$E28</f>
        <v>0</v>
      </c>
    </row>
    <row r="29" spans="1:7" ht="14.1" customHeight="1" x14ac:dyDescent="0.2">
      <c r="A29" s="284" t="s">
        <v>127</v>
      </c>
      <c r="B29" s="285">
        <v>1478188</v>
      </c>
      <c r="C29" s="291">
        <f>B29/'- 3 -'!$D29*100</f>
        <v>0.92798685685726079</v>
      </c>
      <c r="D29" s="285">
        <f>B29/'- 7 -'!$E29</f>
        <v>112.99058276768788</v>
      </c>
      <c r="E29" s="285">
        <v>540260</v>
      </c>
      <c r="F29" s="291">
        <f>E29/'- 3 -'!$D29*100</f>
        <v>0.33916807556664219</v>
      </c>
      <c r="G29" s="285">
        <f>E29/'- 7 -'!$E29</f>
        <v>41.296703968690764</v>
      </c>
    </row>
    <row r="30" spans="1:7" ht="14.1" customHeight="1" x14ac:dyDescent="0.2">
      <c r="A30" s="19" t="s">
        <v>128</v>
      </c>
      <c r="B30" s="20">
        <v>129485</v>
      </c>
      <c r="C30" s="70">
        <f>B30/'- 3 -'!$D30*100</f>
        <v>0.91822392792915453</v>
      </c>
      <c r="D30" s="20">
        <f>B30/'- 7 -'!$E30</f>
        <v>129.5960823563054</v>
      </c>
      <c r="E30" s="20">
        <v>13668</v>
      </c>
      <c r="F30" s="70">
        <f>E30/'- 3 -'!$D30*100</f>
        <v>9.6924621747196085E-2</v>
      </c>
      <c r="G30" s="20">
        <f>E30/'- 7 -'!$E30</f>
        <v>13.679725478981984</v>
      </c>
    </row>
    <row r="31" spans="1:7" ht="14.1" customHeight="1" x14ac:dyDescent="0.2">
      <c r="A31" s="284" t="s">
        <v>129</v>
      </c>
      <c r="B31" s="285">
        <v>256954</v>
      </c>
      <c r="C31" s="291">
        <f>B31/'- 3 -'!$D31*100</f>
        <v>0.68485545497068856</v>
      </c>
      <c r="D31" s="285">
        <f>B31/'- 7 -'!$E31</f>
        <v>78.989855517983401</v>
      </c>
      <c r="E31" s="285">
        <v>518965</v>
      </c>
      <c r="F31" s="291">
        <f>E31/'- 3 -'!$D31*100</f>
        <v>1.3831892525076994</v>
      </c>
      <c r="G31" s="285">
        <f>E31/'- 7 -'!$E31</f>
        <v>159.53427605287428</v>
      </c>
    </row>
    <row r="32" spans="1:7" ht="14.1" customHeight="1" x14ac:dyDescent="0.2">
      <c r="A32" s="19" t="s">
        <v>130</v>
      </c>
      <c r="B32" s="20">
        <v>354652</v>
      </c>
      <c r="C32" s="70">
        <f>B32/'- 3 -'!$D32*100</f>
        <v>1.2105354113488087</v>
      </c>
      <c r="D32" s="20">
        <f>B32/'- 7 -'!$E32</f>
        <v>164.70926992383431</v>
      </c>
      <c r="E32" s="20">
        <v>1636</v>
      </c>
      <c r="F32" s="70">
        <f>E32/'- 3 -'!$D32*100</f>
        <v>5.5841668254137883E-3</v>
      </c>
      <c r="G32" s="20">
        <f>E32/'- 7 -'!$E32</f>
        <v>0.75979936838194317</v>
      </c>
    </row>
    <row r="33" spans="1:7" ht="14.1" customHeight="1" x14ac:dyDescent="0.2">
      <c r="A33" s="284" t="s">
        <v>131</v>
      </c>
      <c r="B33" s="285">
        <v>301602</v>
      </c>
      <c r="C33" s="291">
        <f>B33/'- 3 -'!$D33*100</f>
        <v>1.0843642365383959</v>
      </c>
      <c r="D33" s="285">
        <f>B33/'- 7 -'!$E33</f>
        <v>149.34488734835355</v>
      </c>
      <c r="E33" s="285">
        <v>11829</v>
      </c>
      <c r="F33" s="291">
        <f>E33/'- 3 -'!$D33*100</f>
        <v>4.2529374984292823E-2</v>
      </c>
      <c r="G33" s="285">
        <f>E33/'- 7 -'!$E33</f>
        <v>5.8573904431790051</v>
      </c>
    </row>
    <row r="34" spans="1:7" ht="14.1" customHeight="1" x14ac:dyDescent="0.2">
      <c r="A34" s="19" t="s">
        <v>132</v>
      </c>
      <c r="B34" s="20">
        <v>361883</v>
      </c>
      <c r="C34" s="70">
        <f>B34/'- 3 -'!$D34*100</f>
        <v>1.244428607810647</v>
      </c>
      <c r="D34" s="20">
        <f>B34/'- 7 -'!$E34</f>
        <v>177.83822300850164</v>
      </c>
      <c r="E34" s="20">
        <v>99083</v>
      </c>
      <c r="F34" s="70">
        <f>E34/'- 3 -'!$D34*100</f>
        <v>0.34072260854392811</v>
      </c>
      <c r="G34" s="20">
        <f>E34/'- 7 -'!$E34</f>
        <v>48.691827608236274</v>
      </c>
    </row>
    <row r="35" spans="1:7" ht="14.1" customHeight="1" x14ac:dyDescent="0.2">
      <c r="A35" s="284" t="s">
        <v>133</v>
      </c>
      <c r="B35" s="285">
        <v>1886992</v>
      </c>
      <c r="C35" s="291">
        <f>B35/'- 3 -'!$D35*100</f>
        <v>1.024136647653302</v>
      </c>
      <c r="D35" s="285">
        <f>B35/'- 7 -'!$E35</f>
        <v>120.8990261404408</v>
      </c>
      <c r="E35" s="285">
        <v>457664</v>
      </c>
      <c r="F35" s="291">
        <f>E35/'- 3 -'!$D35*100</f>
        <v>0.24839028184094092</v>
      </c>
      <c r="G35" s="285">
        <f>E35/'- 7 -'!$E35</f>
        <v>29.322398769861611</v>
      </c>
    </row>
    <row r="36" spans="1:7" ht="14.1" customHeight="1" x14ac:dyDescent="0.2">
      <c r="A36" s="19" t="s">
        <v>134</v>
      </c>
      <c r="B36" s="20">
        <v>198076</v>
      </c>
      <c r="C36" s="70">
        <f>B36/'- 3 -'!$D36*100</f>
        <v>0.84495525758943657</v>
      </c>
      <c r="D36" s="20">
        <f>B36/'- 7 -'!$E36</f>
        <v>118.78620689655172</v>
      </c>
      <c r="E36" s="20">
        <v>8444</v>
      </c>
      <c r="F36" s="70">
        <f>E36/'- 3 -'!$D36*100</f>
        <v>3.6020528459203553E-2</v>
      </c>
      <c r="G36" s="20">
        <f>E36/'- 7 -'!$E36</f>
        <v>5.0638680659670161</v>
      </c>
    </row>
    <row r="37" spans="1:7" ht="14.1" customHeight="1" x14ac:dyDescent="0.2">
      <c r="A37" s="284" t="s">
        <v>135</v>
      </c>
      <c r="B37" s="285">
        <v>498560</v>
      </c>
      <c r="C37" s="291">
        <f>B37/'- 3 -'!$D37*100</f>
        <v>0.99338190389564074</v>
      </c>
      <c r="D37" s="285">
        <f>B37/'- 7 -'!$E37</f>
        <v>119.18718622997848</v>
      </c>
      <c r="E37" s="285">
        <v>93154</v>
      </c>
      <c r="F37" s="291">
        <f>E37/'- 3 -'!$D37*100</f>
        <v>0.18560955125861384</v>
      </c>
      <c r="G37" s="285">
        <f>E37/'- 7 -'!$E37</f>
        <v>22.269662921348313</v>
      </c>
    </row>
    <row r="38" spans="1:7" ht="14.1" customHeight="1" x14ac:dyDescent="0.2">
      <c r="A38" s="19" t="s">
        <v>136</v>
      </c>
      <c r="B38" s="20">
        <v>1109046</v>
      </c>
      <c r="C38" s="70">
        <f>B38/'- 3 -'!$D38*100</f>
        <v>0.81736703640783548</v>
      </c>
      <c r="D38" s="20">
        <f>B38/'- 7 -'!$E38</f>
        <v>100.87922283468865</v>
      </c>
      <c r="E38" s="20">
        <v>1691783</v>
      </c>
      <c r="F38" s="70">
        <f>E38/'- 3 -'!$D38*100</f>
        <v>1.2468442760310727</v>
      </c>
      <c r="G38" s="20">
        <f>E38/'- 7 -'!$E38</f>
        <v>153.88518983427022</v>
      </c>
    </row>
    <row r="39" spans="1:7" ht="14.1" customHeight="1" x14ac:dyDescent="0.2">
      <c r="A39" s="284" t="s">
        <v>137</v>
      </c>
      <c r="B39" s="285">
        <v>139633</v>
      </c>
      <c r="C39" s="291">
        <f>B39/'- 3 -'!$D39*100</f>
        <v>0.65078805277053908</v>
      </c>
      <c r="D39" s="285">
        <f>B39/'- 7 -'!$E39</f>
        <v>93.088666666666668</v>
      </c>
      <c r="E39" s="285">
        <v>32651</v>
      </c>
      <c r="F39" s="291">
        <f>E39/'- 3 -'!$D39*100</f>
        <v>0.15217663955519733</v>
      </c>
      <c r="G39" s="285">
        <f>E39/'- 7 -'!$E39</f>
        <v>21.767333333333333</v>
      </c>
    </row>
    <row r="40" spans="1:7" ht="14.1" customHeight="1" x14ac:dyDescent="0.2">
      <c r="A40" s="19" t="s">
        <v>138</v>
      </c>
      <c r="B40" s="20">
        <v>853248</v>
      </c>
      <c r="C40" s="70">
        <f>B40/'- 3 -'!$D40*100</f>
        <v>0.81772664941697837</v>
      </c>
      <c r="D40" s="20">
        <f>B40/'- 7 -'!$E40</f>
        <v>103.2937872258002</v>
      </c>
      <c r="E40" s="20">
        <v>313021</v>
      </c>
      <c r="F40" s="70">
        <f>E40/'- 3 -'!$D40*100</f>
        <v>0.29998970232236349</v>
      </c>
      <c r="G40" s="20">
        <f>E40/'- 7 -'!$E40</f>
        <v>37.894169773860831</v>
      </c>
    </row>
    <row r="41" spans="1:7" ht="14.1" customHeight="1" x14ac:dyDescent="0.2">
      <c r="A41" s="284" t="s">
        <v>139</v>
      </c>
      <c r="B41" s="285">
        <v>349641</v>
      </c>
      <c r="C41" s="291">
        <f>B41/'- 3 -'!$D41*100</f>
        <v>0.55817184779161477</v>
      </c>
      <c r="D41" s="285">
        <f>B41/'- 7 -'!$E41</f>
        <v>78.421217898396321</v>
      </c>
      <c r="E41" s="285">
        <v>25154</v>
      </c>
      <c r="F41" s="291">
        <f>E41/'- 3 -'!$D41*100</f>
        <v>4.0156202102586018E-2</v>
      </c>
      <c r="G41" s="285">
        <f>E41/'- 7 -'!$E41</f>
        <v>5.6418077828866213</v>
      </c>
    </row>
    <row r="42" spans="1:7" ht="14.1" customHeight="1" x14ac:dyDescent="0.2">
      <c r="A42" s="19" t="s">
        <v>140</v>
      </c>
      <c r="B42" s="20">
        <v>98405</v>
      </c>
      <c r="C42" s="70">
        <f>B42/'- 3 -'!$D42*100</f>
        <v>0.48568242464827571</v>
      </c>
      <c r="D42" s="20">
        <f>B42/'- 7 -'!$E42</f>
        <v>71.380385898737856</v>
      </c>
      <c r="E42" s="20">
        <v>80</v>
      </c>
      <c r="F42" s="70">
        <f>E42/'- 3 -'!$D42*100</f>
        <v>3.9484369668067731E-4</v>
      </c>
      <c r="G42" s="20">
        <f>E42/'- 7 -'!$E42</f>
        <v>5.8029885390976359E-2</v>
      </c>
    </row>
    <row r="43" spans="1:7" ht="14.1" customHeight="1" x14ac:dyDescent="0.2">
      <c r="A43" s="284" t="s">
        <v>141</v>
      </c>
      <c r="B43" s="285">
        <v>196323</v>
      </c>
      <c r="C43" s="291">
        <f>B43/'- 3 -'!$D43*100</f>
        <v>1.4819454070886815</v>
      </c>
      <c r="D43" s="285">
        <f>B43/'- 7 -'!$E43</f>
        <v>203.92957307572451</v>
      </c>
      <c r="E43" s="285">
        <v>24491</v>
      </c>
      <c r="F43" s="291">
        <f>E43/'- 3 -'!$D43*100</f>
        <v>0.18487046838632712</v>
      </c>
      <c r="G43" s="285">
        <f>E43/'- 7 -'!$E43</f>
        <v>25.439908590422768</v>
      </c>
    </row>
    <row r="44" spans="1:7" ht="14.1" customHeight="1" x14ac:dyDescent="0.2">
      <c r="A44" s="19" t="s">
        <v>142</v>
      </c>
      <c r="B44" s="20">
        <v>66209</v>
      </c>
      <c r="C44" s="70">
        <f>B44/'- 3 -'!$D44*100</f>
        <v>0.61256798279639613</v>
      </c>
      <c r="D44" s="20">
        <f>B44/'- 7 -'!$E44</f>
        <v>95.470800288392212</v>
      </c>
      <c r="E44" s="20">
        <v>75569</v>
      </c>
      <c r="F44" s="70">
        <f>E44/'- 3 -'!$D44*100</f>
        <v>0.69916703004033975</v>
      </c>
      <c r="G44" s="20">
        <f>E44/'- 7 -'!$E44</f>
        <v>108.96755587599135</v>
      </c>
    </row>
    <row r="45" spans="1:7" ht="14.1" customHeight="1" x14ac:dyDescent="0.2">
      <c r="A45" s="284" t="s">
        <v>143</v>
      </c>
      <c r="B45" s="285">
        <v>140349</v>
      </c>
      <c r="C45" s="291">
        <f>B45/'- 3 -'!$D45*100</f>
        <v>0.72865404827187052</v>
      </c>
      <c r="D45" s="285">
        <f>B45/'- 7 -'!$E45</f>
        <v>83.293175074183978</v>
      </c>
      <c r="E45" s="285">
        <v>171163</v>
      </c>
      <c r="F45" s="291">
        <f>E45/'- 3 -'!$D45*100</f>
        <v>0.88863200211158033</v>
      </c>
      <c r="G45" s="285">
        <f>E45/'- 7 -'!$E45</f>
        <v>101.58041543026707</v>
      </c>
    </row>
    <row r="46" spans="1:7" ht="14.1" customHeight="1" x14ac:dyDescent="0.2">
      <c r="A46" s="19" t="s">
        <v>144</v>
      </c>
      <c r="B46" s="20">
        <v>3034455</v>
      </c>
      <c r="C46" s="70">
        <f>B46/'- 3 -'!$D46*100</f>
        <v>0.7755471194837853</v>
      </c>
      <c r="D46" s="20">
        <f>B46/'- 7 -'!$E46</f>
        <v>101.55811774155761</v>
      </c>
      <c r="E46" s="20">
        <v>2697547</v>
      </c>
      <c r="F46" s="70">
        <f>E46/'- 3 -'!$D46*100</f>
        <v>0.68944004953842664</v>
      </c>
      <c r="G46" s="20">
        <f>E46/'- 7 -'!$E46</f>
        <v>90.282372234679869</v>
      </c>
    </row>
    <row r="47" spans="1:7" ht="5.0999999999999996" customHeight="1" x14ac:dyDescent="0.2">
      <c r="A47" s="21"/>
      <c r="B47" s="22"/>
      <c r="C47"/>
      <c r="D47" s="22"/>
      <c r="E47" s="22"/>
      <c r="F47"/>
      <c r="G47"/>
    </row>
    <row r="48" spans="1:7" ht="14.1" customHeight="1" x14ac:dyDescent="0.2">
      <c r="A48" s="286" t="s">
        <v>145</v>
      </c>
      <c r="B48" s="287">
        <f>SUM(B11:B46)</f>
        <v>20947617</v>
      </c>
      <c r="C48" s="294">
        <f>B48/'- 3 -'!$D48*100</f>
        <v>0.91354147246011219</v>
      </c>
      <c r="D48" s="287">
        <f>B48/'- 7 -'!$E48</f>
        <v>118.99527623061361</v>
      </c>
      <c r="E48" s="287">
        <f>SUM(E11:E46)</f>
        <v>10601524</v>
      </c>
      <c r="F48" s="294">
        <f>E48/'- 3 -'!$D48*100</f>
        <v>0.46234050609581123</v>
      </c>
      <c r="G48" s="287">
        <f>E48/'- 7 -'!$E48</f>
        <v>60.223140266765412</v>
      </c>
    </row>
    <row r="49" spans="1:10" ht="5.0999999999999996" customHeight="1" x14ac:dyDescent="0.2">
      <c r="A49" s="21" t="s">
        <v>7</v>
      </c>
      <c r="B49" s="22"/>
      <c r="C49"/>
      <c r="D49" s="22"/>
      <c r="E49" s="22"/>
      <c r="F49"/>
      <c r="G49"/>
    </row>
    <row r="50" spans="1:10" ht="14.1" customHeight="1" x14ac:dyDescent="0.2">
      <c r="A50" s="19" t="s">
        <v>146</v>
      </c>
      <c r="B50" s="20">
        <v>35623</v>
      </c>
      <c r="C50" s="70">
        <f>B50/'- 3 -'!$D50*100</f>
        <v>1.1109336982494131</v>
      </c>
      <c r="D50" s="20">
        <f>B50/'- 7 -'!$E50</f>
        <v>229.82580645161289</v>
      </c>
      <c r="E50" s="20">
        <v>29843</v>
      </c>
      <c r="F50" s="70">
        <f>E50/'- 3 -'!$D50*100</f>
        <v>0.93067945868841018</v>
      </c>
      <c r="G50" s="20">
        <f>E50/'- 7 -'!$E50</f>
        <v>192.53548387096774</v>
      </c>
    </row>
    <row r="51" spans="1:10" ht="14.1" customHeight="1" x14ac:dyDescent="0.2">
      <c r="A51" s="284" t="s">
        <v>609</v>
      </c>
      <c r="B51" s="285">
        <v>18729</v>
      </c>
      <c r="C51" s="291">
        <f>B51/'- 3 -'!$D51*100</f>
        <v>6.4544808498975301E-2</v>
      </c>
      <c r="D51" s="285">
        <f>B51/'- 7 -'!$E51</f>
        <v>15.8384778012685</v>
      </c>
      <c r="E51" s="285">
        <v>54640</v>
      </c>
      <c r="F51" s="291">
        <f>E51/'- 3 -'!$D51*100</f>
        <v>0.18830307738715418</v>
      </c>
      <c r="G51" s="285">
        <f>E51/'- 7 -'!$E51</f>
        <v>46.20718816067653</v>
      </c>
    </row>
    <row r="52" spans="1:10" ht="50.1" customHeight="1" x14ac:dyDescent="0.2">
      <c r="A52" s="23"/>
      <c r="B52" s="23"/>
      <c r="C52" s="23"/>
      <c r="D52" s="23"/>
      <c r="E52" s="23"/>
      <c r="F52" s="23"/>
      <c r="G52" s="23"/>
      <c r="H52" s="23"/>
      <c r="I52" s="23"/>
      <c r="J52" s="23"/>
    </row>
    <row r="53" spans="1:10" ht="15" customHeight="1" x14ac:dyDescent="0.2">
      <c r="A53" s="85" t="s">
        <v>346</v>
      </c>
    </row>
  </sheetData>
  <mergeCells count="4">
    <mergeCell ref="D8:D9"/>
    <mergeCell ref="G8:G9"/>
    <mergeCell ref="B6:D7"/>
    <mergeCell ref="E7:G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G52"/>
  <sheetViews>
    <sheetView showGridLines="0" showZeros="0" workbookViewId="0"/>
  </sheetViews>
  <sheetFormatPr defaultColWidth="15.83203125" defaultRowHeight="12" x14ac:dyDescent="0.2"/>
  <cols>
    <col min="1" max="1" width="32.83203125" style="2" customWidth="1"/>
    <col min="2" max="2" width="16.83203125" style="2" customWidth="1"/>
    <col min="3" max="3" width="15.83203125" style="2"/>
    <col min="4" max="4" width="17.83203125" style="2" customWidth="1"/>
    <col min="5" max="5" width="15.83203125" style="2"/>
    <col min="6" max="6" width="17.83203125" style="2" customWidth="1"/>
    <col min="7" max="16384" width="15.83203125" style="2"/>
  </cols>
  <sheetData>
    <row r="1" spans="1:7" ht="6.95" customHeight="1" x14ac:dyDescent="0.2">
      <c r="A1" s="7"/>
      <c r="B1" s="8"/>
      <c r="C1" s="8"/>
      <c r="D1" s="8"/>
      <c r="E1" s="8"/>
      <c r="F1" s="8"/>
      <c r="G1" s="8"/>
    </row>
    <row r="2" spans="1:7" ht="15.95" customHeight="1" x14ac:dyDescent="0.2">
      <c r="A2" s="134"/>
      <c r="B2" s="9" t="s">
        <v>263</v>
      </c>
      <c r="C2" s="10"/>
      <c r="D2" s="10"/>
      <c r="E2" s="10"/>
      <c r="F2" s="73"/>
      <c r="G2" s="395" t="s">
        <v>410</v>
      </c>
    </row>
    <row r="3" spans="1:7" ht="15.95" customHeight="1" x14ac:dyDescent="0.2">
      <c r="A3" s="11"/>
      <c r="B3" s="11" t="str">
        <f>OPYEAR</f>
        <v>OPERATING FUND 2016/2017 ACTUAL</v>
      </c>
      <c r="C3" s="12"/>
      <c r="D3" s="12"/>
      <c r="E3" s="12"/>
      <c r="F3" s="75"/>
      <c r="G3" s="66"/>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164" t="s">
        <v>15</v>
      </c>
      <c r="C6" s="165"/>
      <c r="D6" s="166"/>
      <c r="E6" s="166"/>
      <c r="F6" s="166"/>
      <c r="G6" s="167"/>
    </row>
    <row r="7" spans="1:7" ht="15.95" customHeight="1" x14ac:dyDescent="0.2">
      <c r="B7" s="309"/>
      <c r="C7" s="310"/>
      <c r="D7" s="309"/>
      <c r="E7" s="310"/>
      <c r="F7" s="643" t="s">
        <v>499</v>
      </c>
      <c r="G7" s="644"/>
    </row>
    <row r="8" spans="1:7" ht="15.95" customHeight="1" x14ac:dyDescent="0.2">
      <c r="A8" s="67"/>
      <c r="B8" s="689" t="s">
        <v>19</v>
      </c>
      <c r="C8" s="649"/>
      <c r="D8" s="648" t="s">
        <v>34</v>
      </c>
      <c r="E8" s="649"/>
      <c r="F8" s="645"/>
      <c r="G8" s="646"/>
    </row>
    <row r="9" spans="1:7" ht="15.95" customHeight="1" x14ac:dyDescent="0.2">
      <c r="A9" s="35" t="s">
        <v>42</v>
      </c>
      <c r="B9" s="168" t="s">
        <v>43</v>
      </c>
      <c r="C9" s="168" t="s">
        <v>44</v>
      </c>
      <c r="D9" s="168" t="s">
        <v>43</v>
      </c>
      <c r="E9" s="168" t="s">
        <v>44</v>
      </c>
      <c r="F9" s="168" t="s">
        <v>43</v>
      </c>
      <c r="G9" s="168" t="s">
        <v>44</v>
      </c>
    </row>
    <row r="10" spans="1:7" ht="5.0999999999999996" customHeight="1" x14ac:dyDescent="0.2">
      <c r="A10" s="6"/>
    </row>
    <row r="11" spans="1:7" ht="14.1" customHeight="1" x14ac:dyDescent="0.2">
      <c r="A11" s="284" t="s">
        <v>110</v>
      </c>
      <c r="B11" s="285">
        <v>85616</v>
      </c>
      <c r="C11" s="291">
        <f>B11/'- 3 -'!$D11*100</f>
        <v>0.44783351071584054</v>
      </c>
      <c r="D11" s="285">
        <v>1013472</v>
      </c>
      <c r="E11" s="291">
        <f>D11/'- 3 -'!$D11*100</f>
        <v>5.3011904757545834</v>
      </c>
      <c r="F11" s="285">
        <v>8557</v>
      </c>
      <c r="G11" s="291">
        <f>F11/'- 3 -'!$D11*100</f>
        <v>4.4759289749526344E-2</v>
      </c>
    </row>
    <row r="12" spans="1:7" ht="14.1" customHeight="1" x14ac:dyDescent="0.2">
      <c r="A12" s="19" t="s">
        <v>111</v>
      </c>
      <c r="B12" s="20">
        <v>121991</v>
      </c>
      <c r="C12" s="70">
        <f>B12/'- 3 -'!$D12*100</f>
        <v>0.36503773317345894</v>
      </c>
      <c r="D12" s="20">
        <v>2134404</v>
      </c>
      <c r="E12" s="70">
        <f>D12/'- 3 -'!$D12*100</f>
        <v>6.3868481923778271</v>
      </c>
      <c r="F12" s="20">
        <v>0</v>
      </c>
      <c r="G12" s="70">
        <f>F12/'- 3 -'!$D12*100</f>
        <v>0</v>
      </c>
    </row>
    <row r="13" spans="1:7" ht="14.1" customHeight="1" x14ac:dyDescent="0.2">
      <c r="A13" s="284" t="s">
        <v>112</v>
      </c>
      <c r="B13" s="285">
        <v>203613</v>
      </c>
      <c r="C13" s="291">
        <f>B13/'- 3 -'!$D13*100</f>
        <v>0.21229146666563239</v>
      </c>
      <c r="D13" s="285">
        <v>2045060</v>
      </c>
      <c r="E13" s="291">
        <f>D13/'- 3 -'!$D13*100</f>
        <v>2.1322252843345866</v>
      </c>
      <c r="F13" s="285">
        <v>0</v>
      </c>
      <c r="G13" s="291">
        <f>F13/'- 3 -'!$D13*100</f>
        <v>0</v>
      </c>
    </row>
    <row r="14" spans="1:7" ht="14.1" customHeight="1" x14ac:dyDescent="0.2">
      <c r="A14" s="19" t="s">
        <v>359</v>
      </c>
      <c r="B14" s="20">
        <v>239895</v>
      </c>
      <c r="C14" s="70">
        <f>B14/'- 3 -'!$D14*100</f>
        <v>0.28924664773450226</v>
      </c>
      <c r="D14" s="20">
        <v>7571826</v>
      </c>
      <c r="E14" s="70">
        <f>D14/'- 3 -'!$D14*100</f>
        <v>9.1295161955394875</v>
      </c>
      <c r="F14" s="20">
        <v>276240</v>
      </c>
      <c r="G14" s="70">
        <f>F14/'- 3 -'!$D14*100</f>
        <v>0.33306860905887536</v>
      </c>
    </row>
    <row r="15" spans="1:7" ht="14.1" customHeight="1" x14ac:dyDescent="0.2">
      <c r="A15" s="284" t="s">
        <v>113</v>
      </c>
      <c r="B15" s="285">
        <v>94636</v>
      </c>
      <c r="C15" s="291">
        <f>B15/'- 3 -'!$D15*100</f>
        <v>0.48490656827661871</v>
      </c>
      <c r="D15" s="285">
        <v>1422102</v>
      </c>
      <c r="E15" s="291">
        <f>D15/'- 3 -'!$D15*100</f>
        <v>7.2867259875662116</v>
      </c>
      <c r="F15" s="285">
        <v>7210</v>
      </c>
      <c r="G15" s="291">
        <f>F15/'- 3 -'!$D15*100</f>
        <v>3.6943407976609548E-2</v>
      </c>
    </row>
    <row r="16" spans="1:7" ht="14.1" customHeight="1" x14ac:dyDescent="0.2">
      <c r="A16" s="19" t="s">
        <v>114</v>
      </c>
      <c r="B16" s="20">
        <v>0</v>
      </c>
      <c r="C16" s="70">
        <f>B16/'- 3 -'!$D16*100</f>
        <v>0</v>
      </c>
      <c r="D16" s="20">
        <v>346495</v>
      </c>
      <c r="E16" s="70">
        <f>D16/'- 3 -'!$D16*100</f>
        <v>2.3901818054390147</v>
      </c>
      <c r="F16" s="20">
        <v>0</v>
      </c>
      <c r="G16" s="70">
        <f>F16/'- 3 -'!$D16*100</f>
        <v>0</v>
      </c>
    </row>
    <row r="17" spans="1:7" ht="14.1" customHeight="1" x14ac:dyDescent="0.2">
      <c r="A17" s="284" t="s">
        <v>115</v>
      </c>
      <c r="B17" s="285">
        <v>54761</v>
      </c>
      <c r="C17" s="291">
        <f>B17/'- 3 -'!$D17*100</f>
        <v>0.30514398955887218</v>
      </c>
      <c r="D17" s="285">
        <v>1288702</v>
      </c>
      <c r="E17" s="291">
        <f>D17/'- 3 -'!$D17*100</f>
        <v>7.1810169579170884</v>
      </c>
      <c r="F17" s="285">
        <v>0</v>
      </c>
      <c r="G17" s="291">
        <f>F17/'- 3 -'!$D17*100</f>
        <v>0</v>
      </c>
    </row>
    <row r="18" spans="1:7" ht="14.1" customHeight="1" x14ac:dyDescent="0.2">
      <c r="A18" s="19" t="s">
        <v>116</v>
      </c>
      <c r="B18" s="20">
        <v>328388</v>
      </c>
      <c r="C18" s="70">
        <f>B18/'- 3 -'!$D18*100</f>
        <v>0.25524901788496668</v>
      </c>
      <c r="D18" s="20">
        <v>7182570</v>
      </c>
      <c r="E18" s="70">
        <f>D18/'- 3 -'!$D18*100</f>
        <v>5.5828591129701</v>
      </c>
      <c r="F18" s="20">
        <v>87364</v>
      </c>
      <c r="G18" s="70">
        <f>F18/'- 3 -'!$D18*100</f>
        <v>6.7906181707316424E-2</v>
      </c>
    </row>
    <row r="19" spans="1:7" ht="14.1" customHeight="1" x14ac:dyDescent="0.2">
      <c r="A19" s="284" t="s">
        <v>117</v>
      </c>
      <c r="B19" s="285">
        <v>179339</v>
      </c>
      <c r="C19" s="291">
        <f>B19/'- 3 -'!$D19*100</f>
        <v>0.38858601616030086</v>
      </c>
      <c r="D19" s="285">
        <v>2471304</v>
      </c>
      <c r="E19" s="291">
        <f>D19/'- 3 -'!$D19*100</f>
        <v>5.3547425606310739</v>
      </c>
      <c r="F19" s="285">
        <v>25138</v>
      </c>
      <c r="G19" s="291">
        <f>F19/'- 3 -'!$D19*100</f>
        <v>5.4468215358832402E-2</v>
      </c>
    </row>
    <row r="20" spans="1:7" ht="14.1" customHeight="1" x14ac:dyDescent="0.2">
      <c r="A20" s="19" t="s">
        <v>118</v>
      </c>
      <c r="B20" s="20">
        <v>234857</v>
      </c>
      <c r="C20" s="70">
        <f>B20/'- 3 -'!$D20*100</f>
        <v>0.2855422481420094</v>
      </c>
      <c r="D20" s="20">
        <v>3260443</v>
      </c>
      <c r="E20" s="70">
        <f>D20/'- 3 -'!$D20*100</f>
        <v>3.9640897403904405</v>
      </c>
      <c r="F20" s="20">
        <v>3795</v>
      </c>
      <c r="G20" s="70">
        <f>F20/'- 3 -'!$D20*100</f>
        <v>4.6140112140533422E-3</v>
      </c>
    </row>
    <row r="21" spans="1:7" ht="14.1" customHeight="1" x14ac:dyDescent="0.2">
      <c r="A21" s="284" t="s">
        <v>119</v>
      </c>
      <c r="B21" s="285">
        <v>133469</v>
      </c>
      <c r="C21" s="291">
        <f>B21/'- 3 -'!$D21*100</f>
        <v>0.37107831685043202</v>
      </c>
      <c r="D21" s="285">
        <v>1784367</v>
      </c>
      <c r="E21" s="291">
        <f>D21/'- 3 -'!$D21*100</f>
        <v>4.9610014535469276</v>
      </c>
      <c r="F21" s="285">
        <v>1677</v>
      </c>
      <c r="G21" s="291">
        <f>F21/'- 3 -'!$D21*100</f>
        <v>4.6624934431079464E-3</v>
      </c>
    </row>
    <row r="22" spans="1:7" ht="14.1" customHeight="1" x14ac:dyDescent="0.2">
      <c r="A22" s="19" t="s">
        <v>120</v>
      </c>
      <c r="B22" s="20">
        <v>92562</v>
      </c>
      <c r="C22" s="70">
        <f>B22/'- 3 -'!$D22*100</f>
        <v>0.46116624210495322</v>
      </c>
      <c r="D22" s="20">
        <v>417617</v>
      </c>
      <c r="E22" s="70">
        <f>D22/'- 3 -'!$D22*100</f>
        <v>2.0806687682757961</v>
      </c>
      <c r="F22" s="20">
        <v>2687</v>
      </c>
      <c r="G22" s="70">
        <f>F22/'- 3 -'!$D22*100</f>
        <v>1.3387283037704558E-2</v>
      </c>
    </row>
    <row r="23" spans="1:7" ht="14.1" customHeight="1" x14ac:dyDescent="0.2">
      <c r="A23" s="284" t="s">
        <v>121</v>
      </c>
      <c r="B23" s="285">
        <v>124200</v>
      </c>
      <c r="C23" s="291">
        <f>B23/'- 3 -'!$D23*100</f>
        <v>0.71802918678800853</v>
      </c>
      <c r="D23" s="285">
        <v>1581385</v>
      </c>
      <c r="E23" s="291">
        <f>D23/'- 3 -'!$D23*100</f>
        <v>9.1423557612621185</v>
      </c>
      <c r="F23" s="285">
        <v>5976</v>
      </c>
      <c r="G23" s="291">
        <f>F23/'- 3 -'!$D23*100</f>
        <v>3.4548650726611424E-2</v>
      </c>
    </row>
    <row r="24" spans="1:7" ht="14.1" customHeight="1" x14ac:dyDescent="0.2">
      <c r="A24" s="19" t="s">
        <v>122</v>
      </c>
      <c r="B24" s="20">
        <v>189794</v>
      </c>
      <c r="C24" s="70">
        <f>B24/'- 3 -'!$D24*100</f>
        <v>0.33107774113343424</v>
      </c>
      <c r="D24" s="20">
        <v>2207370</v>
      </c>
      <c r="E24" s="70">
        <f>D24/'- 3 -'!$D24*100</f>
        <v>3.8505488763907643</v>
      </c>
      <c r="F24" s="20">
        <v>4056</v>
      </c>
      <c r="G24" s="70">
        <f>F24/'- 3 -'!$D24*100</f>
        <v>7.0753096411752172E-3</v>
      </c>
    </row>
    <row r="25" spans="1:7" ht="14.1" customHeight="1" x14ac:dyDescent="0.2">
      <c r="A25" s="284" t="s">
        <v>123</v>
      </c>
      <c r="B25" s="285">
        <v>333610</v>
      </c>
      <c r="C25" s="291">
        <f>B25/'- 3 -'!$D25*100</f>
        <v>0.18810398613440021</v>
      </c>
      <c r="D25" s="285">
        <v>3692727</v>
      </c>
      <c r="E25" s="291">
        <f>D25/'- 3 -'!$D25*100</f>
        <v>2.0821218440877831</v>
      </c>
      <c r="F25" s="285">
        <v>4874</v>
      </c>
      <c r="G25" s="291">
        <f>F25/'- 3 -'!$D25*100</f>
        <v>2.7481754995925382E-3</v>
      </c>
    </row>
    <row r="26" spans="1:7" ht="14.1" customHeight="1" x14ac:dyDescent="0.2">
      <c r="A26" s="19" t="s">
        <v>124</v>
      </c>
      <c r="B26" s="20">
        <v>234569</v>
      </c>
      <c r="C26" s="70">
        <f>B26/'- 3 -'!$D26*100</f>
        <v>0.57230107122032592</v>
      </c>
      <c r="D26" s="20">
        <v>2707398</v>
      </c>
      <c r="E26" s="70">
        <f>D26/'- 3 -'!$D26*100</f>
        <v>6.6055053123804424</v>
      </c>
      <c r="F26" s="20">
        <v>6671</v>
      </c>
      <c r="G26" s="70">
        <f>F26/'- 3 -'!$D26*100</f>
        <v>1.6275895135805647E-2</v>
      </c>
    </row>
    <row r="27" spans="1:7" ht="14.1" customHeight="1" x14ac:dyDescent="0.2">
      <c r="A27" s="284" t="s">
        <v>125</v>
      </c>
      <c r="B27" s="285">
        <v>0</v>
      </c>
      <c r="C27" s="291">
        <f>B27/'- 3 -'!$D27*100</f>
        <v>0</v>
      </c>
      <c r="D27" s="285">
        <v>0</v>
      </c>
      <c r="E27" s="291">
        <f>D27/'- 3 -'!$D27*100</f>
        <v>0</v>
      </c>
      <c r="F27" s="285">
        <v>177558</v>
      </c>
      <c r="G27" s="291">
        <f>F27/'- 3 -'!$D27*100</f>
        <v>0.428399914328703</v>
      </c>
    </row>
    <row r="28" spans="1:7" ht="14.1" customHeight="1" x14ac:dyDescent="0.2">
      <c r="A28" s="19" t="s">
        <v>126</v>
      </c>
      <c r="B28" s="20">
        <v>53436</v>
      </c>
      <c r="C28" s="70">
        <f>B28/'- 3 -'!$D28*100</f>
        <v>0.18944588991653721</v>
      </c>
      <c r="D28" s="20">
        <v>1642583</v>
      </c>
      <c r="E28" s="70">
        <f>D28/'- 3 -'!$D28*100</f>
        <v>5.8234261209067943</v>
      </c>
      <c r="F28" s="20">
        <v>8663</v>
      </c>
      <c r="G28" s="70">
        <f>F28/'- 3 -'!$D28*100</f>
        <v>3.0712810546204096E-2</v>
      </c>
    </row>
    <row r="29" spans="1:7" ht="14.1" customHeight="1" x14ac:dyDescent="0.2">
      <c r="A29" s="284" t="s">
        <v>127</v>
      </c>
      <c r="B29" s="285">
        <v>195859</v>
      </c>
      <c r="C29" s="291">
        <f>B29/'- 3 -'!$D29*100</f>
        <v>0.12295768724763442</v>
      </c>
      <c r="D29" s="285">
        <v>2280392</v>
      </c>
      <c r="E29" s="291">
        <f>D29/'- 3 -'!$D29*100</f>
        <v>1.4315999077806361</v>
      </c>
      <c r="F29" s="285">
        <v>96332</v>
      </c>
      <c r="G29" s="291">
        <f>F29/'- 3 -'!$D29*100</f>
        <v>6.0475954272916334E-2</v>
      </c>
    </row>
    <row r="30" spans="1:7" ht="14.1" customHeight="1" x14ac:dyDescent="0.2">
      <c r="A30" s="19" t="s">
        <v>128</v>
      </c>
      <c r="B30" s="20">
        <v>67687</v>
      </c>
      <c r="C30" s="70">
        <f>B30/'- 3 -'!$D30*100</f>
        <v>0.47999245479971181</v>
      </c>
      <c r="D30" s="20">
        <v>1011282</v>
      </c>
      <c r="E30" s="70">
        <f>D30/'- 3 -'!$D30*100</f>
        <v>7.171358306244362</v>
      </c>
      <c r="F30" s="20">
        <v>0</v>
      </c>
      <c r="G30" s="70">
        <f>F30/'- 3 -'!$D30*100</f>
        <v>0</v>
      </c>
    </row>
    <row r="31" spans="1:7" ht="14.1" customHeight="1" x14ac:dyDescent="0.2">
      <c r="A31" s="284" t="s">
        <v>129</v>
      </c>
      <c r="B31" s="285">
        <v>100537</v>
      </c>
      <c r="C31" s="291">
        <f>B31/'- 3 -'!$D31*100</f>
        <v>0.26795968491009331</v>
      </c>
      <c r="D31" s="285">
        <v>946475</v>
      </c>
      <c r="E31" s="291">
        <f>D31/'- 3 -'!$D31*100</f>
        <v>2.5226249318686707</v>
      </c>
      <c r="F31" s="285">
        <v>0</v>
      </c>
      <c r="G31" s="291">
        <f>F31/'- 3 -'!$D31*100</f>
        <v>0</v>
      </c>
    </row>
    <row r="32" spans="1:7" ht="14.1" customHeight="1" x14ac:dyDescent="0.2">
      <c r="A32" s="19" t="s">
        <v>130</v>
      </c>
      <c r="B32" s="20">
        <v>118509</v>
      </c>
      <c r="C32" s="70">
        <f>B32/'- 3 -'!$D32*100</f>
        <v>0.40450735104704322</v>
      </c>
      <c r="D32" s="20">
        <v>1918627</v>
      </c>
      <c r="E32" s="70">
        <f>D32/'- 3 -'!$D32*100</f>
        <v>6.5488589509432646</v>
      </c>
      <c r="F32" s="20">
        <v>0</v>
      </c>
      <c r="G32" s="70">
        <f>F32/'- 3 -'!$D32*100</f>
        <v>0</v>
      </c>
    </row>
    <row r="33" spans="1:7" ht="14.1" customHeight="1" x14ac:dyDescent="0.2">
      <c r="A33" s="284" t="s">
        <v>131</v>
      </c>
      <c r="B33" s="285">
        <v>109194</v>
      </c>
      <c r="C33" s="291">
        <f>B33/'- 3 -'!$D33*100</f>
        <v>0.39259046174950291</v>
      </c>
      <c r="D33" s="285">
        <v>2097677</v>
      </c>
      <c r="E33" s="291">
        <f>D33/'- 3 -'!$D33*100</f>
        <v>7.5418794258962221</v>
      </c>
      <c r="F33" s="285">
        <v>0</v>
      </c>
      <c r="G33" s="291">
        <f>F33/'- 3 -'!$D33*100</f>
        <v>0</v>
      </c>
    </row>
    <row r="34" spans="1:7" ht="14.1" customHeight="1" x14ac:dyDescent="0.2">
      <c r="A34" s="19" t="s">
        <v>132</v>
      </c>
      <c r="B34" s="20">
        <v>160874</v>
      </c>
      <c r="C34" s="70">
        <f>B34/'- 3 -'!$D34*100</f>
        <v>0.55320699743544188</v>
      </c>
      <c r="D34" s="20">
        <v>2458858</v>
      </c>
      <c r="E34" s="70">
        <f>D34/'- 3 -'!$D34*100</f>
        <v>8.4554213316018494</v>
      </c>
      <c r="F34" s="20">
        <v>0</v>
      </c>
      <c r="G34" s="70">
        <f>F34/'- 3 -'!$D34*100</f>
        <v>0</v>
      </c>
    </row>
    <row r="35" spans="1:7" ht="14.1" customHeight="1" x14ac:dyDescent="0.2">
      <c r="A35" s="284" t="s">
        <v>133</v>
      </c>
      <c r="B35" s="285">
        <v>451687</v>
      </c>
      <c r="C35" s="291">
        <f>B35/'- 3 -'!$D35*100</f>
        <v>0.24514635460488277</v>
      </c>
      <c r="D35" s="285">
        <v>4114936</v>
      </c>
      <c r="E35" s="291">
        <f>D35/'- 3 -'!$D35*100</f>
        <v>2.2333198870731237</v>
      </c>
      <c r="F35" s="285">
        <v>15582</v>
      </c>
      <c r="G35" s="291">
        <f>F35/'- 3 -'!$D35*100</f>
        <v>8.4568971377376005E-3</v>
      </c>
    </row>
    <row r="36" spans="1:7" ht="14.1" customHeight="1" x14ac:dyDescent="0.2">
      <c r="A36" s="19" t="s">
        <v>134</v>
      </c>
      <c r="B36" s="20">
        <v>60790</v>
      </c>
      <c r="C36" s="70">
        <f>B36/'- 3 -'!$D36*100</f>
        <v>0.25931879737505731</v>
      </c>
      <c r="D36" s="20">
        <v>1430428</v>
      </c>
      <c r="E36" s="70">
        <f>D36/'- 3 -'!$D36*100</f>
        <v>6.1019389487022284</v>
      </c>
      <c r="F36" s="20">
        <v>7853</v>
      </c>
      <c r="G36" s="70">
        <f>F36/'- 3 -'!$D36*100</f>
        <v>3.3499432732132343E-2</v>
      </c>
    </row>
    <row r="37" spans="1:7" ht="14.1" customHeight="1" x14ac:dyDescent="0.2">
      <c r="A37" s="284" t="s">
        <v>135</v>
      </c>
      <c r="B37" s="285">
        <v>261818</v>
      </c>
      <c r="C37" s="291">
        <f>B37/'- 3 -'!$D37*100</f>
        <v>0.52167294470905978</v>
      </c>
      <c r="D37" s="285">
        <v>2819083</v>
      </c>
      <c r="E37" s="291">
        <f>D37/'- 3 -'!$D37*100</f>
        <v>5.6170291194236093</v>
      </c>
      <c r="F37" s="285">
        <v>0</v>
      </c>
      <c r="G37" s="291">
        <f>F37/'- 3 -'!$D37*100</f>
        <v>0</v>
      </c>
    </row>
    <row r="38" spans="1:7" ht="14.1" customHeight="1" x14ac:dyDescent="0.2">
      <c r="A38" s="19" t="s">
        <v>136</v>
      </c>
      <c r="B38" s="20">
        <v>366381</v>
      </c>
      <c r="C38" s="70">
        <f>B38/'- 3 -'!$D38*100</f>
        <v>0.270022841402556</v>
      </c>
      <c r="D38" s="20">
        <v>2923264</v>
      </c>
      <c r="E38" s="70">
        <f>D38/'- 3 -'!$D38*100</f>
        <v>2.1544459222770875</v>
      </c>
      <c r="F38" s="20">
        <v>197454</v>
      </c>
      <c r="G38" s="70">
        <f>F38/'- 3 -'!$D38*100</f>
        <v>0.1455236219299044</v>
      </c>
    </row>
    <row r="39" spans="1:7" ht="14.1" customHeight="1" x14ac:dyDescent="0.2">
      <c r="A39" s="284" t="s">
        <v>137</v>
      </c>
      <c r="B39" s="285">
        <v>84395</v>
      </c>
      <c r="C39" s="291">
        <f>B39/'- 3 -'!$D39*100</f>
        <v>0.39334009663596459</v>
      </c>
      <c r="D39" s="285">
        <v>1802142</v>
      </c>
      <c r="E39" s="291">
        <f>D39/'- 3 -'!$D39*100</f>
        <v>8.3992500554740257</v>
      </c>
      <c r="F39" s="285">
        <v>0</v>
      </c>
      <c r="G39" s="291">
        <f>F39/'- 3 -'!$D39*100</f>
        <v>0</v>
      </c>
    </row>
    <row r="40" spans="1:7" ht="14.1" customHeight="1" x14ac:dyDescent="0.2">
      <c r="A40" s="19" t="s">
        <v>138</v>
      </c>
      <c r="B40" s="20">
        <v>142859</v>
      </c>
      <c r="C40" s="70">
        <f>B40/'- 3 -'!$D40*100</f>
        <v>0.13691167328732107</v>
      </c>
      <c r="D40" s="20">
        <v>2304947</v>
      </c>
      <c r="E40" s="70">
        <f>D40/'- 3 -'!$D40*100</f>
        <v>2.20899033738575</v>
      </c>
      <c r="F40" s="20">
        <v>4011</v>
      </c>
      <c r="G40" s="70">
        <f>F40/'- 3 -'!$D40*100</f>
        <v>3.8440190786400911E-3</v>
      </c>
    </row>
    <row r="41" spans="1:7" ht="14.1" customHeight="1" x14ac:dyDescent="0.2">
      <c r="A41" s="284" t="s">
        <v>139</v>
      </c>
      <c r="B41" s="285">
        <v>539059</v>
      </c>
      <c r="C41" s="291">
        <f>B41/'- 3 -'!$D41*100</f>
        <v>0.86056142757485565</v>
      </c>
      <c r="D41" s="285">
        <v>4531171</v>
      </c>
      <c r="E41" s="291">
        <f>D41/'- 3 -'!$D41*100</f>
        <v>7.2336256037758133</v>
      </c>
      <c r="F41" s="285">
        <v>2440</v>
      </c>
      <c r="G41" s="291">
        <f>F41/'- 3 -'!$D41*100</f>
        <v>3.8952505816295577E-3</v>
      </c>
    </row>
    <row r="42" spans="1:7" ht="14.1" customHeight="1" x14ac:dyDescent="0.2">
      <c r="A42" s="19" t="s">
        <v>140</v>
      </c>
      <c r="B42" s="20">
        <v>110770</v>
      </c>
      <c r="C42" s="70">
        <f>B42/'- 3 -'!$D42*100</f>
        <v>0.54671045351648284</v>
      </c>
      <c r="D42" s="20">
        <v>1483674</v>
      </c>
      <c r="E42" s="70">
        <f>D42/'- 3 -'!$D42*100</f>
        <v>7.322741585362591</v>
      </c>
      <c r="F42" s="20">
        <v>0</v>
      </c>
      <c r="G42" s="70">
        <f>F42/'- 3 -'!$D42*100</f>
        <v>0</v>
      </c>
    </row>
    <row r="43" spans="1:7" ht="14.1" customHeight="1" x14ac:dyDescent="0.2">
      <c r="A43" s="284" t="s">
        <v>141</v>
      </c>
      <c r="B43" s="285">
        <v>9774</v>
      </c>
      <c r="C43" s="291">
        <f>B43/'- 3 -'!$D43*100</f>
        <v>7.3779100812868453E-2</v>
      </c>
      <c r="D43" s="285">
        <v>1118459</v>
      </c>
      <c r="E43" s="291">
        <f>D43/'- 3 -'!$D43*100</f>
        <v>8.4426948348741586</v>
      </c>
      <c r="F43" s="285">
        <v>0</v>
      </c>
      <c r="G43" s="291">
        <f>F43/'- 3 -'!$D43*100</f>
        <v>0</v>
      </c>
    </row>
    <row r="44" spans="1:7" ht="14.1" customHeight="1" x14ac:dyDescent="0.2">
      <c r="A44" s="19" t="s">
        <v>142</v>
      </c>
      <c r="B44" s="20">
        <v>48751</v>
      </c>
      <c r="C44" s="70">
        <f>B44/'- 3 -'!$D44*100</f>
        <v>0.45104595643050199</v>
      </c>
      <c r="D44" s="20">
        <v>975330</v>
      </c>
      <c r="E44" s="70">
        <f>D44/'- 3 -'!$D44*100</f>
        <v>9.0237872594482482</v>
      </c>
      <c r="F44" s="20">
        <v>0</v>
      </c>
      <c r="G44" s="70">
        <f>F44/'- 3 -'!$D44*100</f>
        <v>0</v>
      </c>
    </row>
    <row r="45" spans="1:7" ht="14.1" customHeight="1" x14ac:dyDescent="0.2">
      <c r="A45" s="284" t="s">
        <v>143</v>
      </c>
      <c r="B45" s="285">
        <v>47488</v>
      </c>
      <c r="C45" s="291">
        <f>B45/'- 3 -'!$D45*100</f>
        <v>0.24654485207828047</v>
      </c>
      <c r="D45" s="285">
        <v>671236</v>
      </c>
      <c r="E45" s="291">
        <f>D45/'- 3 -'!$D45*100</f>
        <v>3.4848757650273052</v>
      </c>
      <c r="F45" s="285">
        <v>14101</v>
      </c>
      <c r="G45" s="291">
        <f>F45/'- 3 -'!$D45*100</f>
        <v>7.3208578149339482E-2</v>
      </c>
    </row>
    <row r="46" spans="1:7" ht="14.1" customHeight="1" x14ac:dyDescent="0.2">
      <c r="A46" s="19" t="s">
        <v>144</v>
      </c>
      <c r="B46" s="20">
        <v>607511</v>
      </c>
      <c r="C46" s="70">
        <f>B46/'- 3 -'!$D46*100</f>
        <v>0.15526788372367159</v>
      </c>
      <c r="D46" s="20">
        <v>5880260</v>
      </c>
      <c r="E46" s="70">
        <f>D46/'- 3 -'!$D46*100</f>
        <v>1.5028790029233332</v>
      </c>
      <c r="F46" s="20">
        <v>0</v>
      </c>
      <c r="G46" s="70">
        <f>F46/'- 3 -'!$D46*100</f>
        <v>0</v>
      </c>
    </row>
    <row r="47" spans="1:7" ht="5.0999999999999996" customHeight="1" x14ac:dyDescent="0.2">
      <c r="A47"/>
      <c r="B47" s="22"/>
      <c r="C47"/>
      <c r="D47" s="22"/>
      <c r="E47"/>
      <c r="F47" s="22"/>
      <c r="G47"/>
    </row>
    <row r="48" spans="1:7" ht="14.1" customHeight="1" x14ac:dyDescent="0.2">
      <c r="A48" s="286" t="s">
        <v>145</v>
      </c>
      <c r="B48" s="287">
        <f>SUM(B11:B46)</f>
        <v>6188679</v>
      </c>
      <c r="C48" s="294">
        <f>B48/'- 3 -'!$D48*100</f>
        <v>0.26989298717095001</v>
      </c>
      <c r="D48" s="287">
        <f>SUM(D11:D46)</f>
        <v>83538066</v>
      </c>
      <c r="E48" s="294">
        <f>D48/'- 3 -'!$D48*100</f>
        <v>3.643158447097349</v>
      </c>
      <c r="F48" s="287">
        <f>SUM(F11:F46)</f>
        <v>958239</v>
      </c>
      <c r="G48" s="294">
        <f>F48/'- 3 -'!$D48*100</f>
        <v>4.1789529903506713E-2</v>
      </c>
    </row>
    <row r="49" spans="1:7" ht="5.0999999999999996" customHeight="1" x14ac:dyDescent="0.2">
      <c r="A49" s="21" t="s">
        <v>7</v>
      </c>
      <c r="B49" s="22"/>
      <c r="C49"/>
      <c r="D49" s="22"/>
      <c r="E49"/>
      <c r="F49" s="22"/>
      <c r="G49"/>
    </row>
    <row r="50" spans="1:7" ht="14.1" customHeight="1" x14ac:dyDescent="0.2">
      <c r="A50" s="19" t="s">
        <v>146</v>
      </c>
      <c r="B50" s="20">
        <v>0</v>
      </c>
      <c r="C50" s="70">
        <f>B50/'- 3 -'!$D50*100</f>
        <v>0</v>
      </c>
      <c r="D50" s="20">
        <v>3250</v>
      </c>
      <c r="E50" s="70">
        <f>D50/'- 3 -'!$D50*100</f>
        <v>0.10135402743482</v>
      </c>
      <c r="F50" s="20">
        <v>0</v>
      </c>
      <c r="G50" s="70">
        <f>F50/'- 3 -'!$D50*100</f>
        <v>0</v>
      </c>
    </row>
    <row r="51" spans="1:7" ht="14.1" customHeight="1" x14ac:dyDescent="0.2">
      <c r="A51" s="284" t="s">
        <v>609</v>
      </c>
      <c r="B51" s="285">
        <v>0</v>
      </c>
      <c r="C51" s="291">
        <f>B51/'- 3 -'!$D51*100</f>
        <v>0</v>
      </c>
      <c r="D51" s="285">
        <v>0</v>
      </c>
      <c r="E51" s="291">
        <f>D51/'- 3 -'!$D51*100</f>
        <v>0</v>
      </c>
      <c r="F51" s="285">
        <v>0</v>
      </c>
      <c r="G51" s="291">
        <f>F51/'- 3 -'!$D51*100</f>
        <v>0</v>
      </c>
    </row>
    <row r="52" spans="1:7" ht="50.1" customHeight="1" x14ac:dyDescent="0.2"/>
  </sheetData>
  <mergeCells count="3">
    <mergeCell ref="D8:E8"/>
    <mergeCell ref="B8:C8"/>
    <mergeCell ref="F7:G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G52"/>
  <sheetViews>
    <sheetView showGridLines="0" showZeros="0" workbookViewId="0"/>
  </sheetViews>
  <sheetFormatPr defaultColWidth="15.83203125" defaultRowHeight="12" x14ac:dyDescent="0.2"/>
  <cols>
    <col min="1" max="1" width="33.83203125" style="2" customWidth="1"/>
    <col min="2" max="2" width="19.83203125" style="2" customWidth="1"/>
    <col min="3" max="3" width="15.83203125" style="2"/>
    <col min="4" max="4" width="19.83203125" style="2" customWidth="1"/>
    <col min="5" max="5" width="15.83203125" style="2"/>
    <col min="6" max="6" width="11.83203125" style="2" customWidth="1"/>
    <col min="7" max="16384" width="15.83203125" style="2"/>
  </cols>
  <sheetData>
    <row r="1" spans="1:7" ht="6.95" customHeight="1" x14ac:dyDescent="0.2">
      <c r="A1" s="7"/>
      <c r="B1" s="8"/>
      <c r="C1" s="8"/>
      <c r="D1" s="8"/>
      <c r="E1" s="8"/>
      <c r="F1" s="8"/>
      <c r="G1" s="8"/>
    </row>
    <row r="2" spans="1:7" ht="15.95" customHeight="1" x14ac:dyDescent="0.2">
      <c r="A2" s="134"/>
      <c r="B2" s="9" t="s">
        <v>263</v>
      </c>
      <c r="C2" s="10"/>
      <c r="D2" s="10"/>
      <c r="E2" s="10"/>
      <c r="F2" s="73"/>
      <c r="G2" s="395" t="s">
        <v>411</v>
      </c>
    </row>
    <row r="3" spans="1:7" ht="15.95" customHeight="1" x14ac:dyDescent="0.2">
      <c r="A3" s="541"/>
      <c r="B3" s="11" t="str">
        <f>OPYEAR</f>
        <v>OPERATING FUND 2016/2017 ACTUAL</v>
      </c>
      <c r="C3" s="12"/>
      <c r="D3" s="12"/>
      <c r="E3" s="12"/>
      <c r="F3" s="75"/>
      <c r="G3" s="66"/>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557" t="s">
        <v>15</v>
      </c>
      <c r="C6" s="72"/>
      <c r="D6" s="173"/>
      <c r="E6" s="174"/>
      <c r="F6" s="8"/>
      <c r="G6" s="43"/>
    </row>
    <row r="7" spans="1:7" ht="15.95" customHeight="1" x14ac:dyDescent="0.2">
      <c r="B7" s="670" t="s">
        <v>500</v>
      </c>
      <c r="C7" s="671"/>
      <c r="D7" s="690" t="s">
        <v>501</v>
      </c>
      <c r="E7" s="644"/>
      <c r="F7" s="69"/>
      <c r="G7" s="8"/>
    </row>
    <row r="8" spans="1:7" ht="15.95" customHeight="1" x14ac:dyDescent="0.2">
      <c r="A8" s="403"/>
      <c r="B8" s="672"/>
      <c r="C8" s="673"/>
      <c r="D8" s="677"/>
      <c r="E8" s="646"/>
      <c r="F8" s="8"/>
      <c r="G8" s="8"/>
    </row>
    <row r="9" spans="1:7" ht="15.95" customHeight="1" x14ac:dyDescent="0.2">
      <c r="A9" s="35" t="s">
        <v>42</v>
      </c>
      <c r="B9" s="77" t="s">
        <v>43</v>
      </c>
      <c r="C9" s="77" t="s">
        <v>44</v>
      </c>
      <c r="D9" s="168" t="s">
        <v>43</v>
      </c>
      <c r="E9" s="168" t="s">
        <v>44</v>
      </c>
    </row>
    <row r="10" spans="1:7" ht="5.0999999999999996" customHeight="1" x14ac:dyDescent="0.2">
      <c r="A10" s="6"/>
    </row>
    <row r="11" spans="1:7" ht="14.1" customHeight="1" x14ac:dyDescent="0.2">
      <c r="A11" s="284" t="s">
        <v>110</v>
      </c>
      <c r="B11" s="285">
        <v>0</v>
      </c>
      <c r="C11" s="291">
        <f>B11/'- 3 -'!$D11*100</f>
        <v>0</v>
      </c>
      <c r="D11" s="285">
        <v>154879</v>
      </c>
      <c r="E11" s="291">
        <f>D11/'- 3 -'!$D11*100</f>
        <v>0.81012902151652333</v>
      </c>
    </row>
    <row r="12" spans="1:7" ht="14.1" customHeight="1" x14ac:dyDescent="0.2">
      <c r="A12" s="19" t="s">
        <v>111</v>
      </c>
      <c r="B12" s="20">
        <v>0</v>
      </c>
      <c r="C12" s="70">
        <f>B12/'- 3 -'!$D12*100</f>
        <v>0</v>
      </c>
      <c r="D12" s="20">
        <v>273498</v>
      </c>
      <c r="E12" s="70">
        <f>D12/'- 3 -'!$D12*100</f>
        <v>0.81839717641034726</v>
      </c>
    </row>
    <row r="13" spans="1:7" ht="14.1" customHeight="1" x14ac:dyDescent="0.2">
      <c r="A13" s="284" t="s">
        <v>112</v>
      </c>
      <c r="B13" s="285">
        <v>0</v>
      </c>
      <c r="C13" s="291">
        <f>B13/'- 3 -'!$D13*100</f>
        <v>0</v>
      </c>
      <c r="D13" s="285">
        <v>76890</v>
      </c>
      <c r="E13" s="291">
        <f>D13/'- 3 -'!$D13*100</f>
        <v>8.0167233290214635E-2</v>
      </c>
    </row>
    <row r="14" spans="1:7" ht="14.1" customHeight="1" x14ac:dyDescent="0.2">
      <c r="A14" s="19" t="s">
        <v>359</v>
      </c>
      <c r="B14" s="20">
        <v>0</v>
      </c>
      <c r="C14" s="70">
        <f>B14/'- 3 -'!$D14*100</f>
        <v>0</v>
      </c>
      <c r="D14" s="20">
        <v>524774</v>
      </c>
      <c r="E14" s="70">
        <f>D14/'- 3 -'!$D14*100</f>
        <v>0.63273148801861523</v>
      </c>
    </row>
    <row r="15" spans="1:7" ht="14.1" customHeight="1" x14ac:dyDescent="0.2">
      <c r="A15" s="284" t="s">
        <v>113</v>
      </c>
      <c r="B15" s="285">
        <v>0</v>
      </c>
      <c r="C15" s="291">
        <f>B15/'- 3 -'!$D15*100</f>
        <v>0</v>
      </c>
      <c r="D15" s="285">
        <v>70787</v>
      </c>
      <c r="E15" s="291">
        <f>D15/'- 3 -'!$D15*100</f>
        <v>0.36270638286272672</v>
      </c>
    </row>
    <row r="16" spans="1:7" ht="14.1" customHeight="1" x14ac:dyDescent="0.2">
      <c r="A16" s="19" t="s">
        <v>114</v>
      </c>
      <c r="B16" s="20">
        <v>0</v>
      </c>
      <c r="C16" s="70">
        <f>B16/'- 3 -'!$D16*100</f>
        <v>0</v>
      </c>
      <c r="D16" s="20">
        <v>100519</v>
      </c>
      <c r="E16" s="70">
        <f>D16/'- 3 -'!$D16*100</f>
        <v>0.69339726374384714</v>
      </c>
    </row>
    <row r="17" spans="1:5" ht="14.1" customHeight="1" x14ac:dyDescent="0.2">
      <c r="A17" s="284" t="s">
        <v>115</v>
      </c>
      <c r="B17" s="285">
        <v>0</v>
      </c>
      <c r="C17" s="291">
        <f>B17/'- 3 -'!$D17*100</f>
        <v>0</v>
      </c>
      <c r="D17" s="285">
        <v>42644</v>
      </c>
      <c r="E17" s="291">
        <f>D17/'- 3 -'!$D17*100</f>
        <v>0.23762459215040896</v>
      </c>
    </row>
    <row r="18" spans="1:5" ht="14.1" customHeight="1" x14ac:dyDescent="0.2">
      <c r="A18" s="19" t="s">
        <v>116</v>
      </c>
      <c r="B18" s="20">
        <v>2713181</v>
      </c>
      <c r="C18" s="70">
        <f>B18/'- 3 -'!$D18*100</f>
        <v>2.1088979670211816</v>
      </c>
      <c r="D18" s="20">
        <v>1017255</v>
      </c>
      <c r="E18" s="70">
        <f>D18/'- 3 -'!$D18*100</f>
        <v>0.79069070638565286</v>
      </c>
    </row>
    <row r="19" spans="1:5" ht="14.1" customHeight="1" x14ac:dyDescent="0.2">
      <c r="A19" s="284" t="s">
        <v>117</v>
      </c>
      <c r="B19" s="285">
        <v>0</v>
      </c>
      <c r="C19" s="291">
        <f>B19/'- 3 -'!$D19*100</f>
        <v>0</v>
      </c>
      <c r="D19" s="285">
        <v>172676</v>
      </c>
      <c r="E19" s="291">
        <f>D19/'- 3 -'!$D19*100</f>
        <v>0.37414884061189208</v>
      </c>
    </row>
    <row r="20" spans="1:5" ht="14.1" customHeight="1" x14ac:dyDescent="0.2">
      <c r="A20" s="19" t="s">
        <v>118</v>
      </c>
      <c r="B20" s="20">
        <v>0</v>
      </c>
      <c r="C20" s="70">
        <f>B20/'- 3 -'!$D20*100</f>
        <v>0</v>
      </c>
      <c r="D20" s="20">
        <v>392617</v>
      </c>
      <c r="E20" s="70">
        <f>D20/'- 3 -'!$D20*100</f>
        <v>0.47734894356468532</v>
      </c>
    </row>
    <row r="21" spans="1:5" ht="14.1" customHeight="1" x14ac:dyDescent="0.2">
      <c r="A21" s="284" t="s">
        <v>119</v>
      </c>
      <c r="B21" s="285">
        <v>0</v>
      </c>
      <c r="C21" s="291">
        <f>B21/'- 3 -'!$D21*100</f>
        <v>0</v>
      </c>
      <c r="D21" s="285">
        <v>159401</v>
      </c>
      <c r="E21" s="291">
        <f>D21/'- 3 -'!$D21*100</f>
        <v>0.44317597932310665</v>
      </c>
    </row>
    <row r="22" spans="1:5" ht="14.1" customHeight="1" x14ac:dyDescent="0.2">
      <c r="A22" s="19" t="s">
        <v>120</v>
      </c>
      <c r="B22" s="20">
        <v>0</v>
      </c>
      <c r="C22" s="70">
        <f>B22/'- 3 -'!$D22*100</f>
        <v>0</v>
      </c>
      <c r="D22" s="20">
        <v>46837</v>
      </c>
      <c r="E22" s="70">
        <f>D22/'- 3 -'!$D22*100</f>
        <v>0.23335324735279805</v>
      </c>
    </row>
    <row r="23" spans="1:5" ht="14.1" customHeight="1" x14ac:dyDescent="0.2">
      <c r="A23" s="284" t="s">
        <v>121</v>
      </c>
      <c r="B23" s="285">
        <v>0</v>
      </c>
      <c r="C23" s="291">
        <f>B23/'- 3 -'!$D23*100</f>
        <v>0</v>
      </c>
      <c r="D23" s="285">
        <v>0</v>
      </c>
      <c r="E23" s="291">
        <f>D23/'- 3 -'!$D23*100</f>
        <v>0</v>
      </c>
    </row>
    <row r="24" spans="1:5" ht="14.1" customHeight="1" x14ac:dyDescent="0.2">
      <c r="A24" s="19" t="s">
        <v>122</v>
      </c>
      <c r="B24" s="20">
        <v>0</v>
      </c>
      <c r="C24" s="70">
        <f>B24/'- 3 -'!$D24*100</f>
        <v>0</v>
      </c>
      <c r="D24" s="20">
        <v>85497</v>
      </c>
      <c r="E24" s="70">
        <f>D24/'- 3 -'!$D24*100</f>
        <v>0.14914145670403292</v>
      </c>
    </row>
    <row r="25" spans="1:5" ht="14.1" customHeight="1" x14ac:dyDescent="0.2">
      <c r="A25" s="284" t="s">
        <v>123</v>
      </c>
      <c r="B25" s="285">
        <v>0</v>
      </c>
      <c r="C25" s="291">
        <f>B25/'- 3 -'!$D25*100</f>
        <v>0</v>
      </c>
      <c r="D25" s="285">
        <v>110085</v>
      </c>
      <c r="E25" s="291">
        <f>D25/'- 3 -'!$D25*100</f>
        <v>6.2070763207354232E-2</v>
      </c>
    </row>
    <row r="26" spans="1:5" ht="14.1" customHeight="1" x14ac:dyDescent="0.2">
      <c r="A26" s="19" t="s">
        <v>124</v>
      </c>
      <c r="B26" s="20">
        <v>0</v>
      </c>
      <c r="C26" s="70">
        <f>B26/'- 3 -'!$D26*100</f>
        <v>0</v>
      </c>
      <c r="D26" s="20">
        <v>185141</v>
      </c>
      <c r="E26" s="70">
        <f>D26/'- 3 -'!$D26*100</f>
        <v>0.45170671583543587</v>
      </c>
    </row>
    <row r="27" spans="1:5" ht="14.1" customHeight="1" x14ac:dyDescent="0.2">
      <c r="A27" s="284" t="s">
        <v>125</v>
      </c>
      <c r="B27" s="285">
        <v>0</v>
      </c>
      <c r="C27" s="291">
        <f>B27/'- 3 -'!$D27*100</f>
        <v>0</v>
      </c>
      <c r="D27" s="285">
        <v>130770</v>
      </c>
      <c r="E27" s="291">
        <f>D27/'- 3 -'!$D27*100</f>
        <v>0.31551299742486671</v>
      </c>
    </row>
    <row r="28" spans="1:5" ht="14.1" customHeight="1" x14ac:dyDescent="0.2">
      <c r="A28" s="19" t="s">
        <v>126</v>
      </c>
      <c r="B28" s="20">
        <v>0</v>
      </c>
      <c r="C28" s="70">
        <f>B28/'- 3 -'!$D28*100</f>
        <v>0</v>
      </c>
      <c r="D28" s="20">
        <v>196228</v>
      </c>
      <c r="E28" s="70">
        <f>D28/'- 3 -'!$D28*100</f>
        <v>0.69568433427918008</v>
      </c>
    </row>
    <row r="29" spans="1:5" ht="14.1" customHeight="1" x14ac:dyDescent="0.2">
      <c r="A29" s="284" t="s">
        <v>127</v>
      </c>
      <c r="B29" s="285">
        <v>0</v>
      </c>
      <c r="C29" s="291">
        <f>B29/'- 3 -'!$D29*100</f>
        <v>0</v>
      </c>
      <c r="D29" s="285">
        <v>467967</v>
      </c>
      <c r="E29" s="291">
        <f>D29/'- 3 -'!$D29*100</f>
        <v>0.29378348724446535</v>
      </c>
    </row>
    <row r="30" spans="1:5" ht="14.1" customHeight="1" x14ac:dyDescent="0.2">
      <c r="A30" s="19" t="s">
        <v>128</v>
      </c>
      <c r="B30" s="20">
        <v>0</v>
      </c>
      <c r="C30" s="70">
        <f>B30/'- 3 -'!$D30*100</f>
        <v>0</v>
      </c>
      <c r="D30" s="20">
        <v>44837</v>
      </c>
      <c r="E30" s="70">
        <f>D30/'- 3 -'!$D30*100</f>
        <v>0.31795502379858287</v>
      </c>
    </row>
    <row r="31" spans="1:5" ht="14.1" customHeight="1" x14ac:dyDescent="0.2">
      <c r="A31" s="284" t="s">
        <v>129</v>
      </c>
      <c r="B31" s="285">
        <v>0</v>
      </c>
      <c r="C31" s="291">
        <f>B31/'- 3 -'!$D31*100</f>
        <v>0</v>
      </c>
      <c r="D31" s="285">
        <v>33225</v>
      </c>
      <c r="E31" s="291">
        <f>D31/'- 3 -'!$D31*100</f>
        <v>8.8554069955716311E-2</v>
      </c>
    </row>
    <row r="32" spans="1:5" ht="14.1" customHeight="1" x14ac:dyDescent="0.2">
      <c r="A32" s="19" t="s">
        <v>130</v>
      </c>
      <c r="B32" s="20">
        <v>0</v>
      </c>
      <c r="C32" s="70">
        <f>B32/'- 3 -'!$D32*100</f>
        <v>0</v>
      </c>
      <c r="D32" s="20">
        <v>167635</v>
      </c>
      <c r="E32" s="70">
        <f>D32/'- 3 -'!$D32*100</f>
        <v>0.57218936783511032</v>
      </c>
    </row>
    <row r="33" spans="1:6" ht="14.1" customHeight="1" x14ac:dyDescent="0.2">
      <c r="A33" s="284" t="s">
        <v>131</v>
      </c>
      <c r="B33" s="285">
        <v>0</v>
      </c>
      <c r="C33" s="291">
        <f>B33/'- 3 -'!$D33*100</f>
        <v>0</v>
      </c>
      <c r="D33" s="285">
        <v>73856</v>
      </c>
      <c r="E33" s="291">
        <f>D33/'- 3 -'!$D33*100</f>
        <v>0.26553804369261397</v>
      </c>
    </row>
    <row r="34" spans="1:6" ht="14.1" customHeight="1" x14ac:dyDescent="0.2">
      <c r="A34" s="19" t="s">
        <v>132</v>
      </c>
      <c r="B34" s="20">
        <v>0</v>
      </c>
      <c r="C34" s="70">
        <f>B34/'- 3 -'!$D34*100</f>
        <v>0</v>
      </c>
      <c r="D34" s="20">
        <v>167516</v>
      </c>
      <c r="E34" s="70">
        <f>D34/'- 3 -'!$D34*100</f>
        <v>0.57604723810184055</v>
      </c>
    </row>
    <row r="35" spans="1:6" ht="14.1" customHeight="1" x14ac:dyDescent="0.2">
      <c r="A35" s="284" t="s">
        <v>133</v>
      </c>
      <c r="B35" s="285">
        <v>0</v>
      </c>
      <c r="C35" s="291">
        <f>B35/'- 3 -'!$D35*100</f>
        <v>0</v>
      </c>
      <c r="D35" s="285">
        <v>131503</v>
      </c>
      <c r="E35" s="291">
        <f>D35/'- 3 -'!$D35*100</f>
        <v>7.1371283808491059E-2</v>
      </c>
    </row>
    <row r="36" spans="1:6" ht="14.1" customHeight="1" x14ac:dyDescent="0.2">
      <c r="A36" s="19" t="s">
        <v>134</v>
      </c>
      <c r="B36" s="20">
        <v>0</v>
      </c>
      <c r="C36" s="70">
        <f>B36/'- 3 -'!$D36*100</f>
        <v>0</v>
      </c>
      <c r="D36" s="20">
        <v>93596</v>
      </c>
      <c r="E36" s="70">
        <f>D36/'- 3 -'!$D36*100</f>
        <v>0.39926307220128088</v>
      </c>
    </row>
    <row r="37" spans="1:6" ht="14.1" customHeight="1" x14ac:dyDescent="0.2">
      <c r="A37" s="284" t="s">
        <v>135</v>
      </c>
      <c r="B37" s="285">
        <v>0</v>
      </c>
      <c r="C37" s="291">
        <f>B37/'- 3 -'!$D37*100</f>
        <v>0</v>
      </c>
      <c r="D37" s="285">
        <v>90564</v>
      </c>
      <c r="E37" s="291">
        <f>D37/'- 3 -'!$D37*100</f>
        <v>0.18044897052391851</v>
      </c>
    </row>
    <row r="38" spans="1:6" ht="14.1" customHeight="1" x14ac:dyDescent="0.2">
      <c r="A38" s="19" t="s">
        <v>136</v>
      </c>
      <c r="B38" s="20">
        <v>0</v>
      </c>
      <c r="C38" s="70">
        <f>B38/'- 3 -'!$D38*100</f>
        <v>0</v>
      </c>
      <c r="D38" s="20">
        <v>491365</v>
      </c>
      <c r="E38" s="70">
        <f>D38/'- 3 -'!$D38*100</f>
        <v>0.36213606454965441</v>
      </c>
    </row>
    <row r="39" spans="1:6" ht="14.1" customHeight="1" x14ac:dyDescent="0.2">
      <c r="A39" s="284" t="s">
        <v>137</v>
      </c>
      <c r="B39" s="285">
        <v>0</v>
      </c>
      <c r="C39" s="291">
        <f>B39/'- 3 -'!$D39*100</f>
        <v>0</v>
      </c>
      <c r="D39" s="285">
        <v>32309</v>
      </c>
      <c r="E39" s="291">
        <f>D39/'- 3 -'!$D39*100</f>
        <v>0.15058267885788709</v>
      </c>
    </row>
    <row r="40" spans="1:6" ht="14.1" customHeight="1" x14ac:dyDescent="0.2">
      <c r="A40" s="19" t="s">
        <v>138</v>
      </c>
      <c r="B40" s="20">
        <v>0</v>
      </c>
      <c r="C40" s="70">
        <f>B40/'- 3 -'!$D40*100</f>
        <v>0</v>
      </c>
      <c r="D40" s="20">
        <v>108413</v>
      </c>
      <c r="E40" s="70">
        <f>D40/'- 3 -'!$D40*100</f>
        <v>0.10389968595677093</v>
      </c>
    </row>
    <row r="41" spans="1:6" ht="14.1" customHeight="1" x14ac:dyDescent="0.2">
      <c r="A41" s="284" t="s">
        <v>139</v>
      </c>
      <c r="B41" s="285">
        <v>0</v>
      </c>
      <c r="C41" s="291">
        <f>B41/'- 3 -'!$D41*100</f>
        <v>0</v>
      </c>
      <c r="D41" s="285">
        <v>128747</v>
      </c>
      <c r="E41" s="291">
        <f>D41/'- 3 -'!$D41*100</f>
        <v>0.20553353550535272</v>
      </c>
    </row>
    <row r="42" spans="1:6" ht="14.1" customHeight="1" x14ac:dyDescent="0.2">
      <c r="A42" s="19" t="s">
        <v>140</v>
      </c>
      <c r="B42" s="20">
        <v>0</v>
      </c>
      <c r="C42" s="70">
        <f>B42/'- 3 -'!$D42*100</f>
        <v>0</v>
      </c>
      <c r="D42" s="20">
        <v>54146</v>
      </c>
      <c r="E42" s="70">
        <f>D42/'- 3 -'!$D42*100</f>
        <v>0.26724008500589946</v>
      </c>
    </row>
    <row r="43" spans="1:6" ht="14.1" customHeight="1" x14ac:dyDescent="0.2">
      <c r="A43" s="284" t="s">
        <v>141</v>
      </c>
      <c r="B43" s="285">
        <v>0</v>
      </c>
      <c r="C43" s="291">
        <f>B43/'- 3 -'!$D43*100</f>
        <v>0</v>
      </c>
      <c r="D43" s="285">
        <v>49807</v>
      </c>
      <c r="E43" s="291">
        <f>D43/'- 3 -'!$D43*100</f>
        <v>0.37596845449013089</v>
      </c>
    </row>
    <row r="44" spans="1:6" ht="14.1" customHeight="1" x14ac:dyDescent="0.2">
      <c r="A44" s="19" t="s">
        <v>142</v>
      </c>
      <c r="B44" s="20">
        <v>0</v>
      </c>
      <c r="C44" s="70">
        <f>B44/'- 3 -'!$D44*100</f>
        <v>0</v>
      </c>
      <c r="D44" s="20">
        <v>32848</v>
      </c>
      <c r="E44" s="70">
        <f>D44/'- 3 -'!$D44*100</f>
        <v>0.30391084443045535</v>
      </c>
    </row>
    <row r="45" spans="1:6" ht="14.1" customHeight="1" x14ac:dyDescent="0.2">
      <c r="A45" s="284" t="s">
        <v>143</v>
      </c>
      <c r="B45" s="285">
        <v>0</v>
      </c>
      <c r="C45" s="291">
        <f>B45/'- 3 -'!$D45*100</f>
        <v>0</v>
      </c>
      <c r="D45" s="285">
        <v>91078</v>
      </c>
      <c r="E45" s="291">
        <f>D45/'- 3 -'!$D45*100</f>
        <v>0.47285234243568119</v>
      </c>
    </row>
    <row r="46" spans="1:6" ht="14.1" customHeight="1" x14ac:dyDescent="0.2">
      <c r="A46" s="19" t="s">
        <v>144</v>
      </c>
      <c r="B46" s="20">
        <v>0</v>
      </c>
      <c r="C46" s="70">
        <f>B46/'- 3 -'!$D46*100</f>
        <v>0</v>
      </c>
      <c r="D46" s="20">
        <v>440613</v>
      </c>
      <c r="E46" s="70">
        <f>D46/'- 3 -'!$D46*100</f>
        <v>0.11261203180047458</v>
      </c>
    </row>
    <row r="47" spans="1:6" ht="5.0999999999999996" customHeight="1" x14ac:dyDescent="0.2">
      <c r="A47"/>
      <c r="B47" s="22"/>
      <c r="C47"/>
      <c r="D47" s="22"/>
      <c r="E47"/>
    </row>
    <row r="48" spans="1:6" ht="14.1" customHeight="1" x14ac:dyDescent="0.2">
      <c r="A48" s="286" t="s">
        <v>145</v>
      </c>
      <c r="B48" s="287">
        <f>SUM(B11:B46)</f>
        <v>2713181</v>
      </c>
      <c r="C48" s="294">
        <f>B48/'- 3 -'!$D48*100</f>
        <v>0.11832388217670772</v>
      </c>
      <c r="D48" s="287">
        <f>SUM(D11:D46)</f>
        <v>6440523</v>
      </c>
      <c r="E48" s="294">
        <f>D48/'- 3 -'!$D48*100</f>
        <v>0.2808760951106381</v>
      </c>
      <c r="F48" s="6"/>
    </row>
    <row r="49" spans="1:5" ht="5.0999999999999996" customHeight="1" x14ac:dyDescent="0.2">
      <c r="A49" s="21" t="s">
        <v>7</v>
      </c>
      <c r="B49" s="22"/>
      <c r="C49"/>
      <c r="D49" s="22"/>
      <c r="E49"/>
    </row>
    <row r="50" spans="1:5" ht="14.1" customHeight="1" x14ac:dyDescent="0.2">
      <c r="A50" s="19" t="s">
        <v>146</v>
      </c>
      <c r="B50" s="20">
        <v>0</v>
      </c>
      <c r="C50" s="70">
        <f>B50/'- 3 -'!$D50*100</f>
        <v>0</v>
      </c>
      <c r="D50" s="20">
        <v>41236</v>
      </c>
      <c r="E50" s="70">
        <f>D50/'- 3 -'!$D50*100</f>
        <v>1.2859799000929963</v>
      </c>
    </row>
    <row r="51" spans="1:5" ht="14.1" customHeight="1" x14ac:dyDescent="0.2">
      <c r="A51" s="284" t="s">
        <v>609</v>
      </c>
      <c r="B51" s="285">
        <v>0</v>
      </c>
      <c r="C51" s="291">
        <f>B51/'- 3 -'!$D51*100</f>
        <v>0</v>
      </c>
      <c r="D51" s="285">
        <v>0</v>
      </c>
      <c r="E51" s="291">
        <f>D51/'- 3 -'!$D51*100</f>
        <v>0</v>
      </c>
    </row>
    <row r="52" spans="1:5" ht="50.1" customHeight="1" x14ac:dyDescent="0.2"/>
  </sheetData>
  <mergeCells count="2">
    <mergeCell ref="B7:C8"/>
    <mergeCell ref="D7:E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G52"/>
  <sheetViews>
    <sheetView showGridLines="0" showZeros="0" workbookViewId="0"/>
  </sheetViews>
  <sheetFormatPr defaultColWidth="15.83203125" defaultRowHeight="12" x14ac:dyDescent="0.2"/>
  <cols>
    <col min="1" max="1" width="33.83203125" style="2" customWidth="1"/>
    <col min="2" max="2" width="17.83203125" style="2" customWidth="1"/>
    <col min="3" max="3" width="14.83203125" style="2" customWidth="1"/>
    <col min="4" max="4" width="18.83203125" style="2" customWidth="1"/>
    <col min="5" max="5" width="14.83203125" style="2" customWidth="1"/>
    <col min="6" max="6" width="17.83203125" style="2" customWidth="1"/>
    <col min="7" max="7" width="14.83203125" style="2" customWidth="1"/>
    <col min="8" max="16384" width="15.83203125" style="2"/>
  </cols>
  <sheetData>
    <row r="1" spans="1:7" ht="6.95" customHeight="1" x14ac:dyDescent="0.2">
      <c r="A1" s="7"/>
      <c r="B1" s="8"/>
      <c r="C1" s="8"/>
      <c r="D1" s="8"/>
      <c r="E1" s="8"/>
      <c r="F1" s="8"/>
      <c r="G1" s="8"/>
    </row>
    <row r="2" spans="1:7" ht="15.95" customHeight="1" x14ac:dyDescent="0.2">
      <c r="A2" s="134"/>
      <c r="B2" s="9" t="s">
        <v>263</v>
      </c>
      <c r="C2" s="10"/>
      <c r="D2" s="158"/>
      <c r="E2" s="10"/>
      <c r="F2" s="73"/>
      <c r="G2" s="395" t="s">
        <v>412</v>
      </c>
    </row>
    <row r="3" spans="1:7" ht="15.95" customHeight="1" x14ac:dyDescent="0.2">
      <c r="A3" s="541"/>
      <c r="B3" s="11" t="str">
        <f>OPYEAR</f>
        <v>OPERATING FUND 2016/2017 ACTUAL</v>
      </c>
      <c r="C3" s="12"/>
      <c r="D3" s="159"/>
      <c r="E3" s="12"/>
      <c r="F3" s="75"/>
      <c r="G3" s="75"/>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154" t="s">
        <v>16</v>
      </c>
      <c r="C6" s="165"/>
      <c r="D6" s="166"/>
      <c r="E6" s="166"/>
      <c r="F6" s="166"/>
      <c r="G6" s="167"/>
    </row>
    <row r="7" spans="1:7" ht="15.95" customHeight="1" x14ac:dyDescent="0.2">
      <c r="B7" s="318"/>
      <c r="C7" s="310"/>
      <c r="D7" s="691" t="s">
        <v>25</v>
      </c>
      <c r="E7" s="692"/>
      <c r="F7" s="692"/>
      <c r="G7" s="693"/>
    </row>
    <row r="8" spans="1:7" ht="15.95" customHeight="1" x14ac:dyDescent="0.2">
      <c r="A8" s="67"/>
      <c r="B8" s="689" t="s">
        <v>19</v>
      </c>
      <c r="C8" s="649"/>
      <c r="D8" s="648" t="s">
        <v>29</v>
      </c>
      <c r="E8" s="649"/>
      <c r="F8" s="648" t="s">
        <v>109</v>
      </c>
      <c r="G8" s="649"/>
    </row>
    <row r="9" spans="1:7" ht="15.95" customHeight="1" x14ac:dyDescent="0.2">
      <c r="A9" s="35" t="s">
        <v>42</v>
      </c>
      <c r="B9" s="168" t="s">
        <v>43</v>
      </c>
      <c r="C9" s="168" t="s">
        <v>44</v>
      </c>
      <c r="D9" s="168" t="s">
        <v>43</v>
      </c>
      <c r="E9" s="168" t="s">
        <v>44</v>
      </c>
      <c r="F9" s="168" t="s">
        <v>43</v>
      </c>
      <c r="G9" s="168" t="s">
        <v>44</v>
      </c>
    </row>
    <row r="10" spans="1:7" ht="5.0999999999999996" customHeight="1" x14ac:dyDescent="0.2">
      <c r="A10" s="6"/>
    </row>
    <row r="11" spans="1:7" ht="14.1" customHeight="1" x14ac:dyDescent="0.2">
      <c r="A11" s="284" t="s">
        <v>110</v>
      </c>
      <c r="B11" s="285">
        <v>81742</v>
      </c>
      <c r="C11" s="291">
        <f>B11/'- 3 -'!$D11*100</f>
        <v>0.42756969296549985</v>
      </c>
      <c r="D11" s="285">
        <v>1507026</v>
      </c>
      <c r="E11" s="291">
        <f>D11/'- 3 -'!$D11*100</f>
        <v>7.8828343337699769</v>
      </c>
      <c r="F11" s="285">
        <v>234577</v>
      </c>
      <c r="G11" s="291">
        <f>F11/'- 3 -'!$D11*100</f>
        <v>1.2270071183329019</v>
      </c>
    </row>
    <row r="12" spans="1:7" ht="14.1" customHeight="1" x14ac:dyDescent="0.2">
      <c r="A12" s="19" t="s">
        <v>111</v>
      </c>
      <c r="B12" s="20">
        <v>104645</v>
      </c>
      <c r="C12" s="70">
        <f>B12/'- 3 -'!$D12*100</f>
        <v>0.31313271952797017</v>
      </c>
      <c r="D12" s="20">
        <v>2568437</v>
      </c>
      <c r="E12" s="70">
        <f>D12/'- 3 -'!$D12*100</f>
        <v>7.6856195971738845</v>
      </c>
      <c r="F12" s="20">
        <v>301650</v>
      </c>
      <c r="G12" s="70">
        <f>F12/'- 3 -'!$D12*100</f>
        <v>0.90263734383498695</v>
      </c>
    </row>
    <row r="13" spans="1:7" ht="14.1" customHeight="1" x14ac:dyDescent="0.2">
      <c r="A13" s="284" t="s">
        <v>112</v>
      </c>
      <c r="B13" s="285">
        <v>365376</v>
      </c>
      <c r="C13" s="291">
        <f>B13/'- 3 -'!$D13*100</f>
        <v>0.38094918754903717</v>
      </c>
      <c r="D13" s="285">
        <v>6646010</v>
      </c>
      <c r="E13" s="291">
        <f>D13/'- 3 -'!$D13*100</f>
        <v>6.9292786333606378</v>
      </c>
      <c r="F13" s="285">
        <v>872859</v>
      </c>
      <c r="G13" s="291">
        <f>F13/'- 3 -'!$D13*100</f>
        <v>0.91006231086569722</v>
      </c>
    </row>
    <row r="14" spans="1:7" ht="14.1" customHeight="1" x14ac:dyDescent="0.2">
      <c r="A14" s="19" t="s">
        <v>359</v>
      </c>
      <c r="B14" s="20">
        <v>244353</v>
      </c>
      <c r="C14" s="70">
        <f>B14/'- 3 -'!$D14*100</f>
        <v>0.29462175582596067</v>
      </c>
      <c r="D14" s="20">
        <v>7593948</v>
      </c>
      <c r="E14" s="70">
        <f>D14/'- 3 -'!$D14*100</f>
        <v>9.1561891747228081</v>
      </c>
      <c r="F14" s="20">
        <v>1114077</v>
      </c>
      <c r="G14" s="70">
        <f>F14/'- 3 -'!$D14*100</f>
        <v>1.3432670025140627</v>
      </c>
    </row>
    <row r="15" spans="1:7" ht="14.1" customHeight="1" x14ac:dyDescent="0.2">
      <c r="A15" s="284" t="s">
        <v>113</v>
      </c>
      <c r="B15" s="285">
        <v>79597</v>
      </c>
      <c r="C15" s="291">
        <f>B15/'- 3 -'!$D15*100</f>
        <v>0.40784805058449236</v>
      </c>
      <c r="D15" s="285">
        <v>1964452</v>
      </c>
      <c r="E15" s="291">
        <f>D15/'- 3 -'!$D15*100</f>
        <v>10.065679845557083</v>
      </c>
      <c r="F15" s="285">
        <v>267939</v>
      </c>
      <c r="G15" s="291">
        <f>F15/'- 3 -'!$D15*100</f>
        <v>1.3728959486608578</v>
      </c>
    </row>
    <row r="16" spans="1:7" ht="14.1" customHeight="1" x14ac:dyDescent="0.2">
      <c r="A16" s="19" t="s">
        <v>114</v>
      </c>
      <c r="B16" s="20">
        <v>91297</v>
      </c>
      <c r="C16" s="70">
        <f>B16/'- 3 -'!$D16*100</f>
        <v>0.62978232958964986</v>
      </c>
      <c r="D16" s="20">
        <v>1974548</v>
      </c>
      <c r="E16" s="70">
        <f>D16/'- 3 -'!$D16*100</f>
        <v>13.620770006972672</v>
      </c>
      <c r="F16" s="20">
        <v>458075</v>
      </c>
      <c r="G16" s="70">
        <f>F16/'- 3 -'!$D16*100</f>
        <v>3.1598797400438006</v>
      </c>
    </row>
    <row r="17" spans="1:7" ht="14.1" customHeight="1" x14ac:dyDescent="0.2">
      <c r="A17" s="284" t="s">
        <v>115</v>
      </c>
      <c r="B17" s="285">
        <v>76497</v>
      </c>
      <c r="C17" s="291">
        <f>B17/'- 3 -'!$D17*100</f>
        <v>0.42626321230958242</v>
      </c>
      <c r="D17" s="285">
        <v>1525434</v>
      </c>
      <c r="E17" s="291">
        <f>D17/'- 3 -'!$D17*100</f>
        <v>8.5001555225205632</v>
      </c>
      <c r="F17" s="285">
        <v>132388</v>
      </c>
      <c r="G17" s="291">
        <f>F17/'- 3 -'!$D17*100</f>
        <v>0.73770388578952117</v>
      </c>
    </row>
    <row r="18" spans="1:7" ht="14.1" customHeight="1" x14ac:dyDescent="0.2">
      <c r="A18" s="19" t="s">
        <v>116</v>
      </c>
      <c r="B18" s="20">
        <v>897298</v>
      </c>
      <c r="C18" s="70">
        <f>B18/'- 3 -'!$D18*100</f>
        <v>0.69745067800938165</v>
      </c>
      <c r="D18" s="20">
        <v>16929479</v>
      </c>
      <c r="E18" s="70">
        <f>D18/'- 3 -'!$D18*100</f>
        <v>13.158924467563271</v>
      </c>
      <c r="F18" s="20">
        <v>1783161</v>
      </c>
      <c r="G18" s="70">
        <f>F18/'- 3 -'!$D18*100</f>
        <v>1.3860131733826297</v>
      </c>
    </row>
    <row r="19" spans="1:7" ht="14.1" customHeight="1" x14ac:dyDescent="0.2">
      <c r="A19" s="284" t="s">
        <v>117</v>
      </c>
      <c r="B19" s="285">
        <v>177201</v>
      </c>
      <c r="C19" s="291">
        <f>B19/'- 3 -'!$D19*100</f>
        <v>0.3839534660593707</v>
      </c>
      <c r="D19" s="285">
        <v>3814914</v>
      </c>
      <c r="E19" s="291">
        <f>D19/'- 3 -'!$D19*100</f>
        <v>8.2660337865949849</v>
      </c>
      <c r="F19" s="285">
        <v>216281</v>
      </c>
      <c r="G19" s="291">
        <f>F19/'- 3 -'!$D19*100</f>
        <v>0.46863076163671058</v>
      </c>
    </row>
    <row r="20" spans="1:7" ht="14.1" customHeight="1" x14ac:dyDescent="0.2">
      <c r="A20" s="19" t="s">
        <v>118</v>
      </c>
      <c r="B20" s="20">
        <v>304660</v>
      </c>
      <c r="C20" s="70">
        <f>B20/'- 3 -'!$D20*100</f>
        <v>0.37040965914980006</v>
      </c>
      <c r="D20" s="20">
        <v>7040849</v>
      </c>
      <c r="E20" s="70">
        <f>D20/'- 3 -'!$D20*100</f>
        <v>8.5603573761413063</v>
      </c>
      <c r="F20" s="20">
        <v>990692</v>
      </c>
      <c r="G20" s="70">
        <f>F20/'- 3 -'!$D20*100</f>
        <v>1.2044964420745543</v>
      </c>
    </row>
    <row r="21" spans="1:7" ht="14.1" customHeight="1" x14ac:dyDescent="0.2">
      <c r="A21" s="284" t="s">
        <v>119</v>
      </c>
      <c r="B21" s="285">
        <v>129135</v>
      </c>
      <c r="C21" s="291">
        <f>B21/'- 3 -'!$D21*100</f>
        <v>0.35902867667009219</v>
      </c>
      <c r="D21" s="285">
        <v>2869057</v>
      </c>
      <c r="E21" s="291">
        <f>D21/'- 3 -'!$D21*100</f>
        <v>7.9767200062033128</v>
      </c>
      <c r="F21" s="285">
        <v>419409</v>
      </c>
      <c r="G21" s="291">
        <f>F21/'- 3 -'!$D21*100</f>
        <v>1.166065421872666</v>
      </c>
    </row>
    <row r="22" spans="1:7" ht="14.1" customHeight="1" x14ac:dyDescent="0.2">
      <c r="A22" s="19" t="s">
        <v>120</v>
      </c>
      <c r="B22" s="20">
        <v>88750</v>
      </c>
      <c r="C22" s="70">
        <f>B22/'- 3 -'!$D22*100</f>
        <v>0.44217393732649035</v>
      </c>
      <c r="D22" s="20">
        <v>2113479</v>
      </c>
      <c r="E22" s="70">
        <f>D22/'- 3 -'!$D22*100</f>
        <v>10.52986288323215</v>
      </c>
      <c r="F22" s="20">
        <v>153301</v>
      </c>
      <c r="G22" s="70">
        <f>F22/'- 3 -'!$D22*100</f>
        <v>0.76378261144888215</v>
      </c>
    </row>
    <row r="23" spans="1:7" ht="14.1" customHeight="1" x14ac:dyDescent="0.2">
      <c r="A23" s="284" t="s">
        <v>121</v>
      </c>
      <c r="B23" s="285">
        <v>70454</v>
      </c>
      <c r="C23" s="291">
        <f>B23/'- 3 -'!$D23*100</f>
        <v>0.40731101711724926</v>
      </c>
      <c r="D23" s="285">
        <v>1191211</v>
      </c>
      <c r="E23" s="291">
        <f>D23/'- 3 -'!$D23*100</f>
        <v>6.8866688053376048</v>
      </c>
      <c r="F23" s="285">
        <v>173154</v>
      </c>
      <c r="G23" s="291">
        <f>F23/'- 3 -'!$D23*100</f>
        <v>1.0010436860635332</v>
      </c>
    </row>
    <row r="24" spans="1:7" ht="14.1" customHeight="1" x14ac:dyDescent="0.2">
      <c r="A24" s="19" t="s">
        <v>122</v>
      </c>
      <c r="B24" s="20">
        <v>118685</v>
      </c>
      <c r="C24" s="70">
        <f>B24/'- 3 -'!$D24*100</f>
        <v>0.20703479407368858</v>
      </c>
      <c r="D24" s="20">
        <v>5437122</v>
      </c>
      <c r="E24" s="70">
        <f>D24/'- 3 -'!$D24*100</f>
        <v>9.4845467719048031</v>
      </c>
      <c r="F24" s="20">
        <v>402120</v>
      </c>
      <c r="G24" s="70">
        <f>F24/'- 3 -'!$D24*100</f>
        <v>0.70146043217686849</v>
      </c>
    </row>
    <row r="25" spans="1:7" ht="14.1" customHeight="1" x14ac:dyDescent="0.2">
      <c r="A25" s="284" t="s">
        <v>123</v>
      </c>
      <c r="B25" s="285">
        <v>620236</v>
      </c>
      <c r="C25" s="291">
        <f>B25/'- 3 -'!$D25*100</f>
        <v>0.34971632728052471</v>
      </c>
      <c r="D25" s="285">
        <v>16531138</v>
      </c>
      <c r="E25" s="291">
        <f>D25/'- 3 -'!$D25*100</f>
        <v>9.3209824439850628</v>
      </c>
      <c r="F25" s="285">
        <v>918749</v>
      </c>
      <c r="G25" s="291">
        <f>F25/'- 3 -'!$D25*100</f>
        <v>0.51803108167319345</v>
      </c>
    </row>
    <row r="26" spans="1:7" ht="14.1" customHeight="1" x14ac:dyDescent="0.2">
      <c r="A26" s="19" t="s">
        <v>124</v>
      </c>
      <c r="B26" s="20">
        <v>102015</v>
      </c>
      <c r="C26" s="70">
        <f>B26/'- 3 -'!$D26*100</f>
        <v>0.248896033919834</v>
      </c>
      <c r="D26" s="20">
        <v>4562657</v>
      </c>
      <c r="E26" s="70">
        <f>D26/'- 3 -'!$D26*100</f>
        <v>11.131963254781828</v>
      </c>
      <c r="F26" s="20">
        <v>313741</v>
      </c>
      <c r="G26" s="70">
        <f>F26/'- 3 -'!$D26*100</f>
        <v>0.76546479025675296</v>
      </c>
    </row>
    <row r="27" spans="1:7" ht="14.1" customHeight="1" x14ac:dyDescent="0.2">
      <c r="A27" s="284" t="s">
        <v>125</v>
      </c>
      <c r="B27" s="285">
        <v>201580</v>
      </c>
      <c r="C27" s="291">
        <f>B27/'- 3 -'!$D27*100</f>
        <v>0.48635856863886701</v>
      </c>
      <c r="D27" s="285">
        <v>3987109</v>
      </c>
      <c r="E27" s="291">
        <f>D27/'- 3 -'!$D27*100</f>
        <v>9.619826501870941</v>
      </c>
      <c r="F27" s="285">
        <v>267622</v>
      </c>
      <c r="G27" s="291">
        <f>F27/'- 3 -'!$D27*100</f>
        <v>0.64570023244503849</v>
      </c>
    </row>
    <row r="28" spans="1:7" ht="14.1" customHeight="1" x14ac:dyDescent="0.2">
      <c r="A28" s="19" t="s">
        <v>126</v>
      </c>
      <c r="B28" s="20">
        <v>48386</v>
      </c>
      <c r="C28" s="70">
        <f>B28/'- 3 -'!$D28*100</f>
        <v>0.17154219682426775</v>
      </c>
      <c r="D28" s="20">
        <v>2918045</v>
      </c>
      <c r="E28" s="70">
        <f>D28/'- 3 -'!$D28*100</f>
        <v>10.345303388006249</v>
      </c>
      <c r="F28" s="20">
        <v>154604</v>
      </c>
      <c r="G28" s="70">
        <f>F28/'- 3 -'!$D28*100</f>
        <v>0.54811535976974934</v>
      </c>
    </row>
    <row r="29" spans="1:7" ht="14.1" customHeight="1" x14ac:dyDescent="0.2">
      <c r="A29" s="284" t="s">
        <v>127</v>
      </c>
      <c r="B29" s="285">
        <v>1042973</v>
      </c>
      <c r="C29" s="291">
        <f>B29/'- 3 -'!$D29*100</f>
        <v>0.65476464161323722</v>
      </c>
      <c r="D29" s="285">
        <v>14134365</v>
      </c>
      <c r="E29" s="291">
        <f>D29/'- 3 -'!$D29*100</f>
        <v>8.8733672239412567</v>
      </c>
      <c r="F29" s="285">
        <v>3069609</v>
      </c>
      <c r="G29" s="291">
        <f>F29/'- 3 -'!$D29*100</f>
        <v>1.9270598920372508</v>
      </c>
    </row>
    <row r="30" spans="1:7" ht="14.1" customHeight="1" x14ac:dyDescent="0.2">
      <c r="A30" s="19" t="s">
        <v>128</v>
      </c>
      <c r="B30" s="20">
        <v>103623</v>
      </c>
      <c r="C30" s="70">
        <f>B30/'- 3 -'!$D30*100</f>
        <v>0.73482733972122471</v>
      </c>
      <c r="D30" s="20">
        <v>1239130</v>
      </c>
      <c r="E30" s="70">
        <f>D30/'- 3 -'!$D30*100</f>
        <v>8.7871090536730385</v>
      </c>
      <c r="F30" s="20">
        <v>104876</v>
      </c>
      <c r="G30" s="70">
        <f>F30/'- 3 -'!$D30*100</f>
        <v>0.74371280585008315</v>
      </c>
    </row>
    <row r="31" spans="1:7" ht="14.1" customHeight="1" x14ac:dyDescent="0.2">
      <c r="A31" s="284" t="s">
        <v>129</v>
      </c>
      <c r="B31" s="285">
        <v>105492</v>
      </c>
      <c r="C31" s="291">
        <f>B31/'- 3 -'!$D31*100</f>
        <v>0.28116616848061471</v>
      </c>
      <c r="D31" s="285">
        <v>3461183</v>
      </c>
      <c r="E31" s="291">
        <f>D31/'- 3 -'!$D31*100</f>
        <v>9.2250366143426934</v>
      </c>
      <c r="F31" s="285">
        <v>224424</v>
      </c>
      <c r="G31" s="291">
        <f>F31/'- 3 -'!$D31*100</f>
        <v>0.59815375758439948</v>
      </c>
    </row>
    <row r="32" spans="1:7" ht="14.1" customHeight="1" x14ac:dyDescent="0.2">
      <c r="A32" s="19" t="s">
        <v>130</v>
      </c>
      <c r="B32" s="20">
        <v>91478</v>
      </c>
      <c r="C32" s="70">
        <f>B32/'- 3 -'!$D32*100</f>
        <v>0.31224230614621185</v>
      </c>
      <c r="D32" s="20">
        <v>2342558</v>
      </c>
      <c r="E32" s="70">
        <f>D32/'- 3 -'!$D32*100</f>
        <v>7.9958647128408762</v>
      </c>
      <c r="F32" s="20">
        <v>231307</v>
      </c>
      <c r="G32" s="70">
        <f>F32/'- 3 -'!$D32*100</f>
        <v>0.78952131777872081</v>
      </c>
    </row>
    <row r="33" spans="1:7" ht="14.1" customHeight="1" x14ac:dyDescent="0.2">
      <c r="A33" s="284" t="s">
        <v>131</v>
      </c>
      <c r="B33" s="285">
        <v>103804</v>
      </c>
      <c r="C33" s="291">
        <f>B33/'- 3 -'!$D33*100</f>
        <v>0.37321153443820543</v>
      </c>
      <c r="D33" s="285">
        <v>2690076</v>
      </c>
      <c r="E33" s="291">
        <f>D33/'- 3 -'!$D33*100</f>
        <v>9.6717601606430375</v>
      </c>
      <c r="F33" s="285">
        <v>352324</v>
      </c>
      <c r="G33" s="291">
        <f>F33/'- 3 -'!$D33*100</f>
        <v>1.2667274927691254</v>
      </c>
    </row>
    <row r="34" spans="1:7" ht="14.1" customHeight="1" x14ac:dyDescent="0.2">
      <c r="A34" s="19" t="s">
        <v>132</v>
      </c>
      <c r="B34" s="20">
        <v>113906</v>
      </c>
      <c r="C34" s="70">
        <f>B34/'- 3 -'!$D34*100</f>
        <v>0.39169534076284207</v>
      </c>
      <c r="D34" s="20">
        <v>2176267</v>
      </c>
      <c r="E34" s="70">
        <f>D34/'- 3 -'!$D34*100</f>
        <v>7.4836588428698043</v>
      </c>
      <c r="F34" s="20">
        <v>255880</v>
      </c>
      <c r="G34" s="70">
        <f>F34/'- 3 -'!$D34*100</f>
        <v>0.87990978345649939</v>
      </c>
    </row>
    <row r="35" spans="1:7" ht="14.1" customHeight="1" x14ac:dyDescent="0.2">
      <c r="A35" s="284" t="s">
        <v>133</v>
      </c>
      <c r="B35" s="285">
        <v>873732</v>
      </c>
      <c r="C35" s="291">
        <f>B35/'- 3 -'!$D35*100</f>
        <v>0.47420495764020976</v>
      </c>
      <c r="D35" s="285">
        <v>17911899</v>
      </c>
      <c r="E35" s="291">
        <f>D35/'- 3 -'!$D35*100</f>
        <v>9.7214149264885759</v>
      </c>
      <c r="F35" s="285">
        <v>655780</v>
      </c>
      <c r="G35" s="291">
        <f>F35/'- 3 -'!$D35*100</f>
        <v>0.35591477377650904</v>
      </c>
    </row>
    <row r="36" spans="1:7" ht="14.1" customHeight="1" x14ac:dyDescent="0.2">
      <c r="A36" s="19" t="s">
        <v>134</v>
      </c>
      <c r="B36" s="20">
        <v>58863</v>
      </c>
      <c r="C36" s="70">
        <f>B36/'- 3 -'!$D36*100</f>
        <v>0.25109857492824478</v>
      </c>
      <c r="D36" s="20">
        <v>2408438</v>
      </c>
      <c r="E36" s="70">
        <f>D36/'- 3 -'!$D36*100</f>
        <v>10.273947124730848</v>
      </c>
      <c r="F36" s="20">
        <v>128988</v>
      </c>
      <c r="G36" s="70">
        <f>F36/'- 3 -'!$D36*100</f>
        <v>0.55023874051347088</v>
      </c>
    </row>
    <row r="37" spans="1:7" ht="14.1" customHeight="1" x14ac:dyDescent="0.2">
      <c r="A37" s="284" t="s">
        <v>135</v>
      </c>
      <c r="B37" s="285">
        <v>125811</v>
      </c>
      <c r="C37" s="291">
        <f>B37/'- 3 -'!$D37*100</f>
        <v>0.25067869606670101</v>
      </c>
      <c r="D37" s="285">
        <v>3963478</v>
      </c>
      <c r="E37" s="291">
        <f>D37/'- 3 -'!$D37*100</f>
        <v>7.8972386908064944</v>
      </c>
      <c r="F37" s="285">
        <v>551714</v>
      </c>
      <c r="G37" s="291">
        <f>F37/'- 3 -'!$D37*100</f>
        <v>1.0992913665875312</v>
      </c>
    </row>
    <row r="38" spans="1:7" ht="14.1" customHeight="1" x14ac:dyDescent="0.2">
      <c r="A38" s="19" t="s">
        <v>136</v>
      </c>
      <c r="B38" s="20">
        <v>592058</v>
      </c>
      <c r="C38" s="70">
        <f>B38/'- 3 -'!$D38*100</f>
        <v>0.43634681775287065</v>
      </c>
      <c r="D38" s="20">
        <v>10491739</v>
      </c>
      <c r="E38" s="70">
        <f>D38/'- 3 -'!$D38*100</f>
        <v>7.7324129145179787</v>
      </c>
      <c r="F38" s="20">
        <v>553074</v>
      </c>
      <c r="G38" s="70">
        <f>F38/'- 3 -'!$D38*100</f>
        <v>0.40761560502831007</v>
      </c>
    </row>
    <row r="39" spans="1:7" ht="14.1" customHeight="1" x14ac:dyDescent="0.2">
      <c r="A39" s="284" t="s">
        <v>137</v>
      </c>
      <c r="B39" s="285">
        <v>81541</v>
      </c>
      <c r="C39" s="291">
        <f>B39/'- 3 -'!$D39*100</f>
        <v>0.38003844800987252</v>
      </c>
      <c r="D39" s="285">
        <v>2019846</v>
      </c>
      <c r="E39" s="291">
        <f>D39/'- 3 -'!$D39*100</f>
        <v>9.4139039140916694</v>
      </c>
      <c r="F39" s="285">
        <v>93264</v>
      </c>
      <c r="G39" s="291">
        <f>F39/'- 3 -'!$D39*100</f>
        <v>0.43467587857878548</v>
      </c>
    </row>
    <row r="40" spans="1:7" ht="14.1" customHeight="1" x14ac:dyDescent="0.2">
      <c r="A40" s="19" t="s">
        <v>138</v>
      </c>
      <c r="B40" s="20">
        <v>468058</v>
      </c>
      <c r="C40" s="70">
        <f>B40/'- 3 -'!$D40*100</f>
        <v>0.44857239638746543</v>
      </c>
      <c r="D40" s="20">
        <v>7846664</v>
      </c>
      <c r="E40" s="70">
        <f>D40/'- 3 -'!$D40*100</f>
        <v>7.5200015257238535</v>
      </c>
      <c r="F40" s="20">
        <v>1245216</v>
      </c>
      <c r="G40" s="70">
        <f>F40/'- 3 -'!$D40*100</f>
        <v>1.1933767292515334</v>
      </c>
    </row>
    <row r="41" spans="1:7" ht="14.1" customHeight="1" x14ac:dyDescent="0.2">
      <c r="A41" s="284" t="s">
        <v>139</v>
      </c>
      <c r="B41" s="285">
        <v>199787</v>
      </c>
      <c r="C41" s="291">
        <f>B41/'- 3 -'!$D41*100</f>
        <v>0.31894279834099365</v>
      </c>
      <c r="D41" s="285">
        <v>4882349</v>
      </c>
      <c r="E41" s="291">
        <f>D41/'- 3 -'!$D41*100</f>
        <v>7.7942511401510206</v>
      </c>
      <c r="F41" s="285">
        <v>404990</v>
      </c>
      <c r="G41" s="291">
        <f>F41/'- 3 -'!$D41*100</f>
        <v>0.64653177584186661</v>
      </c>
    </row>
    <row r="42" spans="1:7" ht="14.1" customHeight="1" x14ac:dyDescent="0.2">
      <c r="A42" s="19" t="s">
        <v>140</v>
      </c>
      <c r="B42" s="20">
        <v>66758</v>
      </c>
      <c r="C42" s="70">
        <f>B42/'- 3 -'!$D42*100</f>
        <v>0.32948719378760821</v>
      </c>
      <c r="D42" s="20">
        <v>2100832</v>
      </c>
      <c r="E42" s="70">
        <f>D42/'- 3 -'!$D42*100</f>
        <v>10.368753412313261</v>
      </c>
      <c r="F42" s="20">
        <v>149196</v>
      </c>
      <c r="G42" s="70">
        <f>F42/'- 3 -'!$D42*100</f>
        <v>0.73636375212462923</v>
      </c>
    </row>
    <row r="43" spans="1:7" ht="14.1" customHeight="1" x14ac:dyDescent="0.2">
      <c r="A43" s="284" t="s">
        <v>141</v>
      </c>
      <c r="B43" s="285">
        <v>16513</v>
      </c>
      <c r="C43" s="291">
        <f>B43/'- 3 -'!$D43*100</f>
        <v>0.12464848493174716</v>
      </c>
      <c r="D43" s="285">
        <v>823791</v>
      </c>
      <c r="E43" s="291">
        <f>D43/'- 3 -'!$D43*100</f>
        <v>6.2183915733306439</v>
      </c>
      <c r="F43" s="285">
        <v>125493</v>
      </c>
      <c r="G43" s="291">
        <f>F43/'- 3 -'!$D43*100</f>
        <v>0.94728470414459798</v>
      </c>
    </row>
    <row r="44" spans="1:7" ht="14.1" customHeight="1" x14ac:dyDescent="0.2">
      <c r="A44" s="19" t="s">
        <v>142</v>
      </c>
      <c r="B44" s="20">
        <v>49062</v>
      </c>
      <c r="C44" s="70">
        <f>B44/'- 3 -'!$D44*100</f>
        <v>0.45392333930367151</v>
      </c>
      <c r="D44" s="20">
        <v>935453</v>
      </c>
      <c r="E44" s="70">
        <f>D44/'- 3 -'!$D44*100</f>
        <v>8.6548438612701766</v>
      </c>
      <c r="F44" s="20">
        <v>66771</v>
      </c>
      <c r="G44" s="70">
        <f>F44/'- 3 -'!$D44*100</f>
        <v>0.61776762644501748</v>
      </c>
    </row>
    <row r="45" spans="1:7" ht="14.1" customHeight="1" x14ac:dyDescent="0.2">
      <c r="A45" s="284" t="s">
        <v>143</v>
      </c>
      <c r="B45" s="285">
        <v>58595</v>
      </c>
      <c r="C45" s="291">
        <f>B45/'- 3 -'!$D45*100</f>
        <v>0.30420939200486113</v>
      </c>
      <c r="D45" s="285">
        <v>1523165</v>
      </c>
      <c r="E45" s="291">
        <f>D45/'- 3 -'!$D45*100</f>
        <v>7.9078607146187263</v>
      </c>
      <c r="F45" s="285">
        <v>205634</v>
      </c>
      <c r="G45" s="291">
        <f>F45/'- 3 -'!$D45*100</f>
        <v>1.0675961108546397</v>
      </c>
    </row>
    <row r="46" spans="1:7" ht="14.1" customHeight="1" x14ac:dyDescent="0.2">
      <c r="A46" s="19" t="s">
        <v>144</v>
      </c>
      <c r="B46" s="20">
        <v>996306</v>
      </c>
      <c r="C46" s="70">
        <f>B46/'- 3 -'!$D46*100</f>
        <v>0.25463625211921487</v>
      </c>
      <c r="D46" s="20">
        <v>37607348</v>
      </c>
      <c r="E46" s="70">
        <f>D46/'- 3 -'!$D46*100</f>
        <v>9.6116997657979102</v>
      </c>
      <c r="F46" s="20">
        <v>5058695</v>
      </c>
      <c r="G46" s="70">
        <f>F46/'- 3 -'!$D46*100</f>
        <v>1.2929031195377843</v>
      </c>
    </row>
    <row r="47" spans="1:7" ht="5.0999999999999996" customHeight="1" x14ac:dyDescent="0.2">
      <c r="A47"/>
      <c r="B47" s="22"/>
      <c r="C47"/>
      <c r="D47" s="22"/>
      <c r="E47"/>
      <c r="F47" s="22"/>
      <c r="G47"/>
    </row>
    <row r="48" spans="1:7" ht="14.1" customHeight="1" x14ac:dyDescent="0.2">
      <c r="A48" s="286" t="s">
        <v>145</v>
      </c>
      <c r="B48" s="287">
        <f>SUM(B11:B46)</f>
        <v>8950267</v>
      </c>
      <c r="C48" s="294">
        <f>B48/'- 3 -'!$D48*100</f>
        <v>0.39032793534897797</v>
      </c>
      <c r="D48" s="287">
        <f>SUM(D11:D46)</f>
        <v>209733496</v>
      </c>
      <c r="E48" s="294">
        <f>D48/'- 3 -'!$D48*100</f>
        <v>9.1466369067205626</v>
      </c>
      <c r="F48" s="287">
        <f>SUM(F11:F46)</f>
        <v>22651634</v>
      </c>
      <c r="G48" s="294">
        <f>F48/'- 3 -'!$D48*100</f>
        <v>0.98785494684133002</v>
      </c>
    </row>
    <row r="49" spans="1:7" ht="5.0999999999999996" customHeight="1" x14ac:dyDescent="0.2">
      <c r="A49" s="21" t="s">
        <v>7</v>
      </c>
      <c r="B49" s="22"/>
      <c r="C49"/>
      <c r="D49" s="22"/>
      <c r="E49"/>
      <c r="F49" s="22"/>
      <c r="G49"/>
    </row>
    <row r="50" spans="1:7" ht="14.1" customHeight="1" x14ac:dyDescent="0.2">
      <c r="A50" s="19" t="s">
        <v>146</v>
      </c>
      <c r="B50" s="20">
        <v>14714</v>
      </c>
      <c r="C50" s="70">
        <f>B50/'- 3 -'!$D50*100</f>
        <v>0.45886866451567432</v>
      </c>
      <c r="D50" s="20">
        <v>407431</v>
      </c>
      <c r="E50" s="70">
        <f>D50/'- 3 -'!$D50*100</f>
        <v>12.706083923629585</v>
      </c>
      <c r="F50" s="20">
        <v>0</v>
      </c>
      <c r="G50" s="70">
        <f>F50/'- 3 -'!$D50*100</f>
        <v>0</v>
      </c>
    </row>
    <row r="51" spans="1:7" ht="14.1" customHeight="1" x14ac:dyDescent="0.2">
      <c r="A51" s="284" t="s">
        <v>609</v>
      </c>
      <c r="B51" s="285">
        <v>224156</v>
      </c>
      <c r="C51" s="291">
        <f>B51/'- 3 -'!$D51*100</f>
        <v>0.77249752223270385</v>
      </c>
      <c r="D51" s="285">
        <v>3516651</v>
      </c>
      <c r="E51" s="291">
        <f>D51/'- 3 -'!$D51*100</f>
        <v>12.119257053378718</v>
      </c>
      <c r="F51" s="285">
        <v>4316</v>
      </c>
      <c r="G51" s="291">
        <f>F51/'- 3 -'!$D51*100</f>
        <v>1.4874013213816937E-2</v>
      </c>
    </row>
    <row r="52" spans="1:7" ht="50.1" customHeight="1" x14ac:dyDescent="0.2"/>
  </sheetData>
  <mergeCells count="4">
    <mergeCell ref="D8:E8"/>
    <mergeCell ref="F8:G8"/>
    <mergeCell ref="D7:G7"/>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F52"/>
  <sheetViews>
    <sheetView showGridLines="0" showZeros="0" workbookViewId="0"/>
  </sheetViews>
  <sheetFormatPr defaultColWidth="15.83203125" defaultRowHeight="12" x14ac:dyDescent="0.2"/>
  <cols>
    <col min="1" max="1" width="32.83203125" style="2" customWidth="1"/>
    <col min="2" max="2" width="19.83203125" style="2" customWidth="1"/>
    <col min="3" max="3" width="15.83203125" style="2" customWidth="1"/>
    <col min="4" max="4" width="19.83203125" style="2" customWidth="1"/>
    <col min="5" max="5" width="15.83203125" style="2"/>
    <col min="6" max="6" width="28.83203125" style="2" customWidth="1"/>
    <col min="7" max="16384" width="15.83203125" style="2"/>
  </cols>
  <sheetData>
    <row r="1" spans="1:6" ht="6.95" customHeight="1" x14ac:dyDescent="0.2">
      <c r="A1" s="7"/>
      <c r="B1" s="7"/>
      <c r="C1" s="7"/>
      <c r="D1" s="8"/>
      <c r="E1" s="8"/>
      <c r="F1" s="8"/>
    </row>
    <row r="2" spans="1:6" ht="15.95" customHeight="1" x14ac:dyDescent="0.2">
      <c r="A2" s="134"/>
      <c r="B2" s="9" t="s">
        <v>263</v>
      </c>
      <c r="C2" s="169"/>
      <c r="D2" s="158"/>
      <c r="E2" s="10"/>
      <c r="F2" s="395" t="s">
        <v>413</v>
      </c>
    </row>
    <row r="3" spans="1:6" ht="15.95" customHeight="1" x14ac:dyDescent="0.2">
      <c r="A3" s="541"/>
      <c r="B3" s="11" t="str">
        <f>OPYEAR</f>
        <v>OPERATING FUND 2016/2017 ACTUAL</v>
      </c>
      <c r="C3" s="29"/>
      <c r="D3" s="159"/>
      <c r="E3" s="12"/>
      <c r="F3" s="66"/>
    </row>
    <row r="4" spans="1:6" ht="15.95" customHeight="1" x14ac:dyDescent="0.2">
      <c r="D4" s="8"/>
      <c r="E4" s="8"/>
      <c r="F4" s="8"/>
    </row>
    <row r="5" spans="1:6" ht="15.95" customHeight="1" x14ac:dyDescent="0.2">
      <c r="D5" s="8"/>
      <c r="E5" s="8"/>
      <c r="F5" s="8"/>
    </row>
    <row r="6" spans="1:6" ht="15.95" customHeight="1" x14ac:dyDescent="0.2">
      <c r="B6" s="154" t="s">
        <v>16</v>
      </c>
      <c r="C6" s="166"/>
      <c r="D6" s="39"/>
      <c r="E6" s="170"/>
      <c r="F6" s="43"/>
    </row>
    <row r="7" spans="1:6" ht="15.95" customHeight="1" x14ac:dyDescent="0.2">
      <c r="B7" s="360"/>
      <c r="C7" s="310"/>
      <c r="D7" s="360"/>
      <c r="E7" s="310"/>
      <c r="F7" s="8"/>
    </row>
    <row r="8" spans="1:6" ht="15.95" customHeight="1" x14ac:dyDescent="0.2">
      <c r="A8" s="67"/>
      <c r="B8" s="689" t="s">
        <v>35</v>
      </c>
      <c r="C8" s="649"/>
      <c r="D8" s="648" t="s">
        <v>36</v>
      </c>
      <c r="E8" s="649"/>
      <c r="F8" s="8"/>
    </row>
    <row r="9" spans="1:6" ht="15.95" customHeight="1" x14ac:dyDescent="0.2">
      <c r="A9" s="35" t="s">
        <v>42</v>
      </c>
      <c r="B9" s="168" t="s">
        <v>43</v>
      </c>
      <c r="C9" s="168" t="s">
        <v>44</v>
      </c>
      <c r="D9" s="171" t="s">
        <v>43</v>
      </c>
      <c r="E9" s="168" t="s">
        <v>44</v>
      </c>
    </row>
    <row r="10" spans="1:6" ht="5.0999999999999996" customHeight="1" x14ac:dyDescent="0.2">
      <c r="A10" s="6"/>
    </row>
    <row r="11" spans="1:6" ht="14.1" customHeight="1" x14ac:dyDescent="0.2">
      <c r="A11" s="284" t="s">
        <v>110</v>
      </c>
      <c r="B11" s="285">
        <v>67329</v>
      </c>
      <c r="C11" s="291">
        <f>B11/'- 3 -'!$D11*100</f>
        <v>0.35217929409207194</v>
      </c>
      <c r="D11" s="285">
        <v>27654</v>
      </c>
      <c r="E11" s="291">
        <f>D11/'- 3 -'!$D11*100</f>
        <v>0.14465039134432647</v>
      </c>
    </row>
    <row r="12" spans="1:6" ht="14.1" customHeight="1" x14ac:dyDescent="0.2">
      <c r="A12" s="19" t="s">
        <v>111</v>
      </c>
      <c r="B12" s="20">
        <v>315690</v>
      </c>
      <c r="C12" s="70">
        <f>B12/'- 3 -'!$D12*100</f>
        <v>0.94464970354804256</v>
      </c>
      <c r="D12" s="20">
        <v>136357</v>
      </c>
      <c r="E12" s="70">
        <f>D12/'- 3 -'!$D12*100</f>
        <v>0.40802559354651852</v>
      </c>
    </row>
    <row r="13" spans="1:6" ht="14.1" customHeight="1" x14ac:dyDescent="0.2">
      <c r="A13" s="284" t="s">
        <v>112</v>
      </c>
      <c r="B13" s="285">
        <v>239674</v>
      </c>
      <c r="C13" s="291">
        <f>B13/'- 3 -'!$D13*100</f>
        <v>0.2498894716035753</v>
      </c>
      <c r="D13" s="285">
        <v>140875</v>
      </c>
      <c r="E13" s="291">
        <f>D13/'- 3 -'!$D13*100</f>
        <v>0.14687942501962528</v>
      </c>
    </row>
    <row r="14" spans="1:6" ht="14.1" customHeight="1" x14ac:dyDescent="0.2">
      <c r="A14" s="19" t="s">
        <v>359</v>
      </c>
      <c r="B14" s="20">
        <v>117485</v>
      </c>
      <c r="C14" s="70">
        <f>B14/'- 3 -'!$D14*100</f>
        <v>0.14165423376513891</v>
      </c>
      <c r="D14" s="20">
        <v>269388</v>
      </c>
      <c r="E14" s="70">
        <f>D14/'- 3 -'!$D14*100</f>
        <v>0.32480700281332286</v>
      </c>
    </row>
    <row r="15" spans="1:6" ht="14.1" customHeight="1" x14ac:dyDescent="0.2">
      <c r="A15" s="284" t="s">
        <v>113</v>
      </c>
      <c r="B15" s="285">
        <v>94641</v>
      </c>
      <c r="C15" s="291">
        <f>B15/'- 3 -'!$D15*100</f>
        <v>0.48493218783832231</v>
      </c>
      <c r="D15" s="285">
        <v>66771</v>
      </c>
      <c r="E15" s="291">
        <f>D15/'- 3 -'!$D15*100</f>
        <v>0.34212875090238504</v>
      </c>
    </row>
    <row r="16" spans="1:6" ht="14.1" customHeight="1" x14ac:dyDescent="0.2">
      <c r="A16" s="19" t="s">
        <v>114</v>
      </c>
      <c r="B16" s="20">
        <v>8578</v>
      </c>
      <c r="C16" s="70">
        <f>B16/'- 3 -'!$D16*100</f>
        <v>5.9172511946942577E-2</v>
      </c>
      <c r="D16" s="20">
        <v>27118</v>
      </c>
      <c r="E16" s="70">
        <f>D16/'- 3 -'!$D16*100</f>
        <v>0.18706460468374783</v>
      </c>
    </row>
    <row r="17" spans="1:5" ht="14.1" customHeight="1" x14ac:dyDescent="0.2">
      <c r="A17" s="284" t="s">
        <v>115</v>
      </c>
      <c r="B17" s="285">
        <v>101912</v>
      </c>
      <c r="C17" s="291">
        <f>B17/'- 3 -'!$D17*100</f>
        <v>0.56788287766702183</v>
      </c>
      <c r="D17" s="285">
        <v>57867</v>
      </c>
      <c r="E17" s="291">
        <f>D17/'- 3 -'!$D17*100</f>
        <v>0.32245151191182148</v>
      </c>
    </row>
    <row r="18" spans="1:5" ht="14.1" customHeight="1" x14ac:dyDescent="0.2">
      <c r="A18" s="19" t="s">
        <v>116</v>
      </c>
      <c r="B18" s="20">
        <v>3141642</v>
      </c>
      <c r="C18" s="70">
        <f>B18/'- 3 -'!$D18*100</f>
        <v>2.4419316023915685</v>
      </c>
      <c r="D18" s="20">
        <v>54412</v>
      </c>
      <c r="E18" s="70">
        <f>D18/'- 3 -'!$D18*100</f>
        <v>4.229329196303399E-2</v>
      </c>
    </row>
    <row r="19" spans="1:5" ht="14.1" customHeight="1" x14ac:dyDescent="0.2">
      <c r="A19" s="284" t="s">
        <v>117</v>
      </c>
      <c r="B19" s="285">
        <v>148486</v>
      </c>
      <c r="C19" s="291">
        <f>B19/'- 3 -'!$D19*100</f>
        <v>0.32173472136890713</v>
      </c>
      <c r="D19" s="285">
        <v>60487</v>
      </c>
      <c r="E19" s="291">
        <f>D19/'- 3 -'!$D19*100</f>
        <v>0.1310612993241187</v>
      </c>
    </row>
    <row r="20" spans="1:5" ht="14.1" customHeight="1" x14ac:dyDescent="0.2">
      <c r="A20" s="19" t="s">
        <v>118</v>
      </c>
      <c r="B20" s="20">
        <v>348470</v>
      </c>
      <c r="C20" s="70">
        <f>B20/'- 3 -'!$D20*100</f>
        <v>0.42367443682771228</v>
      </c>
      <c r="D20" s="20">
        <v>483655</v>
      </c>
      <c r="E20" s="70">
        <f>D20/'- 3 -'!$D20*100</f>
        <v>0.58803414854623692</v>
      </c>
    </row>
    <row r="21" spans="1:5" ht="14.1" customHeight="1" x14ac:dyDescent="0.2">
      <c r="A21" s="284" t="s">
        <v>119</v>
      </c>
      <c r="B21" s="285">
        <v>272175</v>
      </c>
      <c r="C21" s="291">
        <f>B21/'- 3 -'!$D21*100</f>
        <v>0.75671684727364652</v>
      </c>
      <c r="D21" s="285">
        <v>104725</v>
      </c>
      <c r="E21" s="291">
        <f>D21/'- 3 -'!$D21*100</f>
        <v>0.29116256757869985</v>
      </c>
    </row>
    <row r="22" spans="1:5" ht="14.1" customHeight="1" x14ac:dyDescent="0.2">
      <c r="A22" s="19" t="s">
        <v>120</v>
      </c>
      <c r="B22" s="20">
        <v>33164</v>
      </c>
      <c r="C22" s="70">
        <f>B22/'- 3 -'!$D22*100</f>
        <v>0.16523105867600815</v>
      </c>
      <c r="D22" s="20">
        <v>13758</v>
      </c>
      <c r="E22" s="70">
        <f>D22/'- 3 -'!$D22*100</f>
        <v>6.8545679208313837E-2</v>
      </c>
    </row>
    <row r="23" spans="1:5" ht="14.1" customHeight="1" x14ac:dyDescent="0.2">
      <c r="A23" s="284" t="s">
        <v>121</v>
      </c>
      <c r="B23" s="285">
        <v>77225</v>
      </c>
      <c r="C23" s="291">
        <f>B23/'- 3 -'!$D23*100</f>
        <v>0.4464557483873105</v>
      </c>
      <c r="D23" s="285">
        <v>15040</v>
      </c>
      <c r="E23" s="291">
        <f>D23/'- 3 -'!$D23*100</f>
        <v>8.6949750155327285E-2</v>
      </c>
    </row>
    <row r="24" spans="1:5" ht="14.1" customHeight="1" x14ac:dyDescent="0.2">
      <c r="A24" s="19" t="s">
        <v>122</v>
      </c>
      <c r="B24" s="20">
        <v>236234</v>
      </c>
      <c r="C24" s="70">
        <f>B24/'- 3 -'!$D24*100</f>
        <v>0.4120879432380144</v>
      </c>
      <c r="D24" s="20">
        <v>242394</v>
      </c>
      <c r="E24" s="70">
        <f>D24/'- 3 -'!$D24*100</f>
        <v>0.42283348253526276</v>
      </c>
    </row>
    <row r="25" spans="1:5" ht="14.1" customHeight="1" x14ac:dyDescent="0.2">
      <c r="A25" s="284" t="s">
        <v>123</v>
      </c>
      <c r="B25" s="285">
        <v>546881</v>
      </c>
      <c r="C25" s="291">
        <f>B25/'- 3 -'!$D25*100</f>
        <v>0.30835555301449874</v>
      </c>
      <c r="D25" s="285">
        <v>485337</v>
      </c>
      <c r="E25" s="291">
        <f>D25/'- 3 -'!$D25*100</f>
        <v>0.27365433985345583</v>
      </c>
    </row>
    <row r="26" spans="1:5" ht="14.1" customHeight="1" x14ac:dyDescent="0.2">
      <c r="A26" s="19" t="s">
        <v>124</v>
      </c>
      <c r="B26" s="20">
        <v>199088</v>
      </c>
      <c r="C26" s="70">
        <f>B26/'- 3 -'!$D26*100</f>
        <v>0.48573458413990017</v>
      </c>
      <c r="D26" s="20">
        <v>73848</v>
      </c>
      <c r="E26" s="70">
        <f>D26/'- 3 -'!$D26*100</f>
        <v>0.18017423234732052</v>
      </c>
    </row>
    <row r="27" spans="1:5" ht="14.1" customHeight="1" x14ac:dyDescent="0.2">
      <c r="A27" s="284" t="s">
        <v>125</v>
      </c>
      <c r="B27" s="285">
        <v>165038</v>
      </c>
      <c r="C27" s="291">
        <f>B27/'- 3 -'!$D27*100</f>
        <v>0.39819250645411908</v>
      </c>
      <c r="D27" s="285">
        <v>125530</v>
      </c>
      <c r="E27" s="291">
        <f>D27/'- 3 -'!$D27*100</f>
        <v>0.3028702803910952</v>
      </c>
    </row>
    <row r="28" spans="1:5" ht="14.1" customHeight="1" x14ac:dyDescent="0.2">
      <c r="A28" s="19" t="s">
        <v>126</v>
      </c>
      <c r="B28" s="20">
        <v>70420</v>
      </c>
      <c r="C28" s="70">
        <f>B28/'- 3 -'!$D28*100</f>
        <v>0.24965902327873626</v>
      </c>
      <c r="D28" s="20">
        <v>100039</v>
      </c>
      <c r="E28" s="70">
        <f>D28/'- 3 -'!$D28*100</f>
        <v>0.35466684222921752</v>
      </c>
    </row>
    <row r="29" spans="1:5" ht="14.1" customHeight="1" x14ac:dyDescent="0.2">
      <c r="A29" s="284" t="s">
        <v>127</v>
      </c>
      <c r="B29" s="285">
        <v>568054</v>
      </c>
      <c r="C29" s="291">
        <f>B29/'- 3 -'!$D29*100</f>
        <v>0.35661678080541476</v>
      </c>
      <c r="D29" s="285">
        <v>765800</v>
      </c>
      <c r="E29" s="291">
        <f>D29/'- 3 -'!$D29*100</f>
        <v>0.48075910167129643</v>
      </c>
    </row>
    <row r="30" spans="1:5" ht="14.1" customHeight="1" x14ac:dyDescent="0.2">
      <c r="A30" s="19" t="s">
        <v>128</v>
      </c>
      <c r="B30" s="20">
        <v>56077</v>
      </c>
      <c r="C30" s="70">
        <f>B30/'- 3 -'!$D30*100</f>
        <v>0.39766183887309881</v>
      </c>
      <c r="D30" s="20">
        <v>53716</v>
      </c>
      <c r="E30" s="70">
        <f>D30/'- 3 -'!$D30*100</f>
        <v>0.38091915289525785</v>
      </c>
    </row>
    <row r="31" spans="1:5" ht="14.1" customHeight="1" x14ac:dyDescent="0.2">
      <c r="A31" s="284" t="s">
        <v>129</v>
      </c>
      <c r="B31" s="285">
        <v>102883</v>
      </c>
      <c r="C31" s="291">
        <f>B31/'- 3 -'!$D31*100</f>
        <v>0.27421244181351273</v>
      </c>
      <c r="D31" s="285">
        <v>131996</v>
      </c>
      <c r="E31" s="291">
        <f>D31/'- 3 -'!$D31*100</f>
        <v>0.35180686284047341</v>
      </c>
    </row>
    <row r="32" spans="1:5" ht="14.1" customHeight="1" x14ac:dyDescent="0.2">
      <c r="A32" s="19" t="s">
        <v>130</v>
      </c>
      <c r="B32" s="20">
        <v>112038</v>
      </c>
      <c r="C32" s="70">
        <f>B32/'- 3 -'!$D32*100</f>
        <v>0.38241985500349024</v>
      </c>
      <c r="D32" s="20">
        <v>130447</v>
      </c>
      <c r="E32" s="70">
        <f>D32/'- 3 -'!$D32*100</f>
        <v>0.4452553850090174</v>
      </c>
    </row>
    <row r="33" spans="1:5" ht="14.1" customHeight="1" x14ac:dyDescent="0.2">
      <c r="A33" s="284" t="s">
        <v>131</v>
      </c>
      <c r="B33" s="285">
        <v>145029</v>
      </c>
      <c r="C33" s="291">
        <f>B33/'- 3 -'!$D33*100</f>
        <v>0.52142976790912199</v>
      </c>
      <c r="D33" s="285">
        <v>45663</v>
      </c>
      <c r="E33" s="291">
        <f>D33/'- 3 -'!$D33*100</f>
        <v>0.1641743892051537</v>
      </c>
    </row>
    <row r="34" spans="1:5" ht="14.1" customHeight="1" x14ac:dyDescent="0.2">
      <c r="A34" s="19" t="s">
        <v>132</v>
      </c>
      <c r="B34" s="20">
        <v>123198</v>
      </c>
      <c r="C34" s="70">
        <f>B34/'- 3 -'!$D34*100</f>
        <v>0.42364829413113109</v>
      </c>
      <c r="D34" s="20">
        <v>126717</v>
      </c>
      <c r="E34" s="70">
        <f>D34/'- 3 -'!$D34*100</f>
        <v>0.43574928884733949</v>
      </c>
    </row>
    <row r="35" spans="1:5" ht="14.1" customHeight="1" x14ac:dyDescent="0.2">
      <c r="A35" s="284" t="s">
        <v>133</v>
      </c>
      <c r="B35" s="285">
        <v>582723</v>
      </c>
      <c r="C35" s="291">
        <f>B35/'- 3 -'!$D35*100</f>
        <v>0.31626418115735255</v>
      </c>
      <c r="D35" s="285">
        <v>789740</v>
      </c>
      <c r="E35" s="291">
        <f>D35/'- 3 -'!$D35*100</f>
        <v>0.4286195575379857</v>
      </c>
    </row>
    <row r="36" spans="1:5" ht="14.1" customHeight="1" x14ac:dyDescent="0.2">
      <c r="A36" s="19" t="s">
        <v>134</v>
      </c>
      <c r="B36" s="20">
        <v>372950</v>
      </c>
      <c r="C36" s="70">
        <f>B36/'- 3 -'!$D36*100</f>
        <v>1.5909351123709101</v>
      </c>
      <c r="D36" s="20">
        <v>68804</v>
      </c>
      <c r="E36" s="70">
        <f>D36/'- 3 -'!$D36*100</f>
        <v>0.29350502606667944</v>
      </c>
    </row>
    <row r="37" spans="1:5" ht="14.1" customHeight="1" x14ac:dyDescent="0.2">
      <c r="A37" s="284" t="s">
        <v>135</v>
      </c>
      <c r="B37" s="285">
        <v>109309</v>
      </c>
      <c r="C37" s="291">
        <f>B37/'- 3 -'!$D37*100</f>
        <v>0.21779842452849923</v>
      </c>
      <c r="D37" s="285">
        <v>321401</v>
      </c>
      <c r="E37" s="291">
        <f>D37/'- 3 -'!$D37*100</f>
        <v>0.64039220413583686</v>
      </c>
    </row>
    <row r="38" spans="1:5" ht="14.1" customHeight="1" x14ac:dyDescent="0.2">
      <c r="A38" s="19" t="s">
        <v>136</v>
      </c>
      <c r="B38" s="20">
        <v>504946</v>
      </c>
      <c r="C38" s="70">
        <f>B38/'- 3 -'!$D38*100</f>
        <v>0.37214526319556707</v>
      </c>
      <c r="D38" s="20">
        <v>456264</v>
      </c>
      <c r="E38" s="70">
        <f>D38/'- 3 -'!$D38*100</f>
        <v>0.33626662329568358</v>
      </c>
    </row>
    <row r="39" spans="1:5" ht="14.1" customHeight="1" x14ac:dyDescent="0.2">
      <c r="A39" s="284" t="s">
        <v>137</v>
      </c>
      <c r="B39" s="285">
        <v>58076</v>
      </c>
      <c r="C39" s="291">
        <f>B39/'- 3 -'!$D39*100</f>
        <v>0.27067503349997368</v>
      </c>
      <c r="D39" s="285">
        <v>117164</v>
      </c>
      <c r="E39" s="291">
        <f>D39/'- 3 -'!$D39*100</f>
        <v>0.54606669923877194</v>
      </c>
    </row>
    <row r="40" spans="1:5" ht="14.1" customHeight="1" x14ac:dyDescent="0.2">
      <c r="A40" s="19" t="s">
        <v>138</v>
      </c>
      <c r="B40" s="20">
        <v>603443</v>
      </c>
      <c r="C40" s="70">
        <f>B40/'- 3 -'!$D40*100</f>
        <v>0.57832121786881396</v>
      </c>
      <c r="D40" s="20">
        <v>310129</v>
      </c>
      <c r="E40" s="70">
        <f>D40/'- 3 -'!$D40*100</f>
        <v>0.29721809843918545</v>
      </c>
    </row>
    <row r="41" spans="1:5" ht="14.1" customHeight="1" x14ac:dyDescent="0.2">
      <c r="A41" s="284" t="s">
        <v>139</v>
      </c>
      <c r="B41" s="285">
        <v>351755</v>
      </c>
      <c r="C41" s="291">
        <f>B41/'- 3 -'!$D41*100</f>
        <v>0.56154666735291192</v>
      </c>
      <c r="D41" s="285">
        <v>377059</v>
      </c>
      <c r="E41" s="291">
        <f>D41/'- 3 -'!$D41*100</f>
        <v>0.60194233158141786</v>
      </c>
    </row>
    <row r="42" spans="1:5" ht="14.1" customHeight="1" x14ac:dyDescent="0.2">
      <c r="A42" s="19" t="s">
        <v>140</v>
      </c>
      <c r="B42" s="20">
        <v>151314</v>
      </c>
      <c r="C42" s="70">
        <f>B42/'- 3 -'!$D42*100</f>
        <v>0.74681723899425023</v>
      </c>
      <c r="D42" s="20">
        <v>88864</v>
      </c>
      <c r="E42" s="70">
        <f>D42/'- 3 -'!$D42*100</f>
        <v>0.43859237827289638</v>
      </c>
    </row>
    <row r="43" spans="1:5" ht="14.1" customHeight="1" x14ac:dyDescent="0.2">
      <c r="A43" s="284" t="s">
        <v>141</v>
      </c>
      <c r="B43" s="285">
        <v>51922</v>
      </c>
      <c r="C43" s="291">
        <f>B43/'- 3 -'!$D43*100</f>
        <v>0.39193354536584368</v>
      </c>
      <c r="D43" s="285">
        <v>26100</v>
      </c>
      <c r="E43" s="291">
        <f>D43/'- 3 -'!$D43*100</f>
        <v>0.19701601506198757</v>
      </c>
    </row>
    <row r="44" spans="1:5" ht="14.1" customHeight="1" x14ac:dyDescent="0.2">
      <c r="A44" s="19" t="s">
        <v>142</v>
      </c>
      <c r="B44" s="20">
        <v>48334</v>
      </c>
      <c r="C44" s="70">
        <f>B44/'- 3 -'!$D44*100</f>
        <v>0.44718785785136478</v>
      </c>
      <c r="D44" s="20">
        <v>33569</v>
      </c>
      <c r="E44" s="70">
        <f>D44/'- 3 -'!$D44*100</f>
        <v>0.31058156163802836</v>
      </c>
    </row>
    <row r="45" spans="1:5" ht="14.1" customHeight="1" x14ac:dyDescent="0.2">
      <c r="A45" s="284" t="s">
        <v>143</v>
      </c>
      <c r="B45" s="285">
        <v>59213</v>
      </c>
      <c r="C45" s="291">
        <f>B45/'- 3 -'!$D45*100</f>
        <v>0.30741788085645266</v>
      </c>
      <c r="D45" s="285">
        <v>43267</v>
      </c>
      <c r="E45" s="291">
        <f>D45/'- 3 -'!$D45*100</f>
        <v>0.2246305617181385</v>
      </c>
    </row>
    <row r="46" spans="1:5" ht="14.1" customHeight="1" x14ac:dyDescent="0.2">
      <c r="A46" s="19" t="s">
        <v>144</v>
      </c>
      <c r="B46" s="20">
        <v>1743302</v>
      </c>
      <c r="C46" s="70">
        <f>B46/'- 3 -'!$D46*100</f>
        <v>0.44555376319316708</v>
      </c>
      <c r="D46" s="20">
        <v>1079763</v>
      </c>
      <c r="E46" s="70">
        <f>D46/'- 3 -'!$D46*100</f>
        <v>0.27596622272374133</v>
      </c>
    </row>
    <row r="47" spans="1:5" ht="5.0999999999999996" customHeight="1" x14ac:dyDescent="0.2">
      <c r="A47"/>
      <c r="B47" s="22"/>
      <c r="C47"/>
      <c r="D47" s="22"/>
      <c r="E47"/>
    </row>
    <row r="48" spans="1:5" ht="14.1" customHeight="1" x14ac:dyDescent="0.2">
      <c r="A48" s="286" t="s">
        <v>145</v>
      </c>
      <c r="B48" s="287">
        <f>SUM(B11:B46)</f>
        <v>11928698</v>
      </c>
      <c r="C48" s="294">
        <f>B48/'- 3 -'!$D48*100</f>
        <v>0.520219571297871</v>
      </c>
      <c r="D48" s="287">
        <f>SUM(D11:D46)</f>
        <v>7451718</v>
      </c>
      <c r="E48" s="294">
        <f>D48/'- 3 -'!$D48*100</f>
        <v>0.32497507635725453</v>
      </c>
    </row>
    <row r="49" spans="1:5" ht="5.0999999999999996" customHeight="1" x14ac:dyDescent="0.2">
      <c r="A49" s="21" t="s">
        <v>7</v>
      </c>
      <c r="B49" s="22"/>
      <c r="C49"/>
      <c r="D49" s="22"/>
      <c r="E49"/>
    </row>
    <row r="50" spans="1:5" ht="14.1" customHeight="1" x14ac:dyDescent="0.2">
      <c r="A50" s="19" t="s">
        <v>146</v>
      </c>
      <c r="B50" s="20">
        <v>0</v>
      </c>
      <c r="C50" s="70">
        <f>B50/'- 3 -'!$D50*100</f>
        <v>0</v>
      </c>
      <c r="D50" s="20">
        <v>11066</v>
      </c>
      <c r="E50" s="70">
        <f>D50/'- 3 -'!$D50*100</f>
        <v>0.34510266695191327</v>
      </c>
    </row>
    <row r="51" spans="1:5" ht="14.1" customHeight="1" x14ac:dyDescent="0.2">
      <c r="A51" s="284" t="s">
        <v>609</v>
      </c>
      <c r="B51" s="285">
        <v>0</v>
      </c>
      <c r="C51" s="291">
        <f>B51/'- 3 -'!$D51*100</f>
        <v>0</v>
      </c>
      <c r="D51" s="285">
        <v>45834</v>
      </c>
      <c r="E51" s="291">
        <f>D51/'- 3 -'!$D51*100</f>
        <v>0.15795540353153048</v>
      </c>
    </row>
    <row r="52" spans="1:5" ht="50.1" customHeight="1" x14ac:dyDescent="0.2"/>
  </sheetData>
  <mergeCells count="2">
    <mergeCell ref="D8:E8"/>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G52"/>
  <sheetViews>
    <sheetView showGridLines="0" showZeros="0" workbookViewId="0"/>
  </sheetViews>
  <sheetFormatPr defaultColWidth="15.83203125" defaultRowHeight="12" x14ac:dyDescent="0.2"/>
  <cols>
    <col min="1" max="1" width="34.83203125" style="2" customWidth="1"/>
    <col min="2" max="2" width="19.83203125" style="2" customWidth="1"/>
    <col min="3" max="3" width="12.83203125" style="2" customWidth="1"/>
    <col min="4" max="4" width="19.83203125" style="2" customWidth="1"/>
    <col min="5" max="5" width="12.83203125" style="2" customWidth="1"/>
    <col min="6" max="6" width="19.83203125" style="2" customWidth="1"/>
    <col min="7" max="7" width="12.83203125" style="2" customWidth="1"/>
    <col min="8" max="16384" width="15.83203125" style="2"/>
  </cols>
  <sheetData>
    <row r="1" spans="1:7" ht="6.95" customHeight="1" x14ac:dyDescent="0.2">
      <c r="A1" s="7"/>
      <c r="B1" s="8"/>
      <c r="C1" s="8"/>
      <c r="D1" s="8"/>
      <c r="E1" s="8"/>
      <c r="F1" s="8"/>
      <c r="G1" s="8"/>
    </row>
    <row r="2" spans="1:7" ht="15.95" customHeight="1" x14ac:dyDescent="0.2">
      <c r="A2" s="134"/>
      <c r="B2" s="9" t="s">
        <v>263</v>
      </c>
      <c r="C2" s="10"/>
      <c r="D2" s="10"/>
      <c r="E2" s="10"/>
      <c r="F2" s="10"/>
      <c r="G2" s="395" t="s">
        <v>414</v>
      </c>
    </row>
    <row r="3" spans="1:7" ht="15.95" customHeight="1" x14ac:dyDescent="0.2">
      <c r="A3" s="541"/>
      <c r="B3" s="11" t="str">
        <f>OPYEAR</f>
        <v>OPERATING FUND 2016/2017 ACTUAL</v>
      </c>
      <c r="C3" s="12"/>
      <c r="D3" s="12"/>
      <c r="E3" s="12"/>
      <c r="F3" s="12"/>
      <c r="G3" s="75"/>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557" t="s">
        <v>17</v>
      </c>
      <c r="C6" s="558"/>
      <c r="D6" s="165"/>
      <c r="E6" s="165"/>
      <c r="F6" s="166"/>
      <c r="G6" s="167"/>
    </row>
    <row r="7" spans="1:7" ht="15.95" customHeight="1" x14ac:dyDescent="0.2">
      <c r="B7" s="670" t="s">
        <v>502</v>
      </c>
      <c r="C7" s="694"/>
      <c r="D7" s="690" t="s">
        <v>503</v>
      </c>
      <c r="E7" s="644"/>
      <c r="F7" s="643" t="s">
        <v>504</v>
      </c>
      <c r="G7" s="644"/>
    </row>
    <row r="8" spans="1:7" ht="15.95" customHeight="1" x14ac:dyDescent="0.2">
      <c r="A8" s="403"/>
      <c r="B8" s="695"/>
      <c r="C8" s="696"/>
      <c r="D8" s="677"/>
      <c r="E8" s="646"/>
      <c r="F8" s="645"/>
      <c r="G8" s="646"/>
    </row>
    <row r="9" spans="1:7" ht="15.95" customHeight="1" x14ac:dyDescent="0.2">
      <c r="A9" s="35" t="s">
        <v>42</v>
      </c>
      <c r="B9" s="77" t="s">
        <v>43</v>
      </c>
      <c r="C9" s="77" t="s">
        <v>44</v>
      </c>
      <c r="D9" s="171" t="s">
        <v>43</v>
      </c>
      <c r="E9" s="168" t="s">
        <v>44</v>
      </c>
      <c r="F9" s="171" t="s">
        <v>43</v>
      </c>
      <c r="G9" s="168" t="s">
        <v>44</v>
      </c>
    </row>
    <row r="10" spans="1:7" ht="5.0999999999999996" customHeight="1" x14ac:dyDescent="0.2">
      <c r="A10" s="6"/>
    </row>
    <row r="11" spans="1:7" ht="14.1" customHeight="1" x14ac:dyDescent="0.2">
      <c r="A11" s="284" t="s">
        <v>110</v>
      </c>
      <c r="B11" s="285">
        <v>9386</v>
      </c>
      <c r="C11" s="291">
        <f>B11/'- 3 -'!$D11*100</f>
        <v>4.9095558442100534E-2</v>
      </c>
      <c r="D11" s="285">
        <v>0</v>
      </c>
      <c r="E11" s="291">
        <f>D11/'- 3 -'!$D11*100</f>
        <v>0</v>
      </c>
      <c r="F11" s="285">
        <v>320720</v>
      </c>
      <c r="G11" s="291">
        <f>F11/'- 3 -'!$D11*100</f>
        <v>1.6775972196410063</v>
      </c>
    </row>
    <row r="12" spans="1:7" ht="14.1" customHeight="1" x14ac:dyDescent="0.2">
      <c r="A12" s="19" t="s">
        <v>111</v>
      </c>
      <c r="B12" s="20">
        <v>48019</v>
      </c>
      <c r="C12" s="70">
        <f>B12/'- 3 -'!$D12*100</f>
        <v>0.14368885335193846</v>
      </c>
      <c r="D12" s="20">
        <v>0</v>
      </c>
      <c r="E12" s="70">
        <f>D12/'- 3 -'!$D12*100</f>
        <v>0</v>
      </c>
      <c r="F12" s="20">
        <v>511528</v>
      </c>
      <c r="G12" s="70">
        <f>F12/'- 3 -'!$D12*100</f>
        <v>1.53066227487891</v>
      </c>
    </row>
    <row r="13" spans="1:7" ht="14.1" customHeight="1" x14ac:dyDescent="0.2">
      <c r="A13" s="284" t="s">
        <v>112</v>
      </c>
      <c r="B13" s="285">
        <v>4431</v>
      </c>
      <c r="C13" s="291">
        <f>B13/'- 3 -'!$D13*100</f>
        <v>4.6198596788781521E-3</v>
      </c>
      <c r="D13" s="285">
        <v>0</v>
      </c>
      <c r="E13" s="291">
        <f>D13/'- 3 -'!$D13*100</f>
        <v>0</v>
      </c>
      <c r="F13" s="285">
        <v>1630787</v>
      </c>
      <c r="G13" s="291">
        <f>F13/'- 3 -'!$D13*100</f>
        <v>1.7002949912296692</v>
      </c>
    </row>
    <row r="14" spans="1:7" ht="14.1" customHeight="1" x14ac:dyDescent="0.2">
      <c r="A14" s="19" t="s">
        <v>359</v>
      </c>
      <c r="B14" s="20">
        <v>94483</v>
      </c>
      <c r="C14" s="70">
        <f>B14/'- 3 -'!$D14*100</f>
        <v>0.11392021933720577</v>
      </c>
      <c r="D14" s="20">
        <v>0</v>
      </c>
      <c r="E14" s="70">
        <f>D14/'- 3 -'!$D14*100</f>
        <v>0</v>
      </c>
      <c r="F14" s="20">
        <v>1221842</v>
      </c>
      <c r="G14" s="70">
        <f>F14/'- 3 -'!$D14*100</f>
        <v>1.473201619713707</v>
      </c>
    </row>
    <row r="15" spans="1:7" ht="14.1" customHeight="1" x14ac:dyDescent="0.2">
      <c r="A15" s="284" t="s">
        <v>113</v>
      </c>
      <c r="B15" s="285">
        <v>5741</v>
      </c>
      <c r="C15" s="291">
        <f>B15/'- 3 -'!$D15*100</f>
        <v>2.9416380748088125E-2</v>
      </c>
      <c r="D15" s="285">
        <v>0</v>
      </c>
      <c r="E15" s="291">
        <f>D15/'- 3 -'!$D15*100</f>
        <v>0</v>
      </c>
      <c r="F15" s="285">
        <v>302434</v>
      </c>
      <c r="G15" s="291">
        <f>F15/'- 3 -'!$D15*100</f>
        <v>1.5496453048540819</v>
      </c>
    </row>
    <row r="16" spans="1:7" ht="14.1" customHeight="1" x14ac:dyDescent="0.2">
      <c r="A16" s="19" t="s">
        <v>114</v>
      </c>
      <c r="B16" s="20">
        <v>8882</v>
      </c>
      <c r="C16" s="70">
        <f>B16/'- 3 -'!$D16*100</f>
        <v>6.1269555970242952E-2</v>
      </c>
      <c r="D16" s="20">
        <v>0</v>
      </c>
      <c r="E16" s="70">
        <f>D16/'- 3 -'!$D16*100</f>
        <v>0</v>
      </c>
      <c r="F16" s="20">
        <v>224030</v>
      </c>
      <c r="G16" s="70">
        <f>F16/'- 3 -'!$D16*100</f>
        <v>1.5453972780920431</v>
      </c>
    </row>
    <row r="17" spans="1:7" ht="14.1" customHeight="1" x14ac:dyDescent="0.2">
      <c r="A17" s="284" t="s">
        <v>115</v>
      </c>
      <c r="B17" s="285">
        <v>61003</v>
      </c>
      <c r="C17" s="291">
        <f>B17/'- 3 -'!$D17*100</f>
        <v>0.33992620286444508</v>
      </c>
      <c r="D17" s="285">
        <v>0</v>
      </c>
      <c r="E17" s="291">
        <f>D17/'- 3 -'!$D17*100</f>
        <v>0</v>
      </c>
      <c r="F17" s="285">
        <v>330728</v>
      </c>
      <c r="G17" s="291">
        <f>F17/'- 3 -'!$D17*100</f>
        <v>1.8429112211030965</v>
      </c>
    </row>
    <row r="18" spans="1:7" ht="14.1" customHeight="1" x14ac:dyDescent="0.2">
      <c r="A18" s="19" t="s">
        <v>116</v>
      </c>
      <c r="B18" s="20">
        <v>23272</v>
      </c>
      <c r="C18" s="70">
        <f>B18/'- 3 -'!$D18*100</f>
        <v>1.8088831334332998E-2</v>
      </c>
      <c r="D18" s="20">
        <v>0</v>
      </c>
      <c r="E18" s="70">
        <f>D18/'- 3 -'!$D18*100</f>
        <v>0</v>
      </c>
      <c r="F18" s="20">
        <v>1186967</v>
      </c>
      <c r="G18" s="70">
        <f>F18/'- 3 -'!$D18*100</f>
        <v>0.92260423953331194</v>
      </c>
    </row>
    <row r="19" spans="1:7" ht="14.1" customHeight="1" x14ac:dyDescent="0.2">
      <c r="A19" s="284" t="s">
        <v>117</v>
      </c>
      <c r="B19" s="285">
        <v>49222</v>
      </c>
      <c r="C19" s="291">
        <f>B19/'- 3 -'!$D19*100</f>
        <v>0.10665265718802007</v>
      </c>
      <c r="D19" s="285">
        <v>0</v>
      </c>
      <c r="E19" s="291">
        <f>D19/'- 3 -'!$D19*100</f>
        <v>0</v>
      </c>
      <c r="F19" s="285">
        <v>755828</v>
      </c>
      <c r="G19" s="291">
        <f>F19/'- 3 -'!$D19*100</f>
        <v>1.637703965241291</v>
      </c>
    </row>
    <row r="20" spans="1:7" ht="14.1" customHeight="1" x14ac:dyDescent="0.2">
      <c r="A20" s="19" t="s">
        <v>118</v>
      </c>
      <c r="B20" s="20">
        <v>111005</v>
      </c>
      <c r="C20" s="70">
        <f>B20/'- 3 -'!$D20*100</f>
        <v>0.1349613477775998</v>
      </c>
      <c r="D20" s="20">
        <v>0</v>
      </c>
      <c r="E20" s="70">
        <f>D20/'- 3 -'!$D20*100</f>
        <v>0</v>
      </c>
      <c r="F20" s="20">
        <v>1354399</v>
      </c>
      <c r="G20" s="70">
        <f>F20/'- 3 -'!$D20*100</f>
        <v>1.6466962251126829</v>
      </c>
    </row>
    <row r="21" spans="1:7" ht="14.1" customHeight="1" x14ac:dyDescent="0.2">
      <c r="A21" s="284" t="s">
        <v>119</v>
      </c>
      <c r="B21" s="285">
        <v>0</v>
      </c>
      <c r="C21" s="291">
        <f>B21/'- 3 -'!$D21*100</f>
        <v>0</v>
      </c>
      <c r="D21" s="285">
        <v>0</v>
      </c>
      <c r="E21" s="291">
        <f>D21/'- 3 -'!$D21*100</f>
        <v>0</v>
      </c>
      <c r="F21" s="285">
        <v>601869</v>
      </c>
      <c r="G21" s="291">
        <f>F21/'- 3 -'!$D21*100</f>
        <v>1.6733513811031226</v>
      </c>
    </row>
    <row r="22" spans="1:7" ht="14.1" customHeight="1" x14ac:dyDescent="0.2">
      <c r="A22" s="19" t="s">
        <v>120</v>
      </c>
      <c r="B22" s="20">
        <v>7501</v>
      </c>
      <c r="C22" s="70">
        <f>B22/'- 3 -'!$D22*100</f>
        <v>3.7371793846602858E-2</v>
      </c>
      <c r="D22" s="20">
        <v>0</v>
      </c>
      <c r="E22" s="70">
        <f>D22/'- 3 -'!$D22*100</f>
        <v>0</v>
      </c>
      <c r="F22" s="20">
        <v>344724</v>
      </c>
      <c r="G22" s="70">
        <f>F22/'- 3 -'!$D22*100</f>
        <v>1.7174982351654882</v>
      </c>
    </row>
    <row r="23" spans="1:7" ht="14.1" customHeight="1" x14ac:dyDescent="0.2">
      <c r="A23" s="284" t="s">
        <v>121</v>
      </c>
      <c r="B23" s="285">
        <v>2438</v>
      </c>
      <c r="C23" s="291">
        <f>B23/'- 3 -'!$D23*100</f>
        <v>1.4094646999912763E-2</v>
      </c>
      <c r="D23" s="285">
        <v>0</v>
      </c>
      <c r="E23" s="291">
        <f>D23/'- 3 -'!$D23*100</f>
        <v>0</v>
      </c>
      <c r="F23" s="285">
        <v>260994</v>
      </c>
      <c r="G23" s="291">
        <f>F23/'- 3 -'!$D23*100</f>
        <v>1.5088672268643279</v>
      </c>
    </row>
    <row r="24" spans="1:7" ht="14.1" customHeight="1" x14ac:dyDescent="0.2">
      <c r="A24" s="19" t="s">
        <v>122</v>
      </c>
      <c r="B24" s="20">
        <v>53270</v>
      </c>
      <c r="C24" s="70">
        <f>B24/'- 3 -'!$D24*100</f>
        <v>9.2924493240977291E-2</v>
      </c>
      <c r="D24" s="20">
        <v>0</v>
      </c>
      <c r="E24" s="70">
        <f>D24/'- 3 -'!$D24*100</f>
        <v>0</v>
      </c>
      <c r="F24" s="20">
        <v>955978</v>
      </c>
      <c r="G24" s="70">
        <f>F24/'- 3 -'!$D24*100</f>
        <v>1.6676135010235213</v>
      </c>
    </row>
    <row r="25" spans="1:7" ht="14.1" customHeight="1" x14ac:dyDescent="0.2">
      <c r="A25" s="284" t="s">
        <v>123</v>
      </c>
      <c r="B25" s="285">
        <v>149724</v>
      </c>
      <c r="C25" s="291">
        <f>B25/'- 3 -'!$D25*100</f>
        <v>8.4420974251332201E-2</v>
      </c>
      <c r="D25" s="285">
        <v>0</v>
      </c>
      <c r="E25" s="291">
        <f>D25/'- 3 -'!$D25*100</f>
        <v>0</v>
      </c>
      <c r="F25" s="285">
        <v>2950432</v>
      </c>
      <c r="G25" s="291">
        <f>F25/'- 3 -'!$D25*100</f>
        <v>1.6635832859281516</v>
      </c>
    </row>
    <row r="26" spans="1:7" ht="14.1" customHeight="1" x14ac:dyDescent="0.2">
      <c r="A26" s="19" t="s">
        <v>124</v>
      </c>
      <c r="B26" s="20">
        <v>102388</v>
      </c>
      <c r="C26" s="70">
        <f>B26/'- 3 -'!$D26*100</f>
        <v>0.24980607872355995</v>
      </c>
      <c r="D26" s="20">
        <v>0</v>
      </c>
      <c r="E26" s="70">
        <f>D26/'- 3 -'!$D26*100</f>
        <v>0</v>
      </c>
      <c r="F26" s="20">
        <v>652839</v>
      </c>
      <c r="G26" s="70">
        <f>F26/'- 3 -'!$D26*100</f>
        <v>1.5927955485780576</v>
      </c>
    </row>
    <row r="27" spans="1:7" ht="14.1" customHeight="1" x14ac:dyDescent="0.2">
      <c r="A27" s="284" t="s">
        <v>125</v>
      </c>
      <c r="B27" s="285">
        <v>2910</v>
      </c>
      <c r="C27" s="291">
        <f>B27/'- 3 -'!$D27*100</f>
        <v>7.0210508718082298E-3</v>
      </c>
      <c r="D27" s="285">
        <v>-7500</v>
      </c>
      <c r="E27" s="291">
        <f>D27/'- 3 -'!$D27*100</f>
        <v>-1.8095491937650074E-2</v>
      </c>
      <c r="F27" s="285">
        <v>712298</v>
      </c>
      <c r="G27" s="291">
        <f>F27/'- 3 -'!$D27*100</f>
        <v>1.7185843621605701</v>
      </c>
    </row>
    <row r="28" spans="1:7" ht="14.1" customHeight="1" x14ac:dyDescent="0.2">
      <c r="A28" s="19" t="s">
        <v>126</v>
      </c>
      <c r="B28" s="20">
        <v>43637</v>
      </c>
      <c r="C28" s="70">
        <f>B28/'- 3 -'!$D28*100</f>
        <v>0.1547056347460127</v>
      </c>
      <c r="D28" s="20">
        <v>0</v>
      </c>
      <c r="E28" s="70">
        <f>D28/'- 3 -'!$D28*100</f>
        <v>0</v>
      </c>
      <c r="F28" s="20">
        <v>407780</v>
      </c>
      <c r="G28" s="70">
        <f>F28/'- 3 -'!$D28*100</f>
        <v>1.4456966275575558</v>
      </c>
    </row>
    <row r="29" spans="1:7" ht="14.1" customHeight="1" x14ac:dyDescent="0.2">
      <c r="A29" s="284" t="s">
        <v>127</v>
      </c>
      <c r="B29" s="285">
        <v>114255</v>
      </c>
      <c r="C29" s="291">
        <f>B29/'- 3 -'!$D29*100</f>
        <v>7.1727776392601167E-2</v>
      </c>
      <c r="D29" s="285">
        <v>0</v>
      </c>
      <c r="E29" s="291">
        <f>D29/'- 3 -'!$D29*100</f>
        <v>0</v>
      </c>
      <c r="F29" s="285">
        <v>2606957</v>
      </c>
      <c r="G29" s="291">
        <f>F29/'- 3 -'!$D29*100</f>
        <v>1.6366130914281767</v>
      </c>
    </row>
    <row r="30" spans="1:7" ht="14.1" customHeight="1" x14ac:dyDescent="0.2">
      <c r="A30" s="19" t="s">
        <v>128</v>
      </c>
      <c r="B30" s="20">
        <v>9415</v>
      </c>
      <c r="C30" s="70">
        <f>B30/'- 3 -'!$D30*100</f>
        <v>6.6765094655388588E-2</v>
      </c>
      <c r="D30" s="20">
        <v>0</v>
      </c>
      <c r="E30" s="70">
        <f>D30/'- 3 -'!$D30*100</f>
        <v>0</v>
      </c>
      <c r="F30" s="20">
        <v>232687</v>
      </c>
      <c r="G30" s="70">
        <f>F30/'- 3 -'!$D30*100</f>
        <v>1.6500658077619121</v>
      </c>
    </row>
    <row r="31" spans="1:7" ht="14.1" customHeight="1" x14ac:dyDescent="0.2">
      <c r="A31" s="284" t="s">
        <v>129</v>
      </c>
      <c r="B31" s="285">
        <v>6553</v>
      </c>
      <c r="C31" s="291">
        <f>B31/'- 3 -'!$D31*100</f>
        <v>1.7465607838067988E-2</v>
      </c>
      <c r="D31" s="285">
        <v>0</v>
      </c>
      <c r="E31" s="291">
        <f>D31/'- 3 -'!$D31*100</f>
        <v>0</v>
      </c>
      <c r="F31" s="285">
        <v>637653</v>
      </c>
      <c r="G31" s="291">
        <f>F31/'- 3 -'!$D31*100</f>
        <v>1.6995265122489802</v>
      </c>
    </row>
    <row r="32" spans="1:7" ht="14.1" customHeight="1" x14ac:dyDescent="0.2">
      <c r="A32" s="19" t="s">
        <v>130</v>
      </c>
      <c r="B32" s="20">
        <v>58522</v>
      </c>
      <c r="C32" s="70">
        <f>B32/'- 3 -'!$D32*100</f>
        <v>0.19975342968023579</v>
      </c>
      <c r="D32" s="20">
        <v>28261</v>
      </c>
      <c r="E32" s="70">
        <f>D32/'- 3 -'!$D32*100</f>
        <v>9.6463409934608252E-2</v>
      </c>
      <c r="F32" s="20">
        <v>469633</v>
      </c>
      <c r="G32" s="70">
        <f>F32/'- 3 -'!$D32*100</f>
        <v>1.6030006226892139</v>
      </c>
    </row>
    <row r="33" spans="1:7" ht="14.1" customHeight="1" x14ac:dyDescent="0.2">
      <c r="A33" s="284" t="s">
        <v>131</v>
      </c>
      <c r="B33" s="285">
        <v>29216</v>
      </c>
      <c r="C33" s="291">
        <f>B33/'- 3 -'!$D33*100</f>
        <v>0.10504169579348205</v>
      </c>
      <c r="D33" s="285">
        <v>0</v>
      </c>
      <c r="E33" s="291">
        <f>D33/'- 3 -'!$D33*100</f>
        <v>0</v>
      </c>
      <c r="F33" s="285">
        <v>450797</v>
      </c>
      <c r="G33" s="291">
        <f>F33/'- 3 -'!$D33*100</f>
        <v>1.6207722254454522</v>
      </c>
    </row>
    <row r="34" spans="1:7" ht="14.1" customHeight="1" x14ac:dyDescent="0.2">
      <c r="A34" s="19" t="s">
        <v>132</v>
      </c>
      <c r="B34" s="20">
        <v>84024</v>
      </c>
      <c r="C34" s="70">
        <f>B34/'- 3 -'!$D34*100</f>
        <v>0.28893832908061945</v>
      </c>
      <c r="D34" s="20">
        <v>0</v>
      </c>
      <c r="E34" s="70">
        <f>D34/'- 3 -'!$D34*100</f>
        <v>0</v>
      </c>
      <c r="F34" s="20">
        <v>462987</v>
      </c>
      <c r="G34" s="70">
        <f>F34/'- 3 -'!$D34*100</f>
        <v>1.592100949324583</v>
      </c>
    </row>
    <row r="35" spans="1:7" ht="14.1" customHeight="1" x14ac:dyDescent="0.2">
      <c r="A35" s="284" t="s">
        <v>133</v>
      </c>
      <c r="B35" s="285">
        <v>56791</v>
      </c>
      <c r="C35" s="291">
        <f>B35/'- 3 -'!$D35*100</f>
        <v>3.082246472527635E-2</v>
      </c>
      <c r="D35" s="285">
        <v>0</v>
      </c>
      <c r="E35" s="291">
        <f>D35/'- 3 -'!$D35*100</f>
        <v>0</v>
      </c>
      <c r="F35" s="285">
        <v>3168776</v>
      </c>
      <c r="G35" s="291">
        <f>F35/'- 3 -'!$D35*100</f>
        <v>1.7198057171436016</v>
      </c>
    </row>
    <row r="36" spans="1:7" ht="14.1" customHeight="1" x14ac:dyDescent="0.2">
      <c r="A36" s="19" t="s">
        <v>134</v>
      </c>
      <c r="B36" s="20">
        <v>44782</v>
      </c>
      <c r="C36" s="70">
        <f>B36/'- 3 -'!$D36*100</f>
        <v>0.19103165626007265</v>
      </c>
      <c r="D36" s="20">
        <v>0</v>
      </c>
      <c r="E36" s="70">
        <f>D36/'- 3 -'!$D36*100</f>
        <v>0</v>
      </c>
      <c r="F36" s="20">
        <v>377535</v>
      </c>
      <c r="G36" s="70">
        <f>F36/'- 3 -'!$D36*100</f>
        <v>1.6104938668694235</v>
      </c>
    </row>
    <row r="37" spans="1:7" ht="14.1" customHeight="1" x14ac:dyDescent="0.2">
      <c r="A37" s="284" t="s">
        <v>135</v>
      </c>
      <c r="B37" s="285">
        <v>56236</v>
      </c>
      <c r="C37" s="291">
        <f>B37/'- 3 -'!$D37*100</f>
        <v>0.11205035451595645</v>
      </c>
      <c r="D37" s="285">
        <v>0</v>
      </c>
      <c r="E37" s="291">
        <f>D37/'- 3 -'!$D37*100</f>
        <v>0</v>
      </c>
      <c r="F37" s="285">
        <v>827797</v>
      </c>
      <c r="G37" s="291">
        <f>F37/'- 3 -'!$D37*100</f>
        <v>1.6493873553816989</v>
      </c>
    </row>
    <row r="38" spans="1:7" ht="14.1" customHeight="1" x14ac:dyDescent="0.2">
      <c r="A38" s="19" t="s">
        <v>136</v>
      </c>
      <c r="B38" s="20">
        <v>84746</v>
      </c>
      <c r="C38" s="70">
        <f>B38/'- 3 -'!$D38*100</f>
        <v>6.2457812270562643E-2</v>
      </c>
      <c r="D38" s="20">
        <v>2684</v>
      </c>
      <c r="E38" s="70">
        <f>D38/'- 3 -'!$D38*100</f>
        <v>1.9781083252801328E-3</v>
      </c>
      <c r="F38" s="20">
        <v>2247782</v>
      </c>
      <c r="G38" s="70">
        <f>F38/'- 3 -'!$D38*100</f>
        <v>1.6566156064138704</v>
      </c>
    </row>
    <row r="39" spans="1:7" ht="14.1" customHeight="1" x14ac:dyDescent="0.2">
      <c r="A39" s="284" t="s">
        <v>137</v>
      </c>
      <c r="B39" s="285">
        <v>46952</v>
      </c>
      <c r="C39" s="291">
        <f>B39/'- 3 -'!$D39*100</f>
        <v>0.2188293645032503</v>
      </c>
      <c r="D39" s="285">
        <v>0</v>
      </c>
      <c r="E39" s="291">
        <f>D39/'- 3 -'!$D39*100</f>
        <v>0</v>
      </c>
      <c r="F39" s="285">
        <v>340903</v>
      </c>
      <c r="G39" s="291">
        <f>F39/'- 3 -'!$D39*100</f>
        <v>1.5888479052490103</v>
      </c>
    </row>
    <row r="40" spans="1:7" ht="14.1" customHeight="1" x14ac:dyDescent="0.2">
      <c r="A40" s="19" t="s">
        <v>138</v>
      </c>
      <c r="B40" s="20">
        <v>52100</v>
      </c>
      <c r="C40" s="70">
        <f>B40/'- 3 -'!$D40*100</f>
        <v>4.9931038144390122E-2</v>
      </c>
      <c r="D40" s="20">
        <v>0</v>
      </c>
      <c r="E40" s="70">
        <f>D40/'- 3 -'!$D40*100</f>
        <v>0</v>
      </c>
      <c r="F40" s="20">
        <v>1768178</v>
      </c>
      <c r="G40" s="70">
        <f>F40/'- 3 -'!$D40*100</f>
        <v>1.6945674311721961</v>
      </c>
    </row>
    <row r="41" spans="1:7" ht="14.1" customHeight="1" x14ac:dyDescent="0.2">
      <c r="A41" s="284" t="s">
        <v>139</v>
      </c>
      <c r="B41" s="285">
        <v>145228</v>
      </c>
      <c r="C41" s="291">
        <f>B41/'- 3 -'!$D41*100</f>
        <v>0.23184403748725302</v>
      </c>
      <c r="D41" s="285">
        <v>0</v>
      </c>
      <c r="E41" s="291">
        <f>D41/'- 3 -'!$D41*100</f>
        <v>0</v>
      </c>
      <c r="F41" s="285">
        <v>1025120</v>
      </c>
      <c r="G41" s="291">
        <f>F41/'- 3 -'!$D41*100</f>
        <v>1.6365160968197099</v>
      </c>
    </row>
    <row r="42" spans="1:7" ht="14.1" customHeight="1" x14ac:dyDescent="0.2">
      <c r="A42" s="19" t="s">
        <v>140</v>
      </c>
      <c r="B42" s="20">
        <v>2576</v>
      </c>
      <c r="C42" s="70">
        <f>B42/'- 3 -'!$D42*100</f>
        <v>1.2713967033117812E-2</v>
      </c>
      <c r="D42" s="20">
        <v>0</v>
      </c>
      <c r="E42" s="70">
        <f>D42/'- 3 -'!$D42*100</f>
        <v>0</v>
      </c>
      <c r="F42" s="20">
        <v>322159</v>
      </c>
      <c r="G42" s="70">
        <f>F42/'- 3 -'!$D42*100</f>
        <v>1.5900306309868792</v>
      </c>
    </row>
    <row r="43" spans="1:7" ht="14.1" customHeight="1" x14ac:dyDescent="0.2">
      <c r="A43" s="284" t="s">
        <v>141</v>
      </c>
      <c r="B43" s="285">
        <v>54776</v>
      </c>
      <c r="C43" s="291">
        <f>B43/'- 3 -'!$D43*100</f>
        <v>0.41347698241515063</v>
      </c>
      <c r="D43" s="285">
        <v>0</v>
      </c>
      <c r="E43" s="291">
        <f>D43/'- 3 -'!$D43*100</f>
        <v>0</v>
      </c>
      <c r="F43" s="285">
        <v>219625</v>
      </c>
      <c r="G43" s="291">
        <f>F43/'- 3 -'!$D43*100</f>
        <v>1.6578407014555179</v>
      </c>
    </row>
    <row r="44" spans="1:7" ht="14.1" customHeight="1" x14ac:dyDescent="0.2">
      <c r="A44" s="19" t="s">
        <v>142</v>
      </c>
      <c r="B44" s="20">
        <v>1656</v>
      </c>
      <c r="C44" s="70">
        <f>B44/'- 3 -'!$D44*100</f>
        <v>1.5321369897005423E-2</v>
      </c>
      <c r="D44" s="20">
        <v>0</v>
      </c>
      <c r="E44" s="70">
        <f>D44/'- 3 -'!$D44*100</f>
        <v>0</v>
      </c>
      <c r="F44" s="20">
        <v>166785</v>
      </c>
      <c r="G44" s="70">
        <f>F44/'- 3 -'!$D44*100</f>
        <v>1.5431006511304646</v>
      </c>
    </row>
    <row r="45" spans="1:7" ht="14.1" customHeight="1" x14ac:dyDescent="0.2">
      <c r="A45" s="284" t="s">
        <v>143</v>
      </c>
      <c r="B45" s="285">
        <v>20124</v>
      </c>
      <c r="C45" s="291">
        <f>B45/'- 3 -'!$D45*100</f>
        <v>0.10447836512852335</v>
      </c>
      <c r="D45" s="285">
        <v>0</v>
      </c>
      <c r="E45" s="291">
        <f>D45/'- 3 -'!$D45*100</f>
        <v>0</v>
      </c>
      <c r="F45" s="285">
        <v>330824</v>
      </c>
      <c r="G45" s="291">
        <f>F45/'- 3 -'!$D45*100</f>
        <v>1.7175487311309185</v>
      </c>
    </row>
    <row r="46" spans="1:7" ht="14.1" customHeight="1" x14ac:dyDescent="0.2">
      <c r="A46" s="19" t="s">
        <v>144</v>
      </c>
      <c r="B46" s="20">
        <v>180571</v>
      </c>
      <c r="C46" s="70">
        <f>B46/'- 3 -'!$D46*100</f>
        <v>4.6150402267394509E-2</v>
      </c>
      <c r="D46" s="20">
        <v>11239</v>
      </c>
      <c r="E46" s="70">
        <f>D46/'- 3 -'!$D46*100</f>
        <v>2.8724677333749433E-3</v>
      </c>
      <c r="F46" s="20">
        <v>6775693</v>
      </c>
      <c r="G46" s="70">
        <f>F46/'- 3 -'!$D46*100</f>
        <v>1.7317340967839192</v>
      </c>
    </row>
    <row r="47" spans="1:7" ht="5.0999999999999996" customHeight="1" x14ac:dyDescent="0.2">
      <c r="A47"/>
      <c r="B47" s="22"/>
      <c r="C47"/>
      <c r="D47" s="22"/>
      <c r="E47"/>
      <c r="F47" s="22"/>
      <c r="G47"/>
    </row>
    <row r="48" spans="1:7" ht="14.1" customHeight="1" x14ac:dyDescent="0.2">
      <c r="A48" s="286" t="s">
        <v>145</v>
      </c>
      <c r="B48" s="287">
        <f>SUM(B11:B46)</f>
        <v>1825835</v>
      </c>
      <c r="C48" s="294">
        <f>B48/'- 3 -'!$D48*100</f>
        <v>7.9626049796939144E-2</v>
      </c>
      <c r="D48" s="287">
        <f>SUM(D11:D46)</f>
        <v>34684</v>
      </c>
      <c r="E48" s="294">
        <f>D48/'- 3 -'!$F48*100</f>
        <v>1.5368626367976901E-3</v>
      </c>
      <c r="F48" s="287">
        <f>SUM(F11:F46)</f>
        <v>37158068</v>
      </c>
      <c r="G48" s="294">
        <f>F48/'- 3 -'!$D48*100</f>
        <v>1.6204915410899949</v>
      </c>
    </row>
    <row r="49" spans="1:7" ht="5.0999999999999996" customHeight="1" x14ac:dyDescent="0.2">
      <c r="A49" s="21" t="s">
        <v>7</v>
      </c>
      <c r="B49" s="22"/>
      <c r="C49"/>
      <c r="D49" s="22"/>
      <c r="E49"/>
      <c r="F49" s="22"/>
      <c r="G49"/>
    </row>
    <row r="50" spans="1:7" ht="14.1" customHeight="1" x14ac:dyDescent="0.2">
      <c r="A50" s="19" t="s">
        <v>146</v>
      </c>
      <c r="B50" s="20">
        <v>655</v>
      </c>
      <c r="C50" s="70">
        <f>B50/'- 3 -'!$D50*100</f>
        <v>2.0426734759940647E-2</v>
      </c>
      <c r="D50" s="20">
        <v>0</v>
      </c>
      <c r="E50" s="70">
        <f>D50/'- 3 -'!$D50*100</f>
        <v>0</v>
      </c>
      <c r="F50" s="20">
        <v>43209</v>
      </c>
      <c r="G50" s="70">
        <f>F50/'- 3 -'!$D50*100</f>
        <v>1.3475095912095809</v>
      </c>
    </row>
    <row r="51" spans="1:7" ht="14.1" customHeight="1" x14ac:dyDescent="0.2">
      <c r="A51" s="284" t="s">
        <v>609</v>
      </c>
      <c r="B51" s="285">
        <v>154858</v>
      </c>
      <c r="C51" s="291">
        <f>B51/'- 3 -'!$D51*100</f>
        <v>0.53367931841178484</v>
      </c>
      <c r="D51" s="285">
        <v>4577</v>
      </c>
      <c r="E51" s="291">
        <f>D51/'- 3 -'!$D51*100</f>
        <v>1.5773484355801698E-2</v>
      </c>
      <c r="F51" s="285">
        <v>374840</v>
      </c>
      <c r="G51" s="291">
        <f>F51/'- 3 -'!$D51*100</f>
        <v>1.2917921948719049</v>
      </c>
    </row>
    <row r="52" spans="1:7" ht="50.1" customHeight="1" x14ac:dyDescent="0.2"/>
  </sheetData>
  <mergeCells count="3">
    <mergeCell ref="B7:C8"/>
    <mergeCell ref="D7:E8"/>
    <mergeCell ref="F7:G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68"/>
  <sheetViews>
    <sheetView showGridLines="0" showZeros="0" workbookViewId="0"/>
  </sheetViews>
  <sheetFormatPr defaultColWidth="15.83203125" defaultRowHeight="12" x14ac:dyDescent="0.2"/>
  <cols>
    <col min="1" max="1" width="40.83203125" style="2" customWidth="1"/>
    <col min="2" max="2" width="27.83203125" style="2" customWidth="1"/>
    <col min="3" max="3" width="18.83203125" style="2" customWidth="1"/>
    <col min="4" max="4" width="27.83203125" style="2" customWidth="1"/>
    <col min="5" max="5" width="18.83203125" style="2" customWidth="1"/>
    <col min="6" max="16384" width="15.83203125" style="2"/>
  </cols>
  <sheetData>
    <row r="1" spans="1:7" ht="6.95" customHeight="1" x14ac:dyDescent="0.2">
      <c r="A1" s="7"/>
      <c r="B1" s="8"/>
      <c r="C1" s="8"/>
      <c r="D1" s="8"/>
      <c r="E1" s="8"/>
    </row>
    <row r="2" spans="1:7" ht="15.95" customHeight="1" x14ac:dyDescent="0.2">
      <c r="A2" s="27"/>
      <c r="B2" s="604" t="s">
        <v>264</v>
      </c>
      <c r="C2" s="605"/>
      <c r="D2" s="605"/>
      <c r="E2" s="28"/>
    </row>
    <row r="3" spans="1:7" ht="15.95" customHeight="1" x14ac:dyDescent="0.2">
      <c r="A3" s="542"/>
      <c r="B3" s="606"/>
      <c r="C3" s="606"/>
      <c r="D3" s="606"/>
      <c r="E3" s="30"/>
    </row>
    <row r="4" spans="1:7" ht="15.95" customHeight="1" x14ac:dyDescent="0.2">
      <c r="B4" s="8"/>
      <c r="C4" s="31"/>
      <c r="D4" s="32"/>
      <c r="E4" s="31"/>
    </row>
    <row r="5" spans="1:7" ht="15.95" customHeight="1" x14ac:dyDescent="0.2">
      <c r="B5" s="8"/>
      <c r="C5" s="8"/>
      <c r="D5" s="8"/>
      <c r="E5" s="8"/>
    </row>
    <row r="6" spans="1:7" ht="15.95" customHeight="1" x14ac:dyDescent="0.2">
      <c r="B6" s="8"/>
      <c r="C6" s="8"/>
      <c r="D6" s="8"/>
      <c r="E6" s="8"/>
    </row>
    <row r="7" spans="1:7" ht="15.95" customHeight="1" x14ac:dyDescent="0.2">
      <c r="B7" s="281" t="s">
        <v>618</v>
      </c>
      <c r="C7" s="282"/>
      <c r="D7" s="281" t="s">
        <v>649</v>
      </c>
      <c r="E7" s="283"/>
    </row>
    <row r="8" spans="1:7" ht="15.95" customHeight="1" x14ac:dyDescent="0.2">
      <c r="A8" s="33"/>
      <c r="B8" s="34"/>
      <c r="C8" s="277"/>
      <c r="D8" s="34"/>
      <c r="E8" s="277"/>
    </row>
    <row r="9" spans="1:7" ht="15.95" customHeight="1" x14ac:dyDescent="0.2">
      <c r="A9" s="35" t="s">
        <v>42</v>
      </c>
      <c r="B9" s="402" t="s">
        <v>252</v>
      </c>
      <c r="C9" s="278" t="s">
        <v>45</v>
      </c>
      <c r="D9" s="402" t="s">
        <v>252</v>
      </c>
      <c r="E9" s="278" t="s">
        <v>45</v>
      </c>
    </row>
    <row r="10" spans="1:7" ht="5.0999999999999996" customHeight="1" x14ac:dyDescent="0.2">
      <c r="A10" s="6"/>
    </row>
    <row r="11" spans="1:7" ht="14.1" customHeight="1" x14ac:dyDescent="0.2">
      <c r="A11" s="284" t="s">
        <v>110</v>
      </c>
      <c r="B11" s="285">
        <v>17916777</v>
      </c>
      <c r="C11" s="285">
        <v>10690</v>
      </c>
      <c r="D11" s="285">
        <f>'- 3 -'!F11</f>
        <v>19095701</v>
      </c>
      <c r="E11" s="285">
        <f>ROUND(D11/'- 7 -'!E11,0)</f>
        <v>10813</v>
      </c>
      <c r="F11" s="131"/>
      <c r="G11" s="131"/>
    </row>
    <row r="12" spans="1:7" ht="14.1" customHeight="1" x14ac:dyDescent="0.2">
      <c r="A12" s="19" t="s">
        <v>111</v>
      </c>
      <c r="B12" s="37">
        <v>31679675</v>
      </c>
      <c r="C12" s="37">
        <v>14909</v>
      </c>
      <c r="D12" s="20">
        <f>'- 3 -'!F12</f>
        <v>32799377</v>
      </c>
      <c r="E12" s="20">
        <f>ROUND(D12/'- 7 -'!E12,0)</f>
        <v>15475</v>
      </c>
      <c r="F12" s="131"/>
      <c r="G12" s="131"/>
    </row>
    <row r="13" spans="1:7" ht="14.1" customHeight="1" x14ac:dyDescent="0.2">
      <c r="A13" s="284" t="s">
        <v>112</v>
      </c>
      <c r="B13" s="285">
        <v>90509013</v>
      </c>
      <c r="C13" s="285">
        <v>10971</v>
      </c>
      <c r="D13" s="285">
        <f>'- 3 -'!F13</f>
        <v>95621064</v>
      </c>
      <c r="E13" s="285">
        <f>ROUND(D13/'- 7 -'!E13,0)</f>
        <v>11419</v>
      </c>
      <c r="F13" s="131"/>
      <c r="G13" s="131"/>
    </row>
    <row r="14" spans="1:7" ht="14.1" customHeight="1" x14ac:dyDescent="0.2">
      <c r="A14" s="19" t="s">
        <v>359</v>
      </c>
      <c r="B14" s="20">
        <v>79682451</v>
      </c>
      <c r="C14" s="20">
        <v>14913</v>
      </c>
      <c r="D14" s="20">
        <f>'- 3 -'!F14</f>
        <v>81342274</v>
      </c>
      <c r="E14" s="20">
        <f>ROUND(D14/'- 7 -'!E14,0)</f>
        <v>14835</v>
      </c>
      <c r="F14" s="131"/>
      <c r="G14" s="131"/>
    </row>
    <row r="15" spans="1:7" ht="14.1" customHeight="1" x14ac:dyDescent="0.2">
      <c r="A15" s="284" t="s">
        <v>113</v>
      </c>
      <c r="B15" s="285">
        <v>19767140</v>
      </c>
      <c r="C15" s="285">
        <v>14019</v>
      </c>
      <c r="D15" s="285">
        <f>'- 3 -'!F15</f>
        <v>19460021</v>
      </c>
      <c r="E15" s="285">
        <f>ROUND(D15/'- 7 -'!E15,0)</f>
        <v>13908</v>
      </c>
      <c r="F15" s="131"/>
      <c r="G15" s="131"/>
    </row>
    <row r="16" spans="1:7" ht="14.1" customHeight="1" x14ac:dyDescent="0.2">
      <c r="A16" s="19" t="s">
        <v>114</v>
      </c>
      <c r="B16" s="37">
        <v>13913314</v>
      </c>
      <c r="C16" s="37">
        <v>14920</v>
      </c>
      <c r="D16" s="20">
        <f>'- 3 -'!F16</f>
        <v>14393625</v>
      </c>
      <c r="E16" s="20">
        <f>ROUND(D16/'- 7 -'!E16,0)</f>
        <v>15926</v>
      </c>
      <c r="F16" s="131"/>
      <c r="G16" s="131"/>
    </row>
    <row r="17" spans="1:7" ht="14.1" customHeight="1" x14ac:dyDescent="0.2">
      <c r="A17" s="284" t="s">
        <v>115</v>
      </c>
      <c r="B17" s="285">
        <v>17036620</v>
      </c>
      <c r="C17" s="285">
        <v>12695</v>
      </c>
      <c r="D17" s="285">
        <f>'- 3 -'!F17</f>
        <v>17558599</v>
      </c>
      <c r="E17" s="285">
        <f>ROUND(D17/'- 7 -'!E17,0)</f>
        <v>12564</v>
      </c>
      <c r="F17" s="131"/>
      <c r="G17" s="131"/>
    </row>
    <row r="18" spans="1:7" ht="14.1" customHeight="1" x14ac:dyDescent="0.2">
      <c r="A18" s="19" t="s">
        <v>116</v>
      </c>
      <c r="B18" s="20">
        <v>122150134</v>
      </c>
      <c r="C18" s="20">
        <v>19756</v>
      </c>
      <c r="D18" s="20">
        <f>'- 3 -'!F18</f>
        <v>123756568</v>
      </c>
      <c r="E18" s="20">
        <f>ROUND(D18/'- 7 -'!E18,0)</f>
        <v>20305</v>
      </c>
      <c r="F18" s="131"/>
      <c r="G18" s="131"/>
    </row>
    <row r="19" spans="1:7" ht="14.1" customHeight="1" x14ac:dyDescent="0.2">
      <c r="A19" s="284" t="s">
        <v>117</v>
      </c>
      <c r="B19" s="285">
        <v>44668035</v>
      </c>
      <c r="C19" s="285">
        <v>10548</v>
      </c>
      <c r="D19" s="285">
        <f>'- 3 -'!F19</f>
        <v>46086687.509999998</v>
      </c>
      <c r="E19" s="285">
        <f>ROUND(D19/'- 7 -'!E19,0)</f>
        <v>10520</v>
      </c>
      <c r="F19" s="131"/>
      <c r="G19" s="131"/>
    </row>
    <row r="20" spans="1:7" ht="14.1" customHeight="1" x14ac:dyDescent="0.2">
      <c r="A20" s="19" t="s">
        <v>118</v>
      </c>
      <c r="B20" s="37">
        <v>78137363</v>
      </c>
      <c r="C20" s="37">
        <v>10328</v>
      </c>
      <c r="D20" s="20">
        <f>'- 3 -'!F20</f>
        <v>82080624</v>
      </c>
      <c r="E20" s="20">
        <f>ROUND(D20/'- 7 -'!E20,0)</f>
        <v>10750</v>
      </c>
      <c r="F20" s="131"/>
      <c r="G20" s="131"/>
    </row>
    <row r="21" spans="1:7" ht="14.1" customHeight="1" x14ac:dyDescent="0.2">
      <c r="A21" s="284" t="s">
        <v>119</v>
      </c>
      <c r="B21" s="285">
        <v>34875133</v>
      </c>
      <c r="C21" s="285">
        <v>12984</v>
      </c>
      <c r="D21" s="285">
        <f>'- 3 -'!F21</f>
        <v>35741629</v>
      </c>
      <c r="E21" s="285">
        <f>ROUND(D21/'- 7 -'!E21,0)</f>
        <v>13034</v>
      </c>
      <c r="F21" s="131"/>
      <c r="G21" s="131"/>
    </row>
    <row r="22" spans="1:7" ht="14.1" customHeight="1" x14ac:dyDescent="0.2">
      <c r="A22" s="19" t="s">
        <v>120</v>
      </c>
      <c r="B22" s="20">
        <v>19333988</v>
      </c>
      <c r="C22" s="20">
        <v>12621</v>
      </c>
      <c r="D22" s="20">
        <f>'- 3 -'!F22</f>
        <v>19391493</v>
      </c>
      <c r="E22" s="20">
        <f>ROUND(D22/'- 7 -'!E22,0)</f>
        <v>12727</v>
      </c>
      <c r="F22" s="131"/>
      <c r="G22" s="131"/>
    </row>
    <row r="23" spans="1:7" ht="14.1" customHeight="1" x14ac:dyDescent="0.2">
      <c r="A23" s="284" t="s">
        <v>121</v>
      </c>
      <c r="B23" s="285">
        <v>15574257</v>
      </c>
      <c r="C23" s="285">
        <v>14025</v>
      </c>
      <c r="D23" s="285">
        <f>'- 3 -'!F23</f>
        <v>16636424</v>
      </c>
      <c r="E23" s="285">
        <f>ROUND(D23/'- 7 -'!E23,0)</f>
        <v>14927</v>
      </c>
      <c r="F23" s="131"/>
      <c r="G23" s="131"/>
    </row>
    <row r="24" spans="1:7" ht="14.1" customHeight="1" x14ac:dyDescent="0.2">
      <c r="A24" s="19" t="s">
        <v>122</v>
      </c>
      <c r="B24" s="37">
        <v>54806601</v>
      </c>
      <c r="C24" s="37">
        <v>13731</v>
      </c>
      <c r="D24" s="20">
        <f>'- 3 -'!F24</f>
        <v>56455744</v>
      </c>
      <c r="E24" s="20">
        <f>ROUND(D24/'- 7 -'!E24,0)</f>
        <v>14299</v>
      </c>
      <c r="F24" s="131"/>
      <c r="G24" s="131"/>
    </row>
    <row r="25" spans="1:7" ht="14.1" customHeight="1" x14ac:dyDescent="0.2">
      <c r="A25" s="284" t="s">
        <v>123</v>
      </c>
      <c r="B25" s="285">
        <v>165447580</v>
      </c>
      <c r="C25" s="285">
        <v>11687</v>
      </c>
      <c r="D25" s="285">
        <f>'- 3 -'!F25</f>
        <v>174584672</v>
      </c>
      <c r="E25" s="285">
        <f>ROUND(D25/'- 7 -'!E25,0)</f>
        <v>12178</v>
      </c>
      <c r="F25" s="131"/>
      <c r="G25" s="131"/>
    </row>
    <row r="26" spans="1:7" ht="14.1" customHeight="1" x14ac:dyDescent="0.2">
      <c r="A26" s="19" t="s">
        <v>124</v>
      </c>
      <c r="B26" s="20">
        <v>39530237</v>
      </c>
      <c r="C26" s="20">
        <v>12851</v>
      </c>
      <c r="D26" s="20">
        <f>'- 3 -'!F26</f>
        <v>40882991</v>
      </c>
      <c r="E26" s="20">
        <f>ROUND(D26/'- 7 -'!E26,0)</f>
        <v>13378</v>
      </c>
      <c r="F26" s="131"/>
      <c r="G26" s="131"/>
    </row>
    <row r="27" spans="1:7" ht="14.1" customHeight="1" x14ac:dyDescent="0.2">
      <c r="A27" s="284" t="s">
        <v>125</v>
      </c>
      <c r="B27" s="285">
        <v>42014667</v>
      </c>
      <c r="C27" s="285">
        <v>14462</v>
      </c>
      <c r="D27" s="285">
        <f>'- 3 -'!F27</f>
        <v>41442197</v>
      </c>
      <c r="E27" s="285">
        <f>ROUND(D27/'- 7 -'!E27,0)</f>
        <v>13871</v>
      </c>
      <c r="F27" s="131"/>
      <c r="G27" s="131"/>
    </row>
    <row r="28" spans="1:7" ht="14.1" customHeight="1" x14ac:dyDescent="0.2">
      <c r="A28" s="19" t="s">
        <v>126</v>
      </c>
      <c r="B28" s="37">
        <v>27607203</v>
      </c>
      <c r="C28" s="37">
        <v>13876</v>
      </c>
      <c r="D28" s="20">
        <f>'- 3 -'!F28</f>
        <v>28007899</v>
      </c>
      <c r="E28" s="20">
        <f>ROUND(D28/'- 7 -'!E28,0)</f>
        <v>14268</v>
      </c>
      <c r="F28" s="131"/>
      <c r="G28" s="131"/>
    </row>
    <row r="29" spans="1:7" ht="14.1" customHeight="1" x14ac:dyDescent="0.2">
      <c r="A29" s="284" t="s">
        <v>127</v>
      </c>
      <c r="B29" s="285">
        <v>149471768</v>
      </c>
      <c r="C29" s="285">
        <v>11776</v>
      </c>
      <c r="D29" s="285">
        <f>'- 3 -'!F29</f>
        <v>158369258</v>
      </c>
      <c r="E29" s="285">
        <f>ROUND(D29/'- 7 -'!E29,0)</f>
        <v>12106</v>
      </c>
      <c r="F29" s="131"/>
      <c r="G29" s="131"/>
    </row>
    <row r="30" spans="1:7" ht="14.1" customHeight="1" x14ac:dyDescent="0.2">
      <c r="A30" s="19" t="s">
        <v>128</v>
      </c>
      <c r="B30" s="20">
        <v>13875881</v>
      </c>
      <c r="C30" s="20">
        <v>13821</v>
      </c>
      <c r="D30" s="20">
        <f>'- 3 -'!F30</f>
        <v>14090608</v>
      </c>
      <c r="E30" s="20">
        <f>ROUND(D30/'- 7 -'!E30,0)</f>
        <v>14103</v>
      </c>
      <c r="F30" s="131"/>
      <c r="G30" s="131"/>
    </row>
    <row r="31" spans="1:7" ht="14.1" customHeight="1" x14ac:dyDescent="0.2">
      <c r="A31" s="284" t="s">
        <v>129</v>
      </c>
      <c r="B31" s="285">
        <v>35739250</v>
      </c>
      <c r="C31" s="285">
        <v>10934</v>
      </c>
      <c r="D31" s="285">
        <f>'- 3 -'!F31</f>
        <v>37463904</v>
      </c>
      <c r="E31" s="285">
        <f>ROUND(D31/'- 7 -'!E31,0)</f>
        <v>11517</v>
      </c>
      <c r="F31" s="131"/>
      <c r="G31" s="131"/>
    </row>
    <row r="32" spans="1:7" ht="14.1" customHeight="1" x14ac:dyDescent="0.2">
      <c r="A32" s="19" t="s">
        <v>130</v>
      </c>
      <c r="B32" s="37">
        <v>27620579</v>
      </c>
      <c r="C32" s="37">
        <v>13077</v>
      </c>
      <c r="D32" s="20">
        <f>'- 3 -'!F32</f>
        <v>28989102</v>
      </c>
      <c r="E32" s="20">
        <f>ROUND(D32/'- 7 -'!E32,0)</f>
        <v>13463</v>
      </c>
      <c r="F32" s="131"/>
      <c r="G32" s="131"/>
    </row>
    <row r="33" spans="1:7" ht="14.1" customHeight="1" x14ac:dyDescent="0.2">
      <c r="A33" s="284" t="s">
        <v>131</v>
      </c>
      <c r="B33" s="285">
        <v>26427873</v>
      </c>
      <c r="C33" s="285">
        <v>12992</v>
      </c>
      <c r="D33" s="285">
        <f>'- 3 -'!F33</f>
        <v>27775125</v>
      </c>
      <c r="E33" s="285">
        <f>ROUND(D33/'- 7 -'!E33,0)</f>
        <v>13753</v>
      </c>
      <c r="F33" s="131"/>
      <c r="G33" s="131"/>
    </row>
    <row r="34" spans="1:7" ht="14.1" customHeight="1" x14ac:dyDescent="0.2">
      <c r="A34" s="19" t="s">
        <v>132</v>
      </c>
      <c r="B34" s="20">
        <v>27840741</v>
      </c>
      <c r="C34" s="20">
        <v>14050</v>
      </c>
      <c r="D34" s="20">
        <f>'- 3 -'!F34</f>
        <v>29022258</v>
      </c>
      <c r="E34" s="20">
        <f>ROUND(D34/'- 7 -'!E34,0)</f>
        <v>14262</v>
      </c>
      <c r="F34" s="131"/>
      <c r="G34" s="131"/>
    </row>
    <row r="35" spans="1:7" ht="14.1" customHeight="1" x14ac:dyDescent="0.2">
      <c r="A35" s="284" t="s">
        <v>133</v>
      </c>
      <c r="B35" s="285">
        <v>178063967</v>
      </c>
      <c r="C35" s="285">
        <v>11541</v>
      </c>
      <c r="D35" s="285">
        <f>'- 3 -'!F35</f>
        <v>181302304</v>
      </c>
      <c r="E35" s="285">
        <f>ROUND(D35/'- 7 -'!E35,0)</f>
        <v>11616</v>
      </c>
      <c r="F35" s="131"/>
      <c r="G35" s="131"/>
    </row>
    <row r="36" spans="1:7" ht="14.1" customHeight="1" x14ac:dyDescent="0.2">
      <c r="A36" s="19" t="s">
        <v>134</v>
      </c>
      <c r="B36" s="37">
        <v>22264770</v>
      </c>
      <c r="C36" s="37">
        <v>13605</v>
      </c>
      <c r="D36" s="20">
        <f>'- 3 -'!F36</f>
        <v>23261672</v>
      </c>
      <c r="E36" s="20">
        <f>ROUND(D36/'- 7 -'!E36,0)</f>
        <v>13950</v>
      </c>
      <c r="F36" s="131"/>
      <c r="G36" s="131"/>
    </row>
    <row r="37" spans="1:7" ht="14.1" customHeight="1" x14ac:dyDescent="0.2">
      <c r="A37" s="284" t="s">
        <v>135</v>
      </c>
      <c r="B37" s="285">
        <v>47094516</v>
      </c>
      <c r="C37" s="285">
        <v>11477</v>
      </c>
      <c r="D37" s="285">
        <f>'- 3 -'!F37</f>
        <v>49429915</v>
      </c>
      <c r="E37" s="285">
        <f>ROUND(D37/'- 7 -'!E37,0)</f>
        <v>11817</v>
      </c>
      <c r="F37" s="131"/>
      <c r="G37" s="131"/>
    </row>
    <row r="38" spans="1:7" ht="14.1" customHeight="1" x14ac:dyDescent="0.2">
      <c r="A38" s="19" t="s">
        <v>136</v>
      </c>
      <c r="B38" s="20">
        <v>124210583</v>
      </c>
      <c r="C38" s="20">
        <v>11502</v>
      </c>
      <c r="D38" s="20">
        <f>'- 3 -'!F38</f>
        <v>132740818</v>
      </c>
      <c r="E38" s="20">
        <f>ROUND(D38/'- 7 -'!E38,0)</f>
        <v>12074</v>
      </c>
      <c r="F38" s="131"/>
      <c r="G38" s="131"/>
    </row>
    <row r="39" spans="1:7" ht="14.1" customHeight="1" x14ac:dyDescent="0.2">
      <c r="A39" s="284" t="s">
        <v>137</v>
      </c>
      <c r="B39" s="285">
        <v>20520537</v>
      </c>
      <c r="C39" s="285">
        <v>12948</v>
      </c>
      <c r="D39" s="285">
        <f>'- 3 -'!F39</f>
        <v>21297681</v>
      </c>
      <c r="E39" s="285">
        <f>ROUND(D39/'- 7 -'!E39,0)</f>
        <v>14198</v>
      </c>
      <c r="F39" s="131"/>
      <c r="G39" s="131"/>
    </row>
    <row r="40" spans="1:7" ht="14.1" customHeight="1" x14ac:dyDescent="0.2">
      <c r="A40" s="19" t="s">
        <v>138</v>
      </c>
      <c r="B40" s="37">
        <v>100822803</v>
      </c>
      <c r="C40" s="37">
        <v>12668</v>
      </c>
      <c r="D40" s="20">
        <f>'- 3 -'!F40</f>
        <v>103349549</v>
      </c>
      <c r="E40" s="20">
        <f>ROUND(D40/'- 7 -'!E40,0)</f>
        <v>12511</v>
      </c>
      <c r="F40" s="131"/>
      <c r="G40" s="131"/>
    </row>
    <row r="41" spans="1:7" ht="14.1" customHeight="1" x14ac:dyDescent="0.2">
      <c r="A41" s="284" t="s">
        <v>139</v>
      </c>
      <c r="B41" s="285">
        <v>60536298</v>
      </c>
      <c r="C41" s="285">
        <v>13802</v>
      </c>
      <c r="D41" s="285">
        <f>'- 3 -'!F41</f>
        <v>61370112</v>
      </c>
      <c r="E41" s="285">
        <f>ROUND(D41/'- 7 -'!E41,0)</f>
        <v>13765</v>
      </c>
      <c r="F41" s="131"/>
      <c r="G41" s="131"/>
    </row>
    <row r="42" spans="1:7" ht="14.1" customHeight="1" x14ac:dyDescent="0.2">
      <c r="A42" s="19" t="s">
        <v>140</v>
      </c>
      <c r="B42" s="20">
        <v>19783217</v>
      </c>
      <c r="C42" s="20">
        <v>14292</v>
      </c>
      <c r="D42" s="20">
        <f>'- 3 -'!F42</f>
        <v>20070287</v>
      </c>
      <c r="E42" s="20">
        <f>ROUND(D42/'- 7 -'!E42,0)</f>
        <v>14558</v>
      </c>
      <c r="F42" s="131"/>
      <c r="G42" s="131"/>
    </row>
    <row r="43" spans="1:7" ht="14.1" customHeight="1" x14ac:dyDescent="0.2">
      <c r="A43" s="284" t="s">
        <v>141</v>
      </c>
      <c r="B43" s="285">
        <v>12473196</v>
      </c>
      <c r="C43" s="285">
        <v>13175</v>
      </c>
      <c r="D43" s="285">
        <f>'- 3 -'!F43</f>
        <v>13016350</v>
      </c>
      <c r="E43" s="285">
        <f>ROUND(D43/'- 7 -'!E43,0)</f>
        <v>13521</v>
      </c>
      <c r="F43" s="131"/>
      <c r="G43" s="131"/>
    </row>
    <row r="44" spans="1:7" ht="14.1" customHeight="1" x14ac:dyDescent="0.2">
      <c r="A44" s="19" t="s">
        <v>142</v>
      </c>
      <c r="B44" s="37">
        <v>10853848</v>
      </c>
      <c r="C44" s="37">
        <v>15938</v>
      </c>
      <c r="D44" s="20">
        <f>'- 3 -'!F44</f>
        <v>10774720</v>
      </c>
      <c r="E44" s="20">
        <f>ROUND(D44/'- 7 -'!E44,0)</f>
        <v>15537</v>
      </c>
      <c r="F44" s="131"/>
      <c r="G44" s="131"/>
    </row>
    <row r="45" spans="1:7" ht="14.1" customHeight="1" x14ac:dyDescent="0.2">
      <c r="A45" s="284" t="s">
        <v>143</v>
      </c>
      <c r="B45" s="285">
        <v>17882572</v>
      </c>
      <c r="C45" s="285">
        <v>10773</v>
      </c>
      <c r="D45" s="285">
        <f>'- 3 -'!F45</f>
        <v>18816782</v>
      </c>
      <c r="E45" s="285">
        <f>ROUND(D45/'- 7 -'!E45,0)</f>
        <v>11167</v>
      </c>
      <c r="F45" s="131"/>
      <c r="G45" s="131"/>
    </row>
    <row r="46" spans="1:7" ht="14.1" customHeight="1" x14ac:dyDescent="0.2">
      <c r="A46" s="19" t="s">
        <v>144</v>
      </c>
      <c r="B46" s="20">
        <v>371322293</v>
      </c>
      <c r="C46" s="20">
        <v>12446</v>
      </c>
      <c r="D46" s="20">
        <f>'- 3 -'!F46</f>
        <v>380327432</v>
      </c>
      <c r="E46" s="20">
        <f>ROUND(D46/'- 7 -'!E46,0)</f>
        <v>12729</v>
      </c>
      <c r="F46" s="131"/>
      <c r="G46" s="131"/>
    </row>
    <row r="47" spans="1:7" ht="5.0999999999999996" customHeight="1" x14ac:dyDescent="0.2">
      <c r="A47"/>
      <c r="B47"/>
      <c r="C47"/>
      <c r="D47"/>
      <c r="E47"/>
      <c r="F47"/>
      <c r="G47" s="586"/>
    </row>
    <row r="48" spans="1:7" ht="14.1" customHeight="1" x14ac:dyDescent="0.2">
      <c r="A48" s="286" t="s">
        <v>145</v>
      </c>
      <c r="B48" s="287">
        <v>2181454880</v>
      </c>
      <c r="C48" s="287">
        <v>12537</v>
      </c>
      <c r="D48" s="287">
        <f>SUM(D11:D46)</f>
        <v>2256805466.5100002</v>
      </c>
      <c r="E48" s="287">
        <f>ROUND(D48/'- 7 -'!E48,0)</f>
        <v>12820</v>
      </c>
      <c r="F48" s="131"/>
      <c r="G48" s="131"/>
    </row>
    <row r="49" spans="1:7" ht="5.0999999999999996" customHeight="1" x14ac:dyDescent="0.2">
      <c r="A49" s="21" t="s">
        <v>7</v>
      </c>
      <c r="B49" s="22"/>
      <c r="C49" s="22"/>
      <c r="D49" s="22"/>
      <c r="E49" s="22"/>
    </row>
    <row r="50" spans="1:7" ht="14.1" customHeight="1" x14ac:dyDescent="0.2">
      <c r="A50" s="19" t="s">
        <v>146</v>
      </c>
      <c r="B50" s="37">
        <v>3284313</v>
      </c>
      <c r="C50" s="37">
        <v>19207</v>
      </c>
      <c r="D50" s="20">
        <f>'- 3 -'!F50</f>
        <v>3114441</v>
      </c>
      <c r="E50" s="20">
        <f>ROUND(D50/'- 7 -'!E50,0)</f>
        <v>20093</v>
      </c>
      <c r="F50" s="131"/>
      <c r="G50" s="131"/>
    </row>
    <row r="51" spans="1:7" ht="14.1" customHeight="1" x14ac:dyDescent="0.2">
      <c r="A51" s="284" t="s">
        <v>609</v>
      </c>
      <c r="B51" s="285">
        <v>14088449</v>
      </c>
      <c r="C51" s="285">
        <v>13867</v>
      </c>
      <c r="D51" s="285">
        <f>'- 3 -'!F51</f>
        <v>15875726</v>
      </c>
      <c r="E51" s="285">
        <f>ROUND(D51/'- 7 -'!E51,0)</f>
        <v>13426</v>
      </c>
      <c r="F51" s="131"/>
      <c r="G51" s="131"/>
    </row>
    <row r="52" spans="1:7" ht="50.1" customHeight="1" x14ac:dyDescent="0.2">
      <c r="A52" s="23"/>
      <c r="B52" s="23"/>
      <c r="C52" s="23"/>
      <c r="D52" s="23"/>
      <c r="E52" s="23"/>
    </row>
    <row r="53" spans="1:7" ht="15" customHeight="1" x14ac:dyDescent="0.2">
      <c r="A53" s="607" t="s">
        <v>452</v>
      </c>
      <c r="B53" s="607"/>
      <c r="C53" s="607"/>
      <c r="D53" s="607"/>
      <c r="E53" s="607"/>
    </row>
    <row r="54" spans="1:7" ht="12" customHeight="1" x14ac:dyDescent="0.2">
      <c r="A54" s="608"/>
      <c r="B54" s="608"/>
      <c r="C54" s="608"/>
      <c r="D54" s="608"/>
      <c r="E54" s="608"/>
    </row>
    <row r="55" spans="1:7" ht="12" customHeight="1" x14ac:dyDescent="0.2">
      <c r="A55" s="608"/>
      <c r="B55" s="608"/>
      <c r="C55" s="608"/>
      <c r="D55" s="608"/>
      <c r="E55" s="608"/>
    </row>
    <row r="56" spans="1:7" x14ac:dyDescent="0.2">
      <c r="A56" s="24"/>
    </row>
    <row r="60" spans="1:7" s="3" customFormat="1" ht="11.25" x14ac:dyDescent="0.2"/>
    <row r="61" spans="1:7" s="3" customFormat="1" ht="11.25" x14ac:dyDescent="0.2"/>
    <row r="62" spans="1:7" s="3" customFormat="1" ht="11.25" x14ac:dyDescent="0.2"/>
    <row r="63" spans="1:7" s="3" customFormat="1" ht="11.25" x14ac:dyDescent="0.2"/>
    <row r="64" spans="1:7" s="3" customFormat="1" ht="11.25" x14ac:dyDescent="0.2"/>
    <row r="65" s="3" customFormat="1" ht="11.25" x14ac:dyDescent="0.2"/>
    <row r="66" s="3" customFormat="1" ht="11.25" x14ac:dyDescent="0.2"/>
    <row r="67" s="3" customFormat="1" ht="11.25" x14ac:dyDescent="0.2"/>
    <row r="68" s="3" customFormat="1" ht="11.25" x14ac:dyDescent="0.2"/>
  </sheetData>
  <mergeCells count="2">
    <mergeCell ref="B2:D3"/>
    <mergeCell ref="A53:E55"/>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H52"/>
  <sheetViews>
    <sheetView showGridLines="0" showZeros="0" workbookViewId="0"/>
  </sheetViews>
  <sheetFormatPr defaultColWidth="15.83203125" defaultRowHeight="12" x14ac:dyDescent="0.2"/>
  <cols>
    <col min="1" max="1" width="32.83203125" style="2" customWidth="1"/>
    <col min="2" max="2" width="16.83203125" style="2" customWidth="1"/>
    <col min="3" max="3" width="17.83203125" style="2" customWidth="1"/>
    <col min="4" max="4" width="10.83203125" style="2" customWidth="1"/>
    <col min="5" max="5" width="15.83203125" style="2" customWidth="1"/>
    <col min="6" max="6" width="11.83203125" style="2" customWidth="1"/>
    <col min="7" max="7" width="14.83203125" style="2" customWidth="1"/>
    <col min="8" max="8" width="11.83203125" style="2" customWidth="1"/>
    <col min="9" max="16384" width="15.83203125" style="2"/>
  </cols>
  <sheetData>
    <row r="1" spans="1:8" ht="6.95" customHeight="1" x14ac:dyDescent="0.2">
      <c r="A1" s="7"/>
      <c r="B1" s="8"/>
      <c r="C1" s="8"/>
      <c r="D1" s="8"/>
      <c r="E1" s="8"/>
      <c r="F1" s="8"/>
      <c r="G1" s="8"/>
      <c r="H1" s="8"/>
    </row>
    <row r="2" spans="1:8" ht="15.95" customHeight="1" x14ac:dyDescent="0.2">
      <c r="A2" s="134"/>
      <c r="B2" s="9" t="s">
        <v>267</v>
      </c>
      <c r="C2" s="10"/>
      <c r="D2" s="10"/>
      <c r="E2" s="10"/>
      <c r="F2" s="73"/>
      <c r="G2" s="73"/>
      <c r="H2" s="73"/>
    </row>
    <row r="3" spans="1:8" ht="15.95" customHeight="1" x14ac:dyDescent="0.2">
      <c r="A3" s="541"/>
      <c r="B3" s="11" t="str">
        <f>OPYEAR</f>
        <v>OPERATING FUND 2016/2017 ACTUAL</v>
      </c>
      <c r="C3" s="12"/>
      <c r="D3" s="12"/>
      <c r="E3" s="12"/>
      <c r="F3" s="75"/>
      <c r="G3" s="75"/>
      <c r="H3" s="75"/>
    </row>
    <row r="4" spans="1:8" ht="15.95" customHeight="1" x14ac:dyDescent="0.2">
      <c r="B4" s="8"/>
      <c r="C4" s="8"/>
      <c r="D4" s="8"/>
      <c r="E4" s="8"/>
      <c r="F4" s="8"/>
      <c r="G4" s="8"/>
      <c r="H4" s="8"/>
    </row>
    <row r="5" spans="1:8" ht="15.95" customHeight="1" x14ac:dyDescent="0.2">
      <c r="B5" s="8"/>
      <c r="C5" s="8"/>
      <c r="D5" s="8"/>
      <c r="E5" s="8"/>
      <c r="F5" s="8"/>
      <c r="G5" s="8"/>
      <c r="H5" s="8"/>
    </row>
    <row r="6" spans="1:8" ht="15.95" customHeight="1" x14ac:dyDescent="0.2">
      <c r="B6" s="309" t="s">
        <v>18</v>
      </c>
      <c r="C6" s="312"/>
      <c r="D6" s="316"/>
      <c r="E6" s="316"/>
      <c r="F6" s="316"/>
      <c r="G6" s="316"/>
      <c r="H6" s="306"/>
    </row>
    <row r="7" spans="1:8" ht="15.95" customHeight="1" x14ac:dyDescent="0.2">
      <c r="B7" s="297" t="s">
        <v>32</v>
      </c>
      <c r="C7" s="298"/>
      <c r="D7" s="308"/>
      <c r="E7" s="308"/>
      <c r="F7" s="308"/>
      <c r="G7" s="308"/>
      <c r="H7" s="317"/>
    </row>
    <row r="8" spans="1:8" ht="15.95" customHeight="1" x14ac:dyDescent="0.2">
      <c r="A8" s="67"/>
      <c r="B8" s="31"/>
      <c r="C8" s="617" t="s">
        <v>505</v>
      </c>
      <c r="D8" s="596" t="s">
        <v>477</v>
      </c>
      <c r="E8" s="699" t="s">
        <v>506</v>
      </c>
      <c r="F8" s="697" t="s">
        <v>507</v>
      </c>
      <c r="G8" s="697" t="s">
        <v>508</v>
      </c>
      <c r="H8" s="697" t="s">
        <v>509</v>
      </c>
    </row>
    <row r="9" spans="1:8" ht="15.95" customHeight="1" x14ac:dyDescent="0.2">
      <c r="A9" s="35" t="s">
        <v>42</v>
      </c>
      <c r="B9" s="77" t="s">
        <v>43</v>
      </c>
      <c r="C9" s="598"/>
      <c r="D9" s="598"/>
      <c r="E9" s="698"/>
      <c r="F9" s="698"/>
      <c r="G9" s="698"/>
      <c r="H9" s="698"/>
    </row>
    <row r="10" spans="1:8" ht="5.0999999999999996" customHeight="1" x14ac:dyDescent="0.2">
      <c r="A10" s="6"/>
    </row>
    <row r="11" spans="1:8" ht="14.1" customHeight="1" x14ac:dyDescent="0.2">
      <c r="A11" s="284" t="s">
        <v>110</v>
      </c>
      <c r="B11" s="285">
        <f>'- 29 -'!$D11</f>
        <v>1013472</v>
      </c>
      <c r="C11" s="285">
        <v>771</v>
      </c>
      <c r="D11" s="285">
        <f ca="1">IF(AND(CELL("type",C11)="v",C11&gt;0),B11/C11,"")</f>
        <v>1314.4902723735408</v>
      </c>
      <c r="E11" s="285">
        <v>621200</v>
      </c>
      <c r="F11" s="361">
        <f ca="1">IF(AND(CELL("type",E11)="v",E11&gt;0),B11/E11,"")</f>
        <v>1.6314745653573728</v>
      </c>
      <c r="G11" s="285">
        <v>400700</v>
      </c>
      <c r="H11" s="361">
        <f ca="1">IF(AND(CELL("type",G11)="v",G11&gt;0),B11/G11,"")</f>
        <v>2.5292538058397804</v>
      </c>
    </row>
    <row r="12" spans="1:8" ht="14.1" customHeight="1" x14ac:dyDescent="0.2">
      <c r="A12" s="19" t="s">
        <v>111</v>
      </c>
      <c r="B12" s="20">
        <f>'- 29 -'!$D12</f>
        <v>2134404</v>
      </c>
      <c r="C12" s="20">
        <v>1561</v>
      </c>
      <c r="D12" s="20">
        <f t="shared" ref="D12:D46" ca="1" si="0">IF(AND(CELL("type",C12)="v",C12&gt;0),B12/C12,"")</f>
        <v>1367.331197950032</v>
      </c>
      <c r="E12" s="20">
        <v>1231956</v>
      </c>
      <c r="F12" s="362">
        <f t="shared" ref="F12:F46" ca="1" si="1">IF(AND(CELL("type",E12)="v",E12&gt;0),B12/E12,"")</f>
        <v>1.732532655387043</v>
      </c>
      <c r="G12" s="20">
        <v>764574</v>
      </c>
      <c r="H12" s="362">
        <f t="shared" ref="H12:H46" ca="1" si="2">IF(AND(CELL("type",G12)="v",G12&gt;0),B12/G12,"")</f>
        <v>2.7916251402741921</v>
      </c>
    </row>
    <row r="13" spans="1:8" ht="14.1" customHeight="1" x14ac:dyDescent="0.2">
      <c r="A13" s="284" t="s">
        <v>112</v>
      </c>
      <c r="B13" s="285">
        <f>'- 29 -'!$D13</f>
        <v>2045060</v>
      </c>
      <c r="C13" s="285">
        <v>3474</v>
      </c>
      <c r="D13" s="285">
        <f t="shared" ca="1" si="0"/>
        <v>588.67587795048939</v>
      </c>
      <c r="E13" s="285">
        <v>798569</v>
      </c>
      <c r="F13" s="361">
        <f t="shared" ca="1" si="1"/>
        <v>2.5609058202860369</v>
      </c>
      <c r="G13" s="285">
        <v>523938</v>
      </c>
      <c r="H13" s="361">
        <f t="shared" ca="1" si="2"/>
        <v>3.9032480942401584</v>
      </c>
    </row>
    <row r="14" spans="1:8" ht="14.1" customHeight="1" x14ac:dyDescent="0.2">
      <c r="A14" s="19" t="s">
        <v>359</v>
      </c>
      <c r="B14" s="20">
        <f>'- 29 -'!$D14</f>
        <v>7571826</v>
      </c>
      <c r="C14" s="20">
        <v>4484</v>
      </c>
      <c r="D14" s="20">
        <f t="shared" ca="1" si="0"/>
        <v>1688.6320249776984</v>
      </c>
      <c r="E14" s="20">
        <v>3190097</v>
      </c>
      <c r="F14" s="362">
        <f t="shared" ca="1" si="1"/>
        <v>2.3735409926406628</v>
      </c>
      <c r="G14" s="20">
        <v>1733526</v>
      </c>
      <c r="H14" s="362">
        <f t="shared" ca="1" si="2"/>
        <v>4.3678756476683942</v>
      </c>
    </row>
    <row r="15" spans="1:8" ht="14.1" customHeight="1" x14ac:dyDescent="0.2">
      <c r="A15" s="284" t="s">
        <v>113</v>
      </c>
      <c r="B15" s="285">
        <f>'- 29 -'!$D15</f>
        <v>1422102</v>
      </c>
      <c r="C15" s="285">
        <v>977</v>
      </c>
      <c r="D15" s="285">
        <f t="shared" ca="1" si="0"/>
        <v>1455.5803480040943</v>
      </c>
      <c r="E15" s="285">
        <v>756991</v>
      </c>
      <c r="F15" s="361">
        <f t="shared" ca="1" si="1"/>
        <v>1.8786247128433495</v>
      </c>
      <c r="G15" s="285">
        <v>456271</v>
      </c>
      <c r="H15" s="361">
        <f t="shared" ca="1" si="2"/>
        <v>3.1167924325674874</v>
      </c>
    </row>
    <row r="16" spans="1:8" ht="14.1" customHeight="1" x14ac:dyDescent="0.2">
      <c r="A16" s="19" t="s">
        <v>114</v>
      </c>
      <c r="B16" s="20">
        <f>'- 29 -'!$D16</f>
        <v>346495</v>
      </c>
      <c r="C16" s="20">
        <v>296</v>
      </c>
      <c r="D16" s="20">
        <f t="shared" ca="1" si="0"/>
        <v>1170.5912162162163</v>
      </c>
      <c r="E16" s="20">
        <v>55175</v>
      </c>
      <c r="F16" s="362">
        <f t="shared" ca="1" si="1"/>
        <v>6.2799275033982784</v>
      </c>
      <c r="G16" s="20">
        <v>31348</v>
      </c>
      <c r="H16" s="362">
        <f t="shared" ca="1" si="2"/>
        <v>11.053177236187317</v>
      </c>
    </row>
    <row r="17" spans="1:8" ht="14.1" customHeight="1" x14ac:dyDescent="0.2">
      <c r="A17" s="284" t="s">
        <v>115</v>
      </c>
      <c r="B17" s="285">
        <f>'- 29 -'!$D17</f>
        <v>1288702</v>
      </c>
      <c r="C17" s="285">
        <v>675</v>
      </c>
      <c r="D17" s="285">
        <f t="shared" ca="1" si="0"/>
        <v>1909.1881481481482</v>
      </c>
      <c r="E17" s="285">
        <v>918239</v>
      </c>
      <c r="F17" s="361">
        <f t="shared" ca="1" si="1"/>
        <v>1.4034494287434971</v>
      </c>
      <c r="G17" s="285">
        <v>589004</v>
      </c>
      <c r="H17" s="361">
        <f t="shared" ca="1" si="2"/>
        <v>2.1879342075775376</v>
      </c>
    </row>
    <row r="18" spans="1:8" ht="14.1" customHeight="1" x14ac:dyDescent="0.2">
      <c r="A18" s="19" t="s">
        <v>116</v>
      </c>
      <c r="B18" s="20">
        <f>'- 29 -'!$D18</f>
        <v>7182570</v>
      </c>
      <c r="C18" s="20">
        <v>5081</v>
      </c>
      <c r="D18" s="20">
        <f t="shared" ca="1" si="0"/>
        <v>1413.6134619169454</v>
      </c>
      <c r="E18" s="20">
        <v>1553615</v>
      </c>
      <c r="F18" s="362">
        <f t="shared" ca="1" si="1"/>
        <v>4.6231337879719234</v>
      </c>
      <c r="G18" s="20">
        <v>1087998</v>
      </c>
      <c r="H18" s="362">
        <f t="shared" ca="1" si="2"/>
        <v>6.6016389736010543</v>
      </c>
    </row>
    <row r="19" spans="1:8" ht="14.1" customHeight="1" x14ac:dyDescent="0.2">
      <c r="A19" s="284" t="s">
        <v>117</v>
      </c>
      <c r="B19" s="285">
        <f>'- 29 -'!$D19</f>
        <v>2471304</v>
      </c>
      <c r="C19" s="285">
        <v>2665</v>
      </c>
      <c r="D19" s="285">
        <f t="shared" ca="1" si="0"/>
        <v>927.31857410881798</v>
      </c>
      <c r="E19" s="285">
        <v>808740</v>
      </c>
      <c r="F19" s="361">
        <f t="shared" ca="1" si="1"/>
        <v>3.0557459752207139</v>
      </c>
      <c r="G19" s="285">
        <v>476820</v>
      </c>
      <c r="H19" s="361">
        <f t="shared" ca="1" si="2"/>
        <v>5.1828866238832267</v>
      </c>
    </row>
    <row r="20" spans="1:8" ht="14.1" customHeight="1" x14ac:dyDescent="0.2">
      <c r="A20" s="19" t="s">
        <v>118</v>
      </c>
      <c r="B20" s="20">
        <f>'- 29 -'!$D20</f>
        <v>3260443</v>
      </c>
      <c r="C20" s="20">
        <v>5062</v>
      </c>
      <c r="D20" s="20">
        <f t="shared" ca="1" si="0"/>
        <v>644.10173844330302</v>
      </c>
      <c r="E20" s="20">
        <v>1429505</v>
      </c>
      <c r="F20" s="362">
        <f t="shared" ca="1" si="1"/>
        <v>2.2808195844015935</v>
      </c>
      <c r="G20" s="20">
        <v>846412</v>
      </c>
      <c r="H20" s="362">
        <f t="shared" ca="1" si="2"/>
        <v>3.8520755849397221</v>
      </c>
    </row>
    <row r="21" spans="1:8" ht="14.1" customHeight="1" x14ac:dyDescent="0.2">
      <c r="A21" s="284" t="s">
        <v>119</v>
      </c>
      <c r="B21" s="285">
        <f>'- 29 -'!$D21</f>
        <v>1784367</v>
      </c>
      <c r="C21" s="285">
        <v>1718</v>
      </c>
      <c r="D21" s="285">
        <f t="shared" ca="1" si="0"/>
        <v>1038.6303841676367</v>
      </c>
      <c r="E21" s="285">
        <v>969362</v>
      </c>
      <c r="F21" s="361">
        <f t="shared" ca="1" si="1"/>
        <v>1.8407643377809322</v>
      </c>
      <c r="G21" s="285">
        <v>575989</v>
      </c>
      <c r="H21" s="361">
        <f t="shared" ca="1" si="2"/>
        <v>3.0979185366387205</v>
      </c>
    </row>
    <row r="22" spans="1:8" ht="14.1" customHeight="1" x14ac:dyDescent="0.2">
      <c r="A22" s="19" t="s">
        <v>120</v>
      </c>
      <c r="B22" s="20">
        <f>'- 29 -'!$D22</f>
        <v>417617</v>
      </c>
      <c r="C22" s="20">
        <v>482</v>
      </c>
      <c r="D22" s="20">
        <f t="shared" ca="1" si="0"/>
        <v>866.42531120331955</v>
      </c>
      <c r="E22" s="20">
        <v>162506</v>
      </c>
      <c r="F22" s="362">
        <f t="shared" ca="1" si="1"/>
        <v>2.5698558822443478</v>
      </c>
      <c r="G22" s="20">
        <v>98430</v>
      </c>
      <c r="H22" s="362">
        <f t="shared" ca="1" si="2"/>
        <v>4.2427816722543943</v>
      </c>
    </row>
    <row r="23" spans="1:8" ht="14.1" customHeight="1" x14ac:dyDescent="0.2">
      <c r="A23" s="284" t="s">
        <v>121</v>
      </c>
      <c r="B23" s="285">
        <f>'- 29 -'!$D23</f>
        <v>1581385</v>
      </c>
      <c r="C23" s="285">
        <v>781</v>
      </c>
      <c r="D23" s="285">
        <f t="shared" ca="1" si="0"/>
        <v>2024.8207426376441</v>
      </c>
      <c r="E23" s="285">
        <v>964556</v>
      </c>
      <c r="F23" s="361">
        <f t="shared" ca="1" si="1"/>
        <v>1.6394952703627368</v>
      </c>
      <c r="G23" s="285">
        <v>542924</v>
      </c>
      <c r="H23" s="361">
        <f t="shared" ca="1" si="2"/>
        <v>2.9127189072503703</v>
      </c>
    </row>
    <row r="24" spans="1:8" ht="14.1" customHeight="1" x14ac:dyDescent="0.2">
      <c r="A24" s="19" t="s">
        <v>122</v>
      </c>
      <c r="B24" s="20">
        <f>'- 29 -'!$D24</f>
        <v>2207370</v>
      </c>
      <c r="C24" s="20">
        <v>2858</v>
      </c>
      <c r="D24" s="20">
        <f t="shared" ca="1" si="0"/>
        <v>772.34779566130157</v>
      </c>
      <c r="E24" s="20">
        <v>1010892</v>
      </c>
      <c r="F24" s="362">
        <f t="shared" ca="1" si="1"/>
        <v>2.1835863771797581</v>
      </c>
      <c r="G24" s="20">
        <v>641598</v>
      </c>
      <c r="H24" s="362">
        <f t="shared" ca="1" si="2"/>
        <v>3.4404253130464872</v>
      </c>
    </row>
    <row r="25" spans="1:8" ht="14.1" customHeight="1" x14ac:dyDescent="0.2">
      <c r="A25" s="284" t="s">
        <v>123</v>
      </c>
      <c r="B25" s="285">
        <f>'- 29 -'!$D25</f>
        <v>3692727</v>
      </c>
      <c r="C25" s="285">
        <v>2799</v>
      </c>
      <c r="D25" s="285">
        <f t="shared" ca="1" si="0"/>
        <v>1319.3022508038584</v>
      </c>
      <c r="E25" s="285">
        <v>916571</v>
      </c>
      <c r="F25" s="361">
        <f t="shared" ca="1" si="1"/>
        <v>4.0288499199734664</v>
      </c>
      <c r="G25" s="285">
        <v>440264</v>
      </c>
      <c r="H25" s="361">
        <f t="shared" ca="1" si="2"/>
        <v>8.387528846328566</v>
      </c>
    </row>
    <row r="26" spans="1:8" ht="14.1" customHeight="1" x14ac:dyDescent="0.2">
      <c r="A26" s="19" t="s">
        <v>124</v>
      </c>
      <c r="B26" s="20">
        <f>'- 29 -'!$D26</f>
        <v>2707398</v>
      </c>
      <c r="C26" s="20">
        <v>1577</v>
      </c>
      <c r="D26" s="20">
        <f t="shared" ca="1" si="0"/>
        <v>1716.8027901077996</v>
      </c>
      <c r="E26" s="20">
        <v>1324243</v>
      </c>
      <c r="F26" s="362">
        <f t="shared" ca="1" si="1"/>
        <v>2.0444873033121564</v>
      </c>
      <c r="G26" s="20">
        <v>1059735</v>
      </c>
      <c r="H26" s="362">
        <f t="shared" ca="1" si="2"/>
        <v>2.554787753542159</v>
      </c>
    </row>
    <row r="27" spans="1:8" ht="14.1" customHeight="1" x14ac:dyDescent="0.2">
      <c r="A27" s="284" t="s">
        <v>125</v>
      </c>
      <c r="B27" s="285">
        <f>'- 29 -'!$D27</f>
        <v>0</v>
      </c>
      <c r="C27" s="285">
        <v>0</v>
      </c>
      <c r="D27" s="285" t="str">
        <f ca="1">IF(AND(CELL("type",C27)="v",C27&gt;0),B27/C27,"")</f>
        <v/>
      </c>
      <c r="E27" s="285">
        <v>0</v>
      </c>
      <c r="F27" s="361" t="str">
        <f ca="1">IF(AND(CELL("type",E27)="v",E27&gt;0),B27/E27,"")</f>
        <v/>
      </c>
      <c r="G27" s="285">
        <v>0</v>
      </c>
      <c r="H27" s="361" t="str">
        <f ca="1">IF(AND(CELL("type",G27)="v",G27&gt;0),B27/G27,"")</f>
        <v/>
      </c>
    </row>
    <row r="28" spans="1:8" ht="14.1" customHeight="1" x14ac:dyDescent="0.2">
      <c r="A28" s="19" t="s">
        <v>126</v>
      </c>
      <c r="B28" s="20">
        <f>'- 29 -'!$D28</f>
        <v>1642583</v>
      </c>
      <c r="C28" s="20">
        <v>822</v>
      </c>
      <c r="D28" s="20">
        <f t="shared" ca="1" si="0"/>
        <v>1998.2761557177616</v>
      </c>
      <c r="E28" s="20">
        <v>1240557</v>
      </c>
      <c r="F28" s="362">
        <f t="shared" ca="1" si="1"/>
        <v>1.3240689464490547</v>
      </c>
      <c r="G28" s="20">
        <v>793122</v>
      </c>
      <c r="H28" s="362">
        <f t="shared" ca="1" si="2"/>
        <v>2.0710344688459026</v>
      </c>
    </row>
    <row r="29" spans="1:8" ht="14.1" customHeight="1" x14ac:dyDescent="0.2">
      <c r="A29" s="284" t="s">
        <v>127</v>
      </c>
      <c r="B29" s="285">
        <f>'- 29 -'!$D29</f>
        <v>2280392</v>
      </c>
      <c r="C29" s="285">
        <v>2688</v>
      </c>
      <c r="D29" s="285">
        <f t="shared" ca="1" si="0"/>
        <v>848.36011904761904</v>
      </c>
      <c r="E29" s="285">
        <v>566632</v>
      </c>
      <c r="F29" s="361">
        <f t="shared" ca="1" si="1"/>
        <v>4.0244673791808436</v>
      </c>
      <c r="G29" s="285">
        <v>325804</v>
      </c>
      <c r="H29" s="361">
        <f t="shared" ca="1" si="2"/>
        <v>6.9992756381137129</v>
      </c>
    </row>
    <row r="30" spans="1:8" ht="14.1" customHeight="1" x14ac:dyDescent="0.2">
      <c r="A30" s="19" t="s">
        <v>128</v>
      </c>
      <c r="B30" s="20">
        <f>'- 29 -'!$D30</f>
        <v>1011282</v>
      </c>
      <c r="C30" s="20">
        <v>562</v>
      </c>
      <c r="D30" s="20">
        <f t="shared" ca="1" si="0"/>
        <v>1799.4341637010675</v>
      </c>
      <c r="E30" s="20">
        <v>391778</v>
      </c>
      <c r="F30" s="362">
        <f t="shared" ca="1" si="1"/>
        <v>2.5812628580471593</v>
      </c>
      <c r="G30" s="20">
        <v>393708</v>
      </c>
      <c r="H30" s="362">
        <f t="shared" ca="1" si="2"/>
        <v>2.5686092230790334</v>
      </c>
    </row>
    <row r="31" spans="1:8" ht="14.1" customHeight="1" x14ac:dyDescent="0.2">
      <c r="A31" s="284" t="s">
        <v>129</v>
      </c>
      <c r="B31" s="285">
        <f>'- 29 -'!$D31</f>
        <v>946475</v>
      </c>
      <c r="C31" s="285">
        <v>1156</v>
      </c>
      <c r="D31" s="285">
        <f t="shared" ca="1" si="0"/>
        <v>818.75</v>
      </c>
      <c r="E31" s="285">
        <v>592725</v>
      </c>
      <c r="F31" s="361">
        <f t="shared" ca="1" si="1"/>
        <v>1.596819773081952</v>
      </c>
      <c r="G31" s="285">
        <v>382550</v>
      </c>
      <c r="H31" s="361">
        <f t="shared" ca="1" si="2"/>
        <v>2.4741210299307279</v>
      </c>
    </row>
    <row r="32" spans="1:8" ht="14.1" customHeight="1" x14ac:dyDescent="0.2">
      <c r="A32" s="19" t="s">
        <v>130</v>
      </c>
      <c r="B32" s="20">
        <f>'- 29 -'!$D32</f>
        <v>1918627</v>
      </c>
      <c r="C32" s="20">
        <v>1507</v>
      </c>
      <c r="D32" s="20">
        <f t="shared" ca="1" si="0"/>
        <v>1273.1433311214332</v>
      </c>
      <c r="E32" s="20">
        <v>1011844.8</v>
      </c>
      <c r="F32" s="362">
        <f t="shared" ca="1" si="1"/>
        <v>1.8961672778275878</v>
      </c>
      <c r="G32" s="20">
        <v>645940.19999999995</v>
      </c>
      <c r="H32" s="362">
        <f t="shared" ca="1" si="2"/>
        <v>2.9702857942577348</v>
      </c>
    </row>
    <row r="33" spans="1:8" ht="14.1" customHeight="1" x14ac:dyDescent="0.2">
      <c r="A33" s="284" t="s">
        <v>131</v>
      </c>
      <c r="B33" s="285">
        <f>'- 29 -'!$D33</f>
        <v>2097677</v>
      </c>
      <c r="C33" s="285">
        <v>1138</v>
      </c>
      <c r="D33" s="285">
        <f t="shared" ca="1" si="0"/>
        <v>1843.3014059753955</v>
      </c>
      <c r="E33" s="285">
        <v>1504772</v>
      </c>
      <c r="F33" s="361">
        <f t="shared" ca="1" si="1"/>
        <v>1.3940165021677702</v>
      </c>
      <c r="G33" s="285">
        <v>911340</v>
      </c>
      <c r="H33" s="361">
        <f t="shared" ca="1" si="2"/>
        <v>2.3017501700792238</v>
      </c>
    </row>
    <row r="34" spans="1:8" ht="14.1" customHeight="1" x14ac:dyDescent="0.2">
      <c r="A34" s="19" t="s">
        <v>132</v>
      </c>
      <c r="B34" s="20">
        <f>'- 29 -'!$D34</f>
        <v>2458858</v>
      </c>
      <c r="C34" s="20">
        <v>1426</v>
      </c>
      <c r="D34" s="20">
        <f t="shared" ca="1" si="0"/>
        <v>1724.304347826087</v>
      </c>
      <c r="E34" s="20">
        <v>1578962</v>
      </c>
      <c r="F34" s="362">
        <f t="shared" ca="1" si="1"/>
        <v>1.5572623027026615</v>
      </c>
      <c r="G34" s="20">
        <v>976376</v>
      </c>
      <c r="H34" s="362">
        <f t="shared" ca="1" si="2"/>
        <v>2.5183515367030735</v>
      </c>
    </row>
    <row r="35" spans="1:8" ht="14.1" customHeight="1" x14ac:dyDescent="0.2">
      <c r="A35" s="284" t="s">
        <v>133</v>
      </c>
      <c r="B35" s="285">
        <f>'- 29 -'!$D35</f>
        <v>4114936</v>
      </c>
      <c r="C35" s="285">
        <v>3638</v>
      </c>
      <c r="D35" s="285">
        <f t="shared" ca="1" si="0"/>
        <v>1131.0984057174271</v>
      </c>
      <c r="E35" s="285">
        <v>1023286</v>
      </c>
      <c r="F35" s="361">
        <f t="shared" ca="1" si="1"/>
        <v>4.0212960990378059</v>
      </c>
      <c r="G35" s="285">
        <v>505467</v>
      </c>
      <c r="H35" s="361">
        <f t="shared" ca="1" si="2"/>
        <v>8.1408598385255608</v>
      </c>
    </row>
    <row r="36" spans="1:8" ht="14.1" customHeight="1" x14ac:dyDescent="0.2">
      <c r="A36" s="19" t="s">
        <v>134</v>
      </c>
      <c r="B36" s="20">
        <f>'- 29 -'!$D36</f>
        <v>1430428</v>
      </c>
      <c r="C36" s="20">
        <v>890</v>
      </c>
      <c r="D36" s="20">
        <f t="shared" ca="1" si="0"/>
        <v>1607.2224719101123</v>
      </c>
      <c r="E36" s="20">
        <v>768783</v>
      </c>
      <c r="F36" s="362">
        <f t="shared" ca="1" si="1"/>
        <v>1.8606394782402838</v>
      </c>
      <c r="G36" s="20">
        <v>486597</v>
      </c>
      <c r="H36" s="362">
        <f t="shared" ca="1" si="2"/>
        <v>2.9396564302698125</v>
      </c>
    </row>
    <row r="37" spans="1:8" ht="14.1" customHeight="1" x14ac:dyDescent="0.2">
      <c r="A37" s="284" t="s">
        <v>135</v>
      </c>
      <c r="B37" s="285">
        <f>'- 29 -'!$D37</f>
        <v>2819083</v>
      </c>
      <c r="C37" s="285">
        <v>2921</v>
      </c>
      <c r="D37" s="285">
        <f t="shared" ca="1" si="0"/>
        <v>965.10886682642933</v>
      </c>
      <c r="E37" s="285">
        <v>1351638</v>
      </c>
      <c r="F37" s="361">
        <f t="shared" ca="1" si="1"/>
        <v>2.0856790057692964</v>
      </c>
      <c r="G37" s="285">
        <v>839970</v>
      </c>
      <c r="H37" s="361">
        <f t="shared" ca="1" si="2"/>
        <v>3.3561710537281093</v>
      </c>
    </row>
    <row r="38" spans="1:8" ht="14.1" customHeight="1" x14ac:dyDescent="0.2">
      <c r="A38" s="19" t="s">
        <v>136</v>
      </c>
      <c r="B38" s="20">
        <f>'- 29 -'!$D38</f>
        <v>2923264</v>
      </c>
      <c r="C38" s="20">
        <v>2803</v>
      </c>
      <c r="D38" s="20">
        <f t="shared" ca="1" si="0"/>
        <v>1042.9054584373885</v>
      </c>
      <c r="E38" s="20">
        <v>585176</v>
      </c>
      <c r="F38" s="362">
        <f t="shared" ca="1" si="1"/>
        <v>4.9955295500840773</v>
      </c>
      <c r="G38" s="20">
        <v>422091</v>
      </c>
      <c r="H38" s="362">
        <f t="shared" ca="1" si="2"/>
        <v>6.9256724260882132</v>
      </c>
    </row>
    <row r="39" spans="1:8" ht="14.1" customHeight="1" x14ac:dyDescent="0.2">
      <c r="A39" s="284" t="s">
        <v>137</v>
      </c>
      <c r="B39" s="285">
        <f>'- 29 -'!$D39</f>
        <v>1802142</v>
      </c>
      <c r="C39" s="285">
        <v>776</v>
      </c>
      <c r="D39" s="285">
        <f t="shared" ca="1" si="0"/>
        <v>2322.3479381443299</v>
      </c>
      <c r="E39" s="285">
        <v>1097634</v>
      </c>
      <c r="F39" s="361">
        <f t="shared" ca="1" si="1"/>
        <v>1.641842362754798</v>
      </c>
      <c r="G39" s="285">
        <v>683322</v>
      </c>
      <c r="H39" s="361">
        <f t="shared" ca="1" si="2"/>
        <v>2.6373247166050557</v>
      </c>
    </row>
    <row r="40" spans="1:8" ht="14.1" customHeight="1" x14ac:dyDescent="0.2">
      <c r="A40" s="19" t="s">
        <v>138</v>
      </c>
      <c r="B40" s="20">
        <f>'- 29 -'!$D40</f>
        <v>2304947</v>
      </c>
      <c r="C40" s="20">
        <v>2140</v>
      </c>
      <c r="D40" s="20">
        <f t="shared" ca="1" si="0"/>
        <v>1077.0780373831776</v>
      </c>
      <c r="E40" s="20">
        <v>610296</v>
      </c>
      <c r="F40" s="362">
        <f t="shared" ca="1" si="1"/>
        <v>3.7767689776764062</v>
      </c>
      <c r="G40" s="20">
        <v>278580</v>
      </c>
      <c r="H40" s="362">
        <f t="shared" ca="1" si="2"/>
        <v>8.2739141359753035</v>
      </c>
    </row>
    <row r="41" spans="1:8" ht="14.1" customHeight="1" x14ac:dyDescent="0.2">
      <c r="A41" s="284" t="s">
        <v>139</v>
      </c>
      <c r="B41" s="285">
        <f>'- 29 -'!$D41</f>
        <v>4531171</v>
      </c>
      <c r="C41" s="285">
        <v>3713</v>
      </c>
      <c r="D41" s="285">
        <f t="shared" ca="1" si="0"/>
        <v>1220.353083759763</v>
      </c>
      <c r="E41" s="285">
        <v>2790485</v>
      </c>
      <c r="F41" s="361">
        <f t="shared" ca="1" si="1"/>
        <v>1.6237933549185894</v>
      </c>
      <c r="G41" s="285">
        <v>1581755</v>
      </c>
      <c r="H41" s="361">
        <f t="shared" ca="1" si="2"/>
        <v>2.8646478120821492</v>
      </c>
    </row>
    <row r="42" spans="1:8" ht="14.1" customHeight="1" x14ac:dyDescent="0.2">
      <c r="A42" s="19" t="s">
        <v>140</v>
      </c>
      <c r="B42" s="20">
        <f>'- 29 -'!$D42</f>
        <v>1483674</v>
      </c>
      <c r="C42" s="20">
        <v>1272</v>
      </c>
      <c r="D42" s="20">
        <f t="shared" ca="1" si="0"/>
        <v>1166.4103773584907</v>
      </c>
      <c r="E42" s="20">
        <v>796416</v>
      </c>
      <c r="F42" s="362">
        <f t="shared" ca="1" si="1"/>
        <v>1.8629384643201543</v>
      </c>
      <c r="G42" s="20">
        <v>664089</v>
      </c>
      <c r="H42" s="362">
        <f t="shared" ca="1" si="2"/>
        <v>2.2341493384169895</v>
      </c>
    </row>
    <row r="43" spans="1:8" ht="14.1" customHeight="1" x14ac:dyDescent="0.2">
      <c r="A43" s="284" t="s">
        <v>141</v>
      </c>
      <c r="B43" s="285">
        <f>'- 29 -'!$D43</f>
        <v>1118459</v>
      </c>
      <c r="C43" s="285">
        <v>553</v>
      </c>
      <c r="D43" s="285">
        <f t="shared" ca="1" si="0"/>
        <v>2022.5298372513562</v>
      </c>
      <c r="E43" s="285">
        <v>630142.20000000007</v>
      </c>
      <c r="F43" s="361">
        <f t="shared" ca="1" si="1"/>
        <v>1.7749311187220915</v>
      </c>
      <c r="G43" s="285">
        <v>398885.1</v>
      </c>
      <c r="H43" s="361">
        <f t="shared" ca="1" si="2"/>
        <v>2.8039628454409553</v>
      </c>
    </row>
    <row r="44" spans="1:8" ht="14.1" customHeight="1" x14ac:dyDescent="0.2">
      <c r="A44" s="19" t="s">
        <v>142</v>
      </c>
      <c r="B44" s="20">
        <f>'- 29 -'!$D44</f>
        <v>975330</v>
      </c>
      <c r="C44" s="20">
        <v>491</v>
      </c>
      <c r="D44" s="20">
        <f t="shared" ca="1" si="0"/>
        <v>1986.4154786150714</v>
      </c>
      <c r="E44" s="20">
        <v>711284.4</v>
      </c>
      <c r="F44" s="362">
        <f t="shared" ca="1" si="1"/>
        <v>1.3712236624337606</v>
      </c>
      <c r="G44" s="20">
        <v>472981.8</v>
      </c>
      <c r="H44" s="362">
        <f t="shared" ca="1" si="2"/>
        <v>2.0620878012642345</v>
      </c>
    </row>
    <row r="45" spans="1:8" ht="14.1" customHeight="1" x14ac:dyDescent="0.2">
      <c r="A45" s="284" t="s">
        <v>143</v>
      </c>
      <c r="B45" s="285">
        <f>'- 29 -'!$D45</f>
        <v>671236</v>
      </c>
      <c r="C45" s="285">
        <v>1058</v>
      </c>
      <c r="D45" s="285">
        <f t="shared" ca="1" si="0"/>
        <v>634.43856332703217</v>
      </c>
      <c r="E45" s="285">
        <v>253798</v>
      </c>
      <c r="F45" s="361">
        <f t="shared" ca="1" si="1"/>
        <v>2.6447647341586618</v>
      </c>
      <c r="G45" s="285">
        <v>159027</v>
      </c>
      <c r="H45" s="361">
        <f t="shared" ca="1" si="2"/>
        <v>4.2208933074257828</v>
      </c>
    </row>
    <row r="46" spans="1:8" ht="14.1" customHeight="1" x14ac:dyDescent="0.2">
      <c r="A46" s="19" t="s">
        <v>144</v>
      </c>
      <c r="B46" s="20">
        <f>'- 29 -'!$D46</f>
        <v>5880260</v>
      </c>
      <c r="C46" s="20">
        <v>2352</v>
      </c>
      <c r="D46" s="20">
        <f t="shared" ca="1" si="0"/>
        <v>2500.1105442176872</v>
      </c>
      <c r="E46" s="20">
        <v>947923</v>
      </c>
      <c r="F46" s="362">
        <f t="shared" ca="1" si="1"/>
        <v>6.2033097625018065</v>
      </c>
      <c r="G46" s="20">
        <v>581856</v>
      </c>
      <c r="H46" s="362">
        <f t="shared" ca="1" si="2"/>
        <v>10.106039982401144</v>
      </c>
    </row>
    <row r="47" spans="1:8" ht="5.0999999999999996" customHeight="1" x14ac:dyDescent="0.2">
      <c r="A47"/>
      <c r="B47" s="22"/>
      <c r="C47" s="367"/>
      <c r="D47" s="22"/>
      <c r="E47" s="367"/>
      <c r="F47" s="364"/>
      <c r="G47" s="367"/>
      <c r="H47" s="364"/>
    </row>
    <row r="48" spans="1:8" ht="14.1" customHeight="1" x14ac:dyDescent="0.2">
      <c r="A48" s="286" t="s">
        <v>145</v>
      </c>
      <c r="B48" s="287">
        <f>SUM(B11:B46)</f>
        <v>83538066</v>
      </c>
      <c r="C48" s="287">
        <f>SUM(C11:C46)</f>
        <v>67167</v>
      </c>
      <c r="D48" s="287">
        <f>B48/C48</f>
        <v>1243.7367457233463</v>
      </c>
      <c r="E48" s="287">
        <f>SUM(E11:E46)</f>
        <v>35166349.399999999</v>
      </c>
      <c r="F48" s="365">
        <f>B48/E48</f>
        <v>2.3755114598275591</v>
      </c>
      <c r="G48" s="287">
        <f>SUM(G11:G46)</f>
        <v>21772992.100000001</v>
      </c>
      <c r="H48" s="365">
        <f>B48/G48</f>
        <v>3.8367747352464248</v>
      </c>
    </row>
    <row r="49" spans="1:8" ht="5.0999999999999996" customHeight="1" x14ac:dyDescent="0.2">
      <c r="A49" s="21" t="s">
        <v>7</v>
      </c>
      <c r="B49" s="22"/>
      <c r="C49" s="367"/>
      <c r="D49" s="22"/>
      <c r="E49" s="367"/>
      <c r="F49" s="364"/>
      <c r="G49" s="367"/>
      <c r="H49" s="364"/>
    </row>
    <row r="50" spans="1:8" ht="14.1" customHeight="1" x14ac:dyDescent="0.2">
      <c r="A50" s="19" t="s">
        <v>146</v>
      </c>
      <c r="B50" s="20">
        <f>'- 29 -'!$D50</f>
        <v>3250</v>
      </c>
      <c r="C50" s="37" t="s">
        <v>95</v>
      </c>
      <c r="D50" s="20" t="str">
        <f ca="1">IF(AND(CELL("type",C50)="v",C50&gt;0),B50/C50,"")</f>
        <v/>
      </c>
      <c r="E50" s="37" t="s">
        <v>95</v>
      </c>
      <c r="F50" s="362" t="str">
        <f ca="1">IF(AND(CELL("type",E50)="v",E50&gt;0),B50/E50,"")</f>
        <v/>
      </c>
      <c r="G50" s="37" t="s">
        <v>95</v>
      </c>
      <c r="H50" s="362" t="str">
        <f ca="1">IF(AND(CELL("type",G50)="v",G50&gt;0),B50/G50,"")</f>
        <v/>
      </c>
    </row>
    <row r="51" spans="1:8" ht="14.1" customHeight="1" x14ac:dyDescent="0.2">
      <c r="A51" s="284" t="s">
        <v>609</v>
      </c>
      <c r="B51" s="285">
        <f>'- 29 -'!$D51</f>
        <v>0</v>
      </c>
      <c r="C51" s="285">
        <v>0</v>
      </c>
      <c r="D51" s="285" t="str">
        <f ca="1">IF(AND(CELL("type",C51)="v",C51&gt;0),B51/C51,"")</f>
        <v/>
      </c>
      <c r="E51" s="285">
        <v>0</v>
      </c>
      <c r="F51" s="361" t="str">
        <f ca="1">IF(AND(CELL("type",E51)="v",E51&gt;0),B51/E51,"")</f>
        <v/>
      </c>
      <c r="G51" s="285">
        <v>0</v>
      </c>
      <c r="H51" s="361" t="str">
        <f ca="1">IF(AND(CELL("type",G51)="v",G51&gt;0),B51/G51,"")</f>
        <v/>
      </c>
    </row>
    <row r="52" spans="1:8" ht="50.1" customHeight="1" x14ac:dyDescent="0.2"/>
  </sheetData>
  <mergeCells count="6">
    <mergeCell ref="H8:H9"/>
    <mergeCell ref="D8:D9"/>
    <mergeCell ref="C8:C9"/>
    <mergeCell ref="E8:E9"/>
    <mergeCell ref="F8:F9"/>
    <mergeCell ref="G8:G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E52"/>
  <sheetViews>
    <sheetView showGridLines="0" showZeros="0" workbookViewId="0"/>
  </sheetViews>
  <sheetFormatPr defaultColWidth="15.83203125" defaultRowHeight="12" x14ac:dyDescent="0.2"/>
  <cols>
    <col min="1" max="1" width="32.83203125" style="2" customWidth="1"/>
    <col min="2" max="2" width="22.83203125" style="2" customWidth="1"/>
    <col min="3" max="3" width="19.83203125" style="2" customWidth="1"/>
    <col min="4" max="4" width="15.83203125" style="2"/>
    <col min="5" max="5" width="41.83203125" style="2" customWidth="1"/>
    <col min="6" max="16384" width="15.83203125" style="2"/>
  </cols>
  <sheetData>
    <row r="1" spans="1:5" ht="6.95" customHeight="1" x14ac:dyDescent="0.2">
      <c r="A1" s="7"/>
      <c r="B1" s="8"/>
      <c r="C1" s="8"/>
      <c r="D1" s="8"/>
      <c r="E1" s="8"/>
    </row>
    <row r="2" spans="1:5" ht="15.95" customHeight="1" x14ac:dyDescent="0.2">
      <c r="A2" s="134"/>
      <c r="B2" s="9" t="s">
        <v>266</v>
      </c>
      <c r="C2" s="10"/>
      <c r="D2" s="10"/>
      <c r="E2" s="160"/>
    </row>
    <row r="3" spans="1:5" ht="15.95" customHeight="1" x14ac:dyDescent="0.2">
      <c r="A3" s="541"/>
      <c r="B3" s="11" t="str">
        <f>OPYEAR</f>
        <v>OPERATING FUND 2016/2017 ACTUAL</v>
      </c>
      <c r="C3" s="12"/>
      <c r="D3" s="12"/>
      <c r="E3" s="161"/>
    </row>
    <row r="4" spans="1:5" ht="15.95" customHeight="1" x14ac:dyDescent="0.2">
      <c r="B4" s="8"/>
      <c r="C4" s="8"/>
      <c r="D4" s="8"/>
      <c r="E4" s="8"/>
    </row>
    <row r="5" spans="1:5" ht="15.95" customHeight="1" x14ac:dyDescent="0.2">
      <c r="B5" s="8"/>
      <c r="C5" s="8"/>
      <c r="D5" s="8"/>
      <c r="E5" s="8"/>
    </row>
    <row r="6" spans="1:5" ht="15.95" customHeight="1" x14ac:dyDescent="0.2">
      <c r="B6" s="643" t="s">
        <v>511</v>
      </c>
      <c r="C6" s="651"/>
      <c r="D6" s="644"/>
    </row>
    <row r="7" spans="1:5" ht="15.95" customHeight="1" x14ac:dyDescent="0.2">
      <c r="B7" s="645"/>
      <c r="C7" s="652"/>
      <c r="D7" s="646"/>
    </row>
    <row r="8" spans="1:5" ht="15.95" customHeight="1" x14ac:dyDescent="0.2">
      <c r="A8" s="67"/>
      <c r="B8" s="162"/>
      <c r="C8" s="697" t="s">
        <v>510</v>
      </c>
      <c r="D8" s="596" t="s">
        <v>509</v>
      </c>
    </row>
    <row r="9" spans="1:5" ht="15.95" customHeight="1" x14ac:dyDescent="0.2">
      <c r="A9" s="35" t="s">
        <v>42</v>
      </c>
      <c r="B9" s="77" t="s">
        <v>43</v>
      </c>
      <c r="C9" s="698"/>
      <c r="D9" s="598"/>
    </row>
    <row r="10" spans="1:5" ht="5.0999999999999996" customHeight="1" x14ac:dyDescent="0.2">
      <c r="A10" s="6"/>
    </row>
    <row r="11" spans="1:5" ht="14.1" customHeight="1" x14ac:dyDescent="0.2">
      <c r="A11" s="284" t="s">
        <v>110</v>
      </c>
      <c r="B11" s="285">
        <f>SUM('- 29 -'!$B11,'- 29 -'!$D11,'- 30 -'!$D11)</f>
        <v>1253967</v>
      </c>
      <c r="C11" s="285">
        <v>629800</v>
      </c>
      <c r="D11" s="361">
        <f ca="1">IF(AND(CELL("type",C11)="v",C11&gt;0),B11/C11,"")</f>
        <v>1.991055890758971</v>
      </c>
      <c r="E11" s="163"/>
    </row>
    <row r="12" spans="1:5" ht="14.1" customHeight="1" x14ac:dyDescent="0.2">
      <c r="A12" s="19" t="s">
        <v>111</v>
      </c>
      <c r="B12" s="20">
        <f>SUM('- 29 -'!$B12,'- 29 -'!$D12,'- 30 -'!$D12)</f>
        <v>2529893</v>
      </c>
      <c r="C12" s="20">
        <v>1263423</v>
      </c>
      <c r="D12" s="362">
        <f t="shared" ref="D12:D46" ca="1" si="0">IF(AND(CELL("type",C12)="v",C12&gt;0),B12/C12,"")</f>
        <v>2.0024117021773389</v>
      </c>
      <c r="E12" s="163"/>
    </row>
    <row r="13" spans="1:5" ht="14.1" customHeight="1" x14ac:dyDescent="0.2">
      <c r="A13" s="284" t="s">
        <v>112</v>
      </c>
      <c r="B13" s="285">
        <f>SUM('- 29 -'!$B13,'- 29 -'!$D13,'- 30 -'!$D13)</f>
        <v>2325563</v>
      </c>
      <c r="C13" s="285">
        <v>861095</v>
      </c>
      <c r="D13" s="361">
        <f t="shared" ca="1" si="0"/>
        <v>2.7007043357585401</v>
      </c>
      <c r="E13" s="163"/>
    </row>
    <row r="14" spans="1:5" ht="14.1" customHeight="1" x14ac:dyDescent="0.2">
      <c r="A14" s="19" t="s">
        <v>359</v>
      </c>
      <c r="B14" s="20">
        <f>SUM('- 29 -'!$B14,'- 29 -'!$D14,'- 30 -'!$D14)</f>
        <v>8336495</v>
      </c>
      <c r="C14" s="37" t="s">
        <v>95</v>
      </c>
      <c r="D14" s="362" t="str">
        <f t="shared" ca="1" si="0"/>
        <v/>
      </c>
      <c r="E14" s="163"/>
    </row>
    <row r="15" spans="1:5" ht="14.1" customHeight="1" x14ac:dyDescent="0.2">
      <c r="A15" s="284" t="s">
        <v>113</v>
      </c>
      <c r="B15" s="285">
        <f>SUM('- 29 -'!$B15,'- 29 -'!$D15,'- 30 -'!$D15)</f>
        <v>1587525</v>
      </c>
      <c r="C15" s="285">
        <v>791740</v>
      </c>
      <c r="D15" s="361">
        <f t="shared" ca="1" si="0"/>
        <v>2.0051090004294339</v>
      </c>
      <c r="E15" s="163"/>
    </row>
    <row r="16" spans="1:5" ht="14.1" customHeight="1" x14ac:dyDescent="0.2">
      <c r="A16" s="19" t="s">
        <v>114</v>
      </c>
      <c r="B16" s="20">
        <f>SUM('- 29 -'!$B16,'- 29 -'!$D16,'- 30 -'!$D16)</f>
        <v>447014</v>
      </c>
      <c r="C16" s="20">
        <v>55175</v>
      </c>
      <c r="D16" s="362">
        <f t="shared" ca="1" si="0"/>
        <v>8.1017489805165379</v>
      </c>
      <c r="E16" s="163"/>
    </row>
    <row r="17" spans="1:5" ht="14.1" customHeight="1" x14ac:dyDescent="0.2">
      <c r="A17" s="284" t="s">
        <v>115</v>
      </c>
      <c r="B17" s="285">
        <f>SUM('- 29 -'!$B17,'- 29 -'!$D17,'- 30 -'!$D17)</f>
        <v>1386107</v>
      </c>
      <c r="C17" s="285">
        <v>874622.64749999996</v>
      </c>
      <c r="D17" s="361">
        <f t="shared" ca="1" si="0"/>
        <v>1.5848057490416174</v>
      </c>
      <c r="E17" s="163"/>
    </row>
    <row r="18" spans="1:5" ht="14.1" customHeight="1" x14ac:dyDescent="0.2">
      <c r="A18" s="19" t="s">
        <v>116</v>
      </c>
      <c r="B18" s="20">
        <f>SUM('- 29 -'!$B18,'- 29 -'!$D18,'- 30 -'!$D18)</f>
        <v>8528213</v>
      </c>
      <c r="C18" s="20">
        <v>1728900</v>
      </c>
      <c r="D18" s="362">
        <f t="shared" ca="1" si="0"/>
        <v>4.9327393140146913</v>
      </c>
      <c r="E18" s="163"/>
    </row>
    <row r="19" spans="1:5" ht="14.1" customHeight="1" x14ac:dyDescent="0.2">
      <c r="A19" s="284" t="s">
        <v>117</v>
      </c>
      <c r="B19" s="285">
        <f>SUM('- 29 -'!$B19,'- 29 -'!$D19,'- 30 -'!$D19)</f>
        <v>2823319</v>
      </c>
      <c r="C19" s="285">
        <v>936373</v>
      </c>
      <c r="D19" s="361">
        <f t="shared" ca="1" si="0"/>
        <v>3.0151648968947202</v>
      </c>
      <c r="E19" s="163"/>
    </row>
    <row r="20" spans="1:5" ht="14.1" customHeight="1" x14ac:dyDescent="0.2">
      <c r="A20" s="19" t="s">
        <v>118</v>
      </c>
      <c r="B20" s="20">
        <f>SUM('- 29 -'!$B20,'- 29 -'!$D20,'- 30 -'!$D20)</f>
        <v>3887917</v>
      </c>
      <c r="C20" s="20">
        <v>1614846</v>
      </c>
      <c r="D20" s="362">
        <f t="shared" ca="1" si="0"/>
        <v>2.4076085273766044</v>
      </c>
      <c r="E20" s="163"/>
    </row>
    <row r="21" spans="1:5" ht="14.1" customHeight="1" x14ac:dyDescent="0.2">
      <c r="A21" s="284" t="s">
        <v>119</v>
      </c>
      <c r="B21" s="285">
        <f>SUM('- 29 -'!$B21,'- 29 -'!$D21,'- 30 -'!$D21)</f>
        <v>2077237</v>
      </c>
      <c r="C21" s="285">
        <v>931829</v>
      </c>
      <c r="D21" s="361">
        <f t="shared" ca="1" si="0"/>
        <v>2.2292040707039598</v>
      </c>
      <c r="E21" s="163"/>
    </row>
    <row r="22" spans="1:5" ht="14.1" customHeight="1" x14ac:dyDescent="0.2">
      <c r="A22" s="19" t="s">
        <v>120</v>
      </c>
      <c r="B22" s="20">
        <f>SUM('- 29 -'!$B22,'- 29 -'!$D22,'- 30 -'!$D22)</f>
        <v>557016</v>
      </c>
      <c r="C22" s="20">
        <v>166368</v>
      </c>
      <c r="D22" s="362">
        <f t="shared" ca="1" si="0"/>
        <v>3.3480957876514714</v>
      </c>
      <c r="E22" s="163"/>
    </row>
    <row r="23" spans="1:5" ht="14.1" customHeight="1" x14ac:dyDescent="0.2">
      <c r="A23" s="284" t="s">
        <v>121</v>
      </c>
      <c r="B23" s="285">
        <f>SUM('- 29 -'!$B23,'- 29 -'!$D23,'- 30 -'!$D23)</f>
        <v>1705585</v>
      </c>
      <c r="C23" s="285">
        <v>912783</v>
      </c>
      <c r="D23" s="361">
        <f t="shared" ca="1" si="0"/>
        <v>1.8685547386399615</v>
      </c>
      <c r="E23" s="163"/>
    </row>
    <row r="24" spans="1:5" ht="14.1" customHeight="1" x14ac:dyDescent="0.2">
      <c r="A24" s="19" t="s">
        <v>122</v>
      </c>
      <c r="B24" s="20">
        <f>SUM('- 29 -'!$B24,'- 29 -'!$D24,'- 30 -'!$D24)</f>
        <v>2482661</v>
      </c>
      <c r="C24" s="20">
        <v>1049398</v>
      </c>
      <c r="D24" s="362">
        <f t="shared" ca="1" si="0"/>
        <v>2.3657954370029293</v>
      </c>
      <c r="E24" s="163"/>
    </row>
    <row r="25" spans="1:5" ht="14.1" customHeight="1" x14ac:dyDescent="0.2">
      <c r="A25" s="284" t="s">
        <v>123</v>
      </c>
      <c r="B25" s="285">
        <f>SUM('- 29 -'!$B25,'- 29 -'!$D25,'- 30 -'!$D25)</f>
        <v>4136422</v>
      </c>
      <c r="C25" s="285">
        <v>842222</v>
      </c>
      <c r="D25" s="361">
        <f t="shared" ca="1" si="0"/>
        <v>4.9113202932243514</v>
      </c>
      <c r="E25" s="163"/>
    </row>
    <row r="26" spans="1:5" ht="14.1" customHeight="1" x14ac:dyDescent="0.2">
      <c r="A26" s="19" t="s">
        <v>124</v>
      </c>
      <c r="B26" s="20">
        <f>SUM('- 29 -'!$B26,'- 29 -'!$D26,'- 30 -'!$D26)</f>
        <v>3127108</v>
      </c>
      <c r="C26" s="20">
        <v>1364243</v>
      </c>
      <c r="D26" s="362">
        <f t="shared" ca="1" si="0"/>
        <v>2.2921928131571869</v>
      </c>
      <c r="E26" s="163"/>
    </row>
    <row r="27" spans="1:5" ht="14.1" customHeight="1" x14ac:dyDescent="0.2">
      <c r="A27" s="284" t="s">
        <v>125</v>
      </c>
      <c r="B27" s="285">
        <f>SUM('- 29 -'!$B27,'- 29 -'!$D27,'- 30 -'!$D27)</f>
        <v>130770</v>
      </c>
      <c r="C27" s="366" t="s">
        <v>95</v>
      </c>
      <c r="D27" s="363" t="str">
        <f t="shared" ca="1" si="0"/>
        <v/>
      </c>
      <c r="E27" s="163"/>
    </row>
    <row r="28" spans="1:5" ht="14.1" customHeight="1" x14ac:dyDescent="0.2">
      <c r="A28" s="19" t="s">
        <v>126</v>
      </c>
      <c r="B28" s="20">
        <f>SUM('- 29 -'!$B28,'- 29 -'!$D28,'- 30 -'!$D28)</f>
        <v>1892247</v>
      </c>
      <c r="C28" s="20">
        <v>1137127</v>
      </c>
      <c r="D28" s="362">
        <f t="shared" ca="1" si="0"/>
        <v>1.6640595113826335</v>
      </c>
      <c r="E28" s="163"/>
    </row>
    <row r="29" spans="1:5" ht="14.1" customHeight="1" x14ac:dyDescent="0.2">
      <c r="A29" s="284" t="s">
        <v>127</v>
      </c>
      <c r="B29" s="285">
        <f>SUM('- 29 -'!$B29,'- 29 -'!$D29,'- 30 -'!$D29)</f>
        <v>2944218</v>
      </c>
      <c r="C29" s="285">
        <v>690689</v>
      </c>
      <c r="D29" s="361">
        <f t="shared" ca="1" si="0"/>
        <v>4.2627260604990092</v>
      </c>
      <c r="E29" s="163"/>
    </row>
    <row r="30" spans="1:5" ht="14.1" customHeight="1" x14ac:dyDescent="0.2">
      <c r="A30" s="19" t="s">
        <v>128</v>
      </c>
      <c r="B30" s="20">
        <f>SUM('- 29 -'!$B30,'- 29 -'!$D30,'- 30 -'!$D30)</f>
        <v>1123806</v>
      </c>
      <c r="C30" s="20">
        <v>666832</v>
      </c>
      <c r="D30" s="362">
        <f t="shared" ca="1" si="0"/>
        <v>1.6852910478201406</v>
      </c>
      <c r="E30" s="163"/>
    </row>
    <row r="31" spans="1:5" ht="14.1" customHeight="1" x14ac:dyDescent="0.2">
      <c r="A31" s="284" t="s">
        <v>129</v>
      </c>
      <c r="B31" s="285">
        <f>SUM('- 29 -'!$B31,'- 29 -'!$D31,'- 30 -'!$D31)</f>
        <v>1080237</v>
      </c>
      <c r="C31" s="285">
        <v>577346</v>
      </c>
      <c r="D31" s="361">
        <f t="shared" ca="1" si="0"/>
        <v>1.8710392035278671</v>
      </c>
      <c r="E31" s="163"/>
    </row>
    <row r="32" spans="1:5" ht="14.1" customHeight="1" x14ac:dyDescent="0.2">
      <c r="A32" s="19" t="s">
        <v>130</v>
      </c>
      <c r="B32" s="20">
        <f>SUM('- 29 -'!$B32,'- 29 -'!$D32,'- 30 -'!$D32)</f>
        <v>2204771</v>
      </c>
      <c r="C32" s="20">
        <v>1082161</v>
      </c>
      <c r="D32" s="362">
        <f t="shared" ca="1" si="0"/>
        <v>2.0373779871941422</v>
      </c>
      <c r="E32" s="163"/>
    </row>
    <row r="33" spans="1:5" ht="14.1" customHeight="1" x14ac:dyDescent="0.2">
      <c r="A33" s="284" t="s">
        <v>131</v>
      </c>
      <c r="B33" s="285">
        <f>SUM('- 29 -'!$B33,'- 29 -'!$D33,'- 30 -'!$D33)</f>
        <v>2280727</v>
      </c>
      <c r="C33" s="285">
        <v>1555230</v>
      </c>
      <c r="D33" s="361">
        <f t="shared" ca="1" si="0"/>
        <v>1.4664885579624878</v>
      </c>
      <c r="E33" s="163"/>
    </row>
    <row r="34" spans="1:5" ht="14.1" customHeight="1" x14ac:dyDescent="0.2">
      <c r="A34" s="19" t="s">
        <v>132</v>
      </c>
      <c r="B34" s="20">
        <f>SUM('- 29 -'!$B34,'- 29 -'!$D34,'- 30 -'!$D34)</f>
        <v>2787248</v>
      </c>
      <c r="C34" s="20">
        <v>1367034</v>
      </c>
      <c r="D34" s="362">
        <f t="shared" ca="1" si="0"/>
        <v>2.0389017390935411</v>
      </c>
      <c r="E34" s="163"/>
    </row>
    <row r="35" spans="1:5" ht="14.1" customHeight="1" x14ac:dyDescent="0.2">
      <c r="A35" s="284" t="s">
        <v>133</v>
      </c>
      <c r="B35" s="285">
        <f>SUM('- 29 -'!$B35,'- 29 -'!$D35,'- 30 -'!$D35)</f>
        <v>4698126</v>
      </c>
      <c r="C35" s="285">
        <v>1314137</v>
      </c>
      <c r="D35" s="361">
        <f t="shared" ca="1" si="0"/>
        <v>3.5750656134025598</v>
      </c>
      <c r="E35" s="163"/>
    </row>
    <row r="36" spans="1:5" ht="14.1" customHeight="1" x14ac:dyDescent="0.2">
      <c r="A36" s="19" t="s">
        <v>134</v>
      </c>
      <c r="B36" s="20">
        <f>SUM('- 29 -'!$B36,'- 29 -'!$D36,'- 30 -'!$D36)</f>
        <v>1584814</v>
      </c>
      <c r="C36" s="20">
        <v>786730</v>
      </c>
      <c r="D36" s="362">
        <f t="shared" ca="1" si="0"/>
        <v>2.0144318889580926</v>
      </c>
      <c r="E36" s="163"/>
    </row>
    <row r="37" spans="1:5" ht="14.1" customHeight="1" x14ac:dyDescent="0.2">
      <c r="A37" s="284" t="s">
        <v>135</v>
      </c>
      <c r="B37" s="285">
        <f>SUM('- 29 -'!$B37,'- 29 -'!$D37,'- 30 -'!$D37)</f>
        <v>3171465</v>
      </c>
      <c r="C37" s="285">
        <v>1371638</v>
      </c>
      <c r="D37" s="361">
        <f t="shared" ca="1" si="0"/>
        <v>2.3121734743423557</v>
      </c>
      <c r="E37" s="163"/>
    </row>
    <row r="38" spans="1:5" ht="14.1" customHeight="1" x14ac:dyDescent="0.2">
      <c r="A38" s="19" t="s">
        <v>136</v>
      </c>
      <c r="B38" s="20">
        <f>SUM('- 29 -'!$B38,'- 29 -'!$D38,'- 30 -'!$D38)</f>
        <v>3781010</v>
      </c>
      <c r="C38" s="20">
        <v>874353</v>
      </c>
      <c r="D38" s="362">
        <f t="shared" ca="1" si="0"/>
        <v>4.3243518350140047</v>
      </c>
      <c r="E38" s="163"/>
    </row>
    <row r="39" spans="1:5" ht="14.1" customHeight="1" x14ac:dyDescent="0.2">
      <c r="A39" s="284" t="s">
        <v>137</v>
      </c>
      <c r="B39" s="285">
        <f>SUM('- 29 -'!$B39,'- 29 -'!$D39,'- 30 -'!$D39)</f>
        <v>1918846</v>
      </c>
      <c r="C39" s="285">
        <v>1001507</v>
      </c>
      <c r="D39" s="361">
        <f t="shared" ca="1" si="0"/>
        <v>1.9159586503139769</v>
      </c>
      <c r="E39" s="163"/>
    </row>
    <row r="40" spans="1:5" ht="14.1" customHeight="1" x14ac:dyDescent="0.2">
      <c r="A40" s="19" t="s">
        <v>138</v>
      </c>
      <c r="B40" s="20">
        <f>SUM('- 29 -'!$B40,'- 29 -'!$D40,'- 30 -'!$D40)</f>
        <v>2556219</v>
      </c>
      <c r="C40" s="20">
        <v>695620</v>
      </c>
      <c r="D40" s="362">
        <f t="shared" ca="1" si="0"/>
        <v>3.6747347689830656</v>
      </c>
      <c r="E40" s="163"/>
    </row>
    <row r="41" spans="1:5" ht="14.1" customHeight="1" x14ac:dyDescent="0.2">
      <c r="A41" s="284" t="s">
        <v>139</v>
      </c>
      <c r="B41" s="285">
        <f>SUM('- 29 -'!$B41,'- 29 -'!$D41,'- 30 -'!$D41)</f>
        <v>5198977</v>
      </c>
      <c r="C41" s="285">
        <v>2479710</v>
      </c>
      <c r="D41" s="361">
        <f t="shared" ca="1" si="0"/>
        <v>2.0966068612861988</v>
      </c>
      <c r="E41" s="163"/>
    </row>
    <row r="42" spans="1:5" ht="14.1" customHeight="1" x14ac:dyDescent="0.2">
      <c r="A42" s="19" t="s">
        <v>140</v>
      </c>
      <c r="B42" s="20">
        <f>SUM('- 29 -'!$B42,'- 29 -'!$D42,'- 30 -'!$D42)</f>
        <v>1648590</v>
      </c>
      <c r="C42" s="20">
        <v>712585</v>
      </c>
      <c r="D42" s="362">
        <f t="shared" ca="1" si="0"/>
        <v>2.3135345257057054</v>
      </c>
      <c r="E42" s="163"/>
    </row>
    <row r="43" spans="1:5" ht="14.1" customHeight="1" x14ac:dyDescent="0.2">
      <c r="A43" s="284" t="s">
        <v>141</v>
      </c>
      <c r="B43" s="285">
        <f>SUM('- 29 -'!$B43,'- 29 -'!$D43,'- 30 -'!$D43)</f>
        <v>1178040</v>
      </c>
      <c r="C43" s="285">
        <v>604283</v>
      </c>
      <c r="D43" s="361">
        <f t="shared" ca="1" si="0"/>
        <v>1.9494839338521852</v>
      </c>
      <c r="E43" s="163"/>
    </row>
    <row r="44" spans="1:5" ht="14.1" customHeight="1" x14ac:dyDescent="0.2">
      <c r="A44" s="19" t="s">
        <v>142</v>
      </c>
      <c r="B44" s="20">
        <f>SUM('- 29 -'!$B44,'- 29 -'!$D44,'- 30 -'!$D44)</f>
        <v>1056929</v>
      </c>
      <c r="C44" s="20">
        <v>878297</v>
      </c>
      <c r="D44" s="362">
        <f t="shared" ca="1" si="0"/>
        <v>1.2033845043305396</v>
      </c>
      <c r="E44" s="163"/>
    </row>
    <row r="45" spans="1:5" ht="14.1" customHeight="1" x14ac:dyDescent="0.2">
      <c r="A45" s="284" t="s">
        <v>143</v>
      </c>
      <c r="B45" s="285">
        <f>SUM('- 29 -'!$B45,'- 29 -'!$D45,'- 30 -'!$D45)</f>
        <v>809802</v>
      </c>
      <c r="C45" s="285">
        <v>285691</v>
      </c>
      <c r="D45" s="361">
        <f t="shared" ca="1" si="0"/>
        <v>2.83453801484821</v>
      </c>
      <c r="E45" s="163"/>
    </row>
    <row r="46" spans="1:5" ht="14.1" customHeight="1" x14ac:dyDescent="0.2">
      <c r="A46" s="19" t="s">
        <v>144</v>
      </c>
      <c r="B46" s="20">
        <f>SUM('- 29 -'!$B46,'- 29 -'!$D46,'- 30 -'!$D46)</f>
        <v>6928384</v>
      </c>
      <c r="C46" s="20">
        <v>1221957</v>
      </c>
      <c r="D46" s="362">
        <f t="shared" ca="1" si="0"/>
        <v>5.6699081882586704</v>
      </c>
      <c r="E46" s="163"/>
    </row>
    <row r="47" spans="1:5" ht="5.0999999999999996" customHeight="1" x14ac:dyDescent="0.2">
      <c r="A47"/>
      <c r="B47" s="22"/>
      <c r="C47" s="367"/>
      <c r="D47" s="364"/>
      <c r="E47" s="163"/>
    </row>
    <row r="48" spans="1:5" ht="14.1" customHeight="1" x14ac:dyDescent="0.2">
      <c r="A48" s="286" t="s">
        <v>145</v>
      </c>
      <c r="B48" s="287">
        <f>SUM(B11:B46)</f>
        <v>96167268</v>
      </c>
      <c r="C48" s="287">
        <f>SUM(C11:C46)</f>
        <v>33325744.647500001</v>
      </c>
      <c r="D48" s="365">
        <f>B48/C48</f>
        <v>2.8856749944284945</v>
      </c>
      <c r="E48" s="163"/>
    </row>
    <row r="49" spans="1:5" ht="5.0999999999999996" customHeight="1" x14ac:dyDescent="0.2">
      <c r="A49" s="21" t="s">
        <v>7</v>
      </c>
      <c r="B49" s="22"/>
      <c r="C49" s="367"/>
      <c r="D49" s="364"/>
    </row>
    <row r="50" spans="1:5" ht="14.1" customHeight="1" x14ac:dyDescent="0.2">
      <c r="A50" s="19" t="s">
        <v>146</v>
      </c>
      <c r="B50" s="20">
        <f>SUM('- 29 -'!$B50,'- 29 -'!$D50,'- 30 -'!$D50)</f>
        <v>44486</v>
      </c>
      <c r="C50" s="37" t="s">
        <v>95</v>
      </c>
      <c r="D50" s="362" t="str">
        <f ca="1">IF(AND(CELL("type",C50)="v",C50&gt;0),B50/C50,"")</f>
        <v/>
      </c>
      <c r="E50" s="163"/>
    </row>
    <row r="51" spans="1:5" ht="14.1" customHeight="1" x14ac:dyDescent="0.2">
      <c r="A51" s="284" t="s">
        <v>609</v>
      </c>
      <c r="B51" s="285">
        <f>SUM('- 29 -'!$B51,'- 29 -'!$D51,'- 30 -'!$D51)</f>
        <v>0</v>
      </c>
      <c r="C51" s="285">
        <v>0</v>
      </c>
      <c r="D51" s="361" t="str">
        <f ca="1">IF(AND(CELL("type",C51)="v",C51&gt;0),B51/C51,"")</f>
        <v/>
      </c>
      <c r="E51" s="163"/>
    </row>
    <row r="52" spans="1:5" ht="50.1" customHeight="1" x14ac:dyDescent="0.2"/>
  </sheetData>
  <mergeCells count="3">
    <mergeCell ref="C8:C9"/>
    <mergeCell ref="D8:D9"/>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I54"/>
  <sheetViews>
    <sheetView showGridLines="0" showZeros="0" workbookViewId="0"/>
  </sheetViews>
  <sheetFormatPr defaultColWidth="15.83203125" defaultRowHeight="12" x14ac:dyDescent="0.2"/>
  <cols>
    <col min="1" max="1" width="32.83203125" style="2" customWidth="1"/>
    <col min="2" max="2" width="18.83203125" style="2" customWidth="1"/>
    <col min="3" max="3" width="15.83203125" style="2"/>
    <col min="4" max="4" width="15.83203125" style="2" customWidth="1"/>
    <col min="5" max="5" width="15.83203125" style="2"/>
    <col min="6" max="6" width="17.83203125" style="2" customWidth="1"/>
    <col min="7" max="8" width="15.83203125" style="2"/>
    <col min="9" max="9" width="0" style="2" hidden="1" customWidth="1"/>
    <col min="10" max="16384" width="15.83203125" style="2"/>
  </cols>
  <sheetData>
    <row r="1" spans="1:9" ht="6.95" customHeight="1" x14ac:dyDescent="0.2">
      <c r="A1" s="7"/>
      <c r="B1" s="8"/>
      <c r="C1" s="8"/>
      <c r="D1" s="8"/>
      <c r="E1" s="8"/>
      <c r="F1" s="8"/>
    </row>
    <row r="2" spans="1:9" ht="15.95" customHeight="1" x14ac:dyDescent="0.2">
      <c r="A2" s="9" t="s">
        <v>262</v>
      </c>
      <c r="B2" s="143"/>
      <c r="C2" s="158"/>
      <c r="D2" s="10"/>
      <c r="E2" s="10"/>
      <c r="F2" s="10"/>
      <c r="G2" s="10"/>
    </row>
    <row r="3" spans="1:9" ht="15.95" customHeight="1" x14ac:dyDescent="0.2">
      <c r="A3" s="11" t="str">
        <f>OPYEAR</f>
        <v>OPERATING FUND 2016/2017 ACTUAL</v>
      </c>
      <c r="B3" s="11"/>
      <c r="C3" s="159"/>
      <c r="D3" s="12"/>
      <c r="E3" s="12"/>
      <c r="F3" s="12"/>
      <c r="G3" s="12"/>
    </row>
    <row r="4" spans="1:9" ht="15.95" customHeight="1" x14ac:dyDescent="0.2">
      <c r="B4" s="8"/>
      <c r="C4" s="8"/>
      <c r="D4" s="69"/>
      <c r="E4" s="8"/>
      <c r="F4" s="8"/>
    </row>
    <row r="5" spans="1:9" ht="15.95" customHeight="1" x14ac:dyDescent="0.2">
      <c r="B5" s="8"/>
      <c r="C5" s="8"/>
      <c r="D5" s="8"/>
      <c r="E5" s="8"/>
      <c r="F5" s="8"/>
    </row>
    <row r="6" spans="1:9" ht="15.95" customHeight="1" x14ac:dyDescent="0.2">
      <c r="B6" s="368"/>
      <c r="C6" s="369"/>
      <c r="D6" s="370"/>
      <c r="E6" s="371"/>
      <c r="F6" s="703" t="s">
        <v>512</v>
      </c>
      <c r="G6" s="704"/>
    </row>
    <row r="7" spans="1:9" ht="15.95" customHeight="1" x14ac:dyDescent="0.2">
      <c r="B7" s="700" t="s">
        <v>29</v>
      </c>
      <c r="C7" s="701"/>
      <c r="D7" s="701"/>
      <c r="E7" s="702"/>
      <c r="F7" s="705"/>
      <c r="G7" s="706"/>
      <c r="I7" s="4" t="s">
        <v>31</v>
      </c>
    </row>
    <row r="8" spans="1:9" ht="15.95" customHeight="1" x14ac:dyDescent="0.2">
      <c r="A8" s="67"/>
      <c r="B8" s="76" t="s">
        <v>7</v>
      </c>
      <c r="C8" s="596" t="s">
        <v>513</v>
      </c>
      <c r="D8" s="596" t="s">
        <v>514</v>
      </c>
      <c r="E8" s="596" t="s">
        <v>515</v>
      </c>
      <c r="F8" s="76" t="s">
        <v>7</v>
      </c>
      <c r="G8" s="596" t="s">
        <v>516</v>
      </c>
      <c r="I8" s="4" t="s">
        <v>41</v>
      </c>
    </row>
    <row r="9" spans="1:9" ht="15.95" customHeight="1" x14ac:dyDescent="0.2">
      <c r="A9" s="35" t="s">
        <v>42</v>
      </c>
      <c r="B9" s="77" t="s">
        <v>43</v>
      </c>
      <c r="C9" s="603"/>
      <c r="D9" s="598"/>
      <c r="E9" s="598"/>
      <c r="F9" s="77" t="s">
        <v>43</v>
      </c>
      <c r="G9" s="598"/>
      <c r="I9" s="415" t="str">
        <f>+Data!AB9</f>
        <v>Sept. 30 / 16</v>
      </c>
    </row>
    <row r="10" spans="1:9" ht="5.0999999999999996" customHeight="1" x14ac:dyDescent="0.2">
      <c r="A10" s="6"/>
    </row>
    <row r="11" spans="1:9" ht="14.1" customHeight="1" x14ac:dyDescent="0.2">
      <c r="A11" s="284" t="s">
        <v>110</v>
      </c>
      <c r="B11" s="285">
        <f>'- 31 -'!D11</f>
        <v>1507026</v>
      </c>
      <c r="C11" s="285">
        <f>B11/'- 7 -'!E11</f>
        <v>853.35560588901467</v>
      </c>
      <c r="D11" s="361">
        <f>B11/I11</f>
        <v>5.5083574266509254</v>
      </c>
      <c r="E11" s="285">
        <f>I11/'- 7 -'!E11</f>
        <v>154.92015855039637</v>
      </c>
      <c r="F11" s="285">
        <f>'- 31 -'!F11</f>
        <v>234577</v>
      </c>
      <c r="G11" s="361">
        <f>F11/I11</f>
        <v>0.85740654777787118</v>
      </c>
      <c r="I11" s="2">
        <f>+Data!AB11</f>
        <v>273589</v>
      </c>
    </row>
    <row r="12" spans="1:9" ht="14.1" customHeight="1" x14ac:dyDescent="0.2">
      <c r="A12" s="19" t="s">
        <v>111</v>
      </c>
      <c r="B12" s="20">
        <f>'- 31 -'!D12</f>
        <v>2568437</v>
      </c>
      <c r="C12" s="20">
        <f>B12/'- 7 -'!E12</f>
        <v>1211.784105116652</v>
      </c>
      <c r="D12" s="362">
        <f t="shared" ref="D12:D46" si="0">B12/I12</f>
        <v>6.5779098713325688</v>
      </c>
      <c r="E12" s="20">
        <f>I12/'- 7 -'!E12</f>
        <v>184.22023542733126</v>
      </c>
      <c r="F12" s="20">
        <f>'- 31 -'!F12</f>
        <v>301650</v>
      </c>
      <c r="G12" s="362">
        <f t="shared" ref="G12:G48" si="1">F12/I12</f>
        <v>0.77254241108015076</v>
      </c>
      <c r="I12" s="2">
        <f>+Data!AB12</f>
        <v>390464</v>
      </c>
    </row>
    <row r="13" spans="1:9" ht="14.1" customHeight="1" x14ac:dyDescent="0.2">
      <c r="A13" s="284" t="s">
        <v>112</v>
      </c>
      <c r="B13" s="285">
        <f>'- 31 -'!D13</f>
        <v>6646010</v>
      </c>
      <c r="C13" s="285">
        <f>B13/'- 7 -'!E13</f>
        <v>793.69558726936168</v>
      </c>
      <c r="D13" s="361">
        <f t="shared" si="0"/>
        <v>6.3343293255369542</v>
      </c>
      <c r="E13" s="285">
        <f>I13/'- 7 -'!E13</f>
        <v>125.30065086284111</v>
      </c>
      <c r="F13" s="285">
        <f>'- 31 -'!F13</f>
        <v>872859</v>
      </c>
      <c r="G13" s="361">
        <f t="shared" si="1"/>
        <v>0.83192417115816264</v>
      </c>
      <c r="I13" s="2">
        <f>+Data!AB13</f>
        <v>1049205</v>
      </c>
    </row>
    <row r="14" spans="1:9" ht="14.1" customHeight="1" x14ac:dyDescent="0.2">
      <c r="A14" s="19" t="s">
        <v>359</v>
      </c>
      <c r="B14" s="20">
        <f>'- 31 -'!D14</f>
        <v>7593948</v>
      </c>
      <c r="C14" s="37">
        <f>B14/'- 7 -'!E14</f>
        <v>1384.9633604102758</v>
      </c>
      <c r="D14" s="362">
        <f t="shared" si="0"/>
        <v>7.73710770384423</v>
      </c>
      <c r="E14" s="37">
        <f>I14/'- 7 -'!E14</f>
        <v>179.00272471612979</v>
      </c>
      <c r="F14" s="37">
        <f>'- 31 -'!F14</f>
        <v>1114077</v>
      </c>
      <c r="G14" s="362">
        <f t="shared" si="1"/>
        <v>1.1350793736506581</v>
      </c>
      <c r="I14" s="2">
        <f>+Data!AB14</f>
        <v>981497</v>
      </c>
    </row>
    <row r="15" spans="1:9" ht="14.1" customHeight="1" x14ac:dyDescent="0.2">
      <c r="A15" s="284" t="s">
        <v>113</v>
      </c>
      <c r="B15" s="285">
        <f>'- 31 -'!D15</f>
        <v>1964452</v>
      </c>
      <c r="C15" s="285">
        <f>B15/'- 7 -'!E15</f>
        <v>1403.9822755860491</v>
      </c>
      <c r="D15" s="361">
        <f t="shared" si="0"/>
        <v>6.7448069382738094</v>
      </c>
      <c r="E15" s="285">
        <f>I15/'- 7 -'!E15</f>
        <v>208.15751858204689</v>
      </c>
      <c r="F15" s="285">
        <f>'- 31 -'!F15</f>
        <v>267939</v>
      </c>
      <c r="G15" s="361">
        <f t="shared" si="1"/>
        <v>0.91994959725875014</v>
      </c>
      <c r="I15" s="2">
        <f>+Data!AB15</f>
        <v>291254</v>
      </c>
    </row>
    <row r="16" spans="1:9" ht="14.1" customHeight="1" x14ac:dyDescent="0.2">
      <c r="A16" s="19" t="s">
        <v>114</v>
      </c>
      <c r="B16" s="20">
        <f>'- 31 -'!D16</f>
        <v>1974548</v>
      </c>
      <c r="C16" s="20">
        <f>B16/'- 7 -'!E16</f>
        <v>2184.7178579331712</v>
      </c>
      <c r="D16" s="362">
        <f t="shared" si="0"/>
        <v>9.4140408591384777</v>
      </c>
      <c r="E16" s="20">
        <f>I16/'- 7 -'!E16</f>
        <v>232.07014826289003</v>
      </c>
      <c r="F16" s="20">
        <f>'- 31 -'!F16</f>
        <v>458075</v>
      </c>
      <c r="G16" s="362">
        <f t="shared" si="1"/>
        <v>2.1839614770316338</v>
      </c>
      <c r="I16" s="2">
        <f>+Data!AB16</f>
        <v>209745</v>
      </c>
    </row>
    <row r="17" spans="1:9" ht="14.1" customHeight="1" x14ac:dyDescent="0.2">
      <c r="A17" s="284" t="s">
        <v>115</v>
      </c>
      <c r="B17" s="285">
        <f>'- 31 -'!D17</f>
        <v>1525434</v>
      </c>
      <c r="C17" s="285">
        <f>B17/'- 7 -'!E17</f>
        <v>1091.5449016100179</v>
      </c>
      <c r="D17" s="361">
        <f t="shared" si="0"/>
        <v>5.8182033160044702</v>
      </c>
      <c r="E17" s="285">
        <f>I17/'- 7 -'!E17</f>
        <v>187.60858676207513</v>
      </c>
      <c r="F17" s="285">
        <f>'- 31 -'!F17</f>
        <v>132388</v>
      </c>
      <c r="G17" s="361">
        <f t="shared" si="1"/>
        <v>0.50494501931856761</v>
      </c>
      <c r="I17" s="2">
        <f>+Data!AB17</f>
        <v>262183</v>
      </c>
    </row>
    <row r="18" spans="1:9" ht="14.1" customHeight="1" x14ac:dyDescent="0.2">
      <c r="A18" s="19" t="s">
        <v>116</v>
      </c>
      <c r="B18" s="20">
        <f>'- 31 -'!D18</f>
        <v>16929479</v>
      </c>
      <c r="C18" s="20">
        <f>B18/'- 7 -'!E18</f>
        <v>2777.6467210290571</v>
      </c>
      <c r="D18" s="362">
        <f>B18/I18</f>
        <v>11.794316260424845</v>
      </c>
      <c r="E18" s="20">
        <f>I18/'- 7 -'!E18</f>
        <v>235.50722735401732</v>
      </c>
      <c r="F18" s="20">
        <f>'- 31 -'!F18</f>
        <v>1783161</v>
      </c>
      <c r="G18" s="362">
        <f>F18/I18</f>
        <v>1.2422806854986752</v>
      </c>
      <c r="I18" s="2">
        <f>+Data!AB18</f>
        <v>1435393</v>
      </c>
    </row>
    <row r="19" spans="1:9" ht="14.1" customHeight="1" x14ac:dyDescent="0.2">
      <c r="A19" s="284" t="s">
        <v>117</v>
      </c>
      <c r="B19" s="285">
        <f>'- 31 -'!D19</f>
        <v>3814914</v>
      </c>
      <c r="C19" s="285">
        <f>B19/'- 7 -'!E19</f>
        <v>870.78612188997943</v>
      </c>
      <c r="D19" s="361">
        <f t="shared" si="0"/>
        <v>5.8909948361911351</v>
      </c>
      <c r="E19" s="285">
        <f>I19/'- 7 -'!E19</f>
        <v>147.8164802556494</v>
      </c>
      <c r="F19" s="285">
        <f>'- 31 -'!F19</f>
        <v>216281</v>
      </c>
      <c r="G19" s="361">
        <f t="shared" si="1"/>
        <v>0.3339813831101448</v>
      </c>
      <c r="I19" s="2">
        <f>+Data!AB19</f>
        <v>647584</v>
      </c>
    </row>
    <row r="20" spans="1:9" ht="14.1" customHeight="1" x14ac:dyDescent="0.2">
      <c r="A20" s="19" t="s">
        <v>118</v>
      </c>
      <c r="B20" s="20">
        <f>'- 31 -'!D20</f>
        <v>7040849</v>
      </c>
      <c r="C20" s="20">
        <f>B20/'- 7 -'!E20</f>
        <v>922.12022788291529</v>
      </c>
      <c r="D20" s="362">
        <f t="shared" si="0"/>
        <v>6.7353406820049377</v>
      </c>
      <c r="E20" s="20">
        <f>I20/'- 7 -'!E20</f>
        <v>136.90773361273</v>
      </c>
      <c r="F20" s="20">
        <f>'- 31 -'!F20</f>
        <v>990692</v>
      </c>
      <c r="G20" s="362">
        <f t="shared" si="1"/>
        <v>0.94770504678297118</v>
      </c>
      <c r="I20" s="2">
        <f>+Data!AB20</f>
        <v>1045359</v>
      </c>
    </row>
    <row r="21" spans="1:9" ht="14.1" customHeight="1" x14ac:dyDescent="0.2">
      <c r="A21" s="284" t="s">
        <v>119</v>
      </c>
      <c r="B21" s="285">
        <f>'- 31 -'!D21</f>
        <v>2869057</v>
      </c>
      <c r="C21" s="285">
        <f>B21/'- 7 -'!E21</f>
        <v>1046.2991867546771</v>
      </c>
      <c r="D21" s="361">
        <f t="shared" si="0"/>
        <v>6.2461305347857277</v>
      </c>
      <c r="E21" s="285">
        <f>I21/'- 7 -'!E21</f>
        <v>167.51157871704169</v>
      </c>
      <c r="F21" s="285">
        <f>'- 31 -'!F21</f>
        <v>419409</v>
      </c>
      <c r="G21" s="361">
        <f t="shared" si="1"/>
        <v>0.91308167159591014</v>
      </c>
      <c r="I21" s="2">
        <f>+Data!AB21</f>
        <v>459333.5</v>
      </c>
    </row>
    <row r="22" spans="1:9" ht="14.1" customHeight="1" x14ac:dyDescent="0.2">
      <c r="A22" s="19" t="s">
        <v>120</v>
      </c>
      <c r="B22" s="20">
        <f>'- 31 -'!D22</f>
        <v>2113479</v>
      </c>
      <c r="C22" s="20">
        <f>B22/'- 7 -'!E22</f>
        <v>1387.1613284326595</v>
      </c>
      <c r="D22" s="362">
        <f t="shared" si="0"/>
        <v>6.6269256215450127</v>
      </c>
      <c r="E22" s="20">
        <f>I22/'- 7 -'!E22</f>
        <v>209.32200052507221</v>
      </c>
      <c r="F22" s="20">
        <f>'- 31 -'!F22</f>
        <v>153301</v>
      </c>
      <c r="G22" s="362">
        <f t="shared" si="1"/>
        <v>0.48068342515277984</v>
      </c>
      <c r="I22" s="2">
        <f>+Data!AB22</f>
        <v>318923</v>
      </c>
    </row>
    <row r="23" spans="1:9" ht="14.1" customHeight="1" x14ac:dyDescent="0.2">
      <c r="A23" s="284" t="s">
        <v>121</v>
      </c>
      <c r="B23" s="285">
        <f>'- 31 -'!D23</f>
        <v>1191211</v>
      </c>
      <c r="C23" s="285">
        <f>B23/'- 7 -'!E23</f>
        <v>1068.8299685957829</v>
      </c>
      <c r="D23" s="361">
        <f t="shared" si="0"/>
        <v>5.1068825667935656</v>
      </c>
      <c r="E23" s="285">
        <f>I23/'- 7 -'!E23</f>
        <v>209.29205921938089</v>
      </c>
      <c r="F23" s="285">
        <f>'- 31 -'!F23</f>
        <v>173154</v>
      </c>
      <c r="G23" s="361">
        <f t="shared" si="1"/>
        <v>0.7423346023253421</v>
      </c>
      <c r="I23" s="2">
        <f>+Data!AB23</f>
        <v>233256</v>
      </c>
    </row>
    <row r="24" spans="1:9" ht="14.1" customHeight="1" x14ac:dyDescent="0.2">
      <c r="A24" s="19" t="s">
        <v>122</v>
      </c>
      <c r="B24" s="20">
        <f>'- 31 -'!D24</f>
        <v>5437122</v>
      </c>
      <c r="C24" s="20">
        <f>B24/'- 7 -'!E24</f>
        <v>1377.0792492971659</v>
      </c>
      <c r="D24" s="362">
        <f t="shared" si="0"/>
        <v>7.6393149639820779</v>
      </c>
      <c r="E24" s="20">
        <f>I24/'- 7 -'!E24</f>
        <v>180.26213813540005</v>
      </c>
      <c r="F24" s="20">
        <f>'- 31 -'!F24</f>
        <v>402120</v>
      </c>
      <c r="G24" s="362">
        <f t="shared" si="1"/>
        <v>0.56499032637422386</v>
      </c>
      <c r="I24" s="2">
        <f>+Data!AB24</f>
        <v>711729</v>
      </c>
    </row>
    <row r="25" spans="1:9" ht="14.1" customHeight="1" x14ac:dyDescent="0.2">
      <c r="A25" s="284" t="s">
        <v>123</v>
      </c>
      <c r="B25" s="285">
        <f>'- 31 -'!D25</f>
        <v>16531138</v>
      </c>
      <c r="C25" s="285">
        <f>B25/'- 7 -'!E25</f>
        <v>1153.1287188108176</v>
      </c>
      <c r="D25" s="361">
        <f t="shared" si="0"/>
        <v>7.3617552636489263</v>
      </c>
      <c r="E25" s="285">
        <f>I25/'- 7 -'!E25</f>
        <v>156.63774161371103</v>
      </c>
      <c r="F25" s="285">
        <f>'- 31 -'!F25</f>
        <v>918749</v>
      </c>
      <c r="G25" s="361">
        <f t="shared" si="1"/>
        <v>0.40914335641757915</v>
      </c>
      <c r="I25" s="2">
        <f>+Data!AB25</f>
        <v>2245543</v>
      </c>
    </row>
    <row r="26" spans="1:9" ht="14.1" customHeight="1" x14ac:dyDescent="0.2">
      <c r="A26" s="19" t="s">
        <v>124</v>
      </c>
      <c r="B26" s="20">
        <f>'- 31 -'!D26</f>
        <v>4562657</v>
      </c>
      <c r="C26" s="20">
        <f>B26/'- 7 -'!E26</f>
        <v>1493.0160340314137</v>
      </c>
      <c r="D26" s="362">
        <f t="shared" si="0"/>
        <v>5.9270449712458904</v>
      </c>
      <c r="E26" s="20">
        <f>I26/'- 7 -'!E26</f>
        <v>251.89888743455498</v>
      </c>
      <c r="F26" s="20">
        <f>'- 31 -'!F26</f>
        <v>313741</v>
      </c>
      <c r="G26" s="362">
        <f t="shared" si="1"/>
        <v>0.4075601160296855</v>
      </c>
      <c r="I26" s="2">
        <f>+Data!AB26</f>
        <v>769803</v>
      </c>
    </row>
    <row r="27" spans="1:9" ht="14.1" customHeight="1" x14ac:dyDescent="0.2">
      <c r="A27" s="284" t="s">
        <v>125</v>
      </c>
      <c r="B27" s="285">
        <f>'- 31 -'!D27</f>
        <v>3987109</v>
      </c>
      <c r="C27" s="366">
        <f>B27/'- 7 -'!E27</f>
        <v>1334.4854823864109</v>
      </c>
      <c r="D27" s="363">
        <f t="shared" si="0"/>
        <v>8.5723816465316887</v>
      </c>
      <c r="E27" s="366">
        <f>I27/'- 7 -'!E27</f>
        <v>155.67266337544973</v>
      </c>
      <c r="F27" s="366">
        <f>'- 31 -'!F27</f>
        <v>267622</v>
      </c>
      <c r="G27" s="363">
        <f t="shared" si="1"/>
        <v>0.57539383071997863</v>
      </c>
      <c r="I27" s="2">
        <f>+Data!AB27</f>
        <v>465111</v>
      </c>
    </row>
    <row r="28" spans="1:9" ht="14.1" customHeight="1" x14ac:dyDescent="0.2">
      <c r="A28" s="19" t="s">
        <v>126</v>
      </c>
      <c r="B28" s="20">
        <f>'- 31 -'!D28</f>
        <v>2918045</v>
      </c>
      <c r="C28" s="20">
        <f>B28/'- 7 -'!E28</f>
        <v>1486.523178807947</v>
      </c>
      <c r="D28" s="362">
        <f t="shared" si="0"/>
        <v>6.6233251848169763</v>
      </c>
      <c r="E28" s="20">
        <f>I28/'- 7 -'!E28</f>
        <v>224.43759551706572</v>
      </c>
      <c r="F28" s="20">
        <f>'- 31 -'!F28</f>
        <v>154604</v>
      </c>
      <c r="G28" s="362">
        <f t="shared" si="1"/>
        <v>0.35091733228015459</v>
      </c>
      <c r="I28" s="2">
        <f>+Data!AB28+Data!AC28</f>
        <v>440571</v>
      </c>
    </row>
    <row r="29" spans="1:9" ht="14.1" customHeight="1" x14ac:dyDescent="0.2">
      <c r="A29" s="284" t="s">
        <v>127</v>
      </c>
      <c r="B29" s="285">
        <f>'- 31 -'!D29</f>
        <v>14134365</v>
      </c>
      <c r="C29" s="285">
        <f>B29/'- 7 -'!E29</f>
        <v>1080.4107044578977</v>
      </c>
      <c r="D29" s="361">
        <f t="shared" si="0"/>
        <v>8.1563627970050643</v>
      </c>
      <c r="E29" s="285">
        <f>I29/'- 7 -'!E29</f>
        <v>132.46231578303676</v>
      </c>
      <c r="F29" s="285">
        <f>'- 31 -'!F29</f>
        <v>3069609</v>
      </c>
      <c r="G29" s="361">
        <f t="shared" si="1"/>
        <v>1.7713455573668797</v>
      </c>
      <c r="I29" s="2">
        <f>+Data!AB29</f>
        <v>1732925</v>
      </c>
    </row>
    <row r="30" spans="1:9" ht="14.1" customHeight="1" x14ac:dyDescent="0.2">
      <c r="A30" s="19" t="s">
        <v>128</v>
      </c>
      <c r="B30" s="20">
        <f>'- 31 -'!D30</f>
        <v>1239130</v>
      </c>
      <c r="C30" s="20">
        <f>B30/'- 7 -'!E30</f>
        <v>1240.1930225907922</v>
      </c>
      <c r="D30" s="362">
        <f t="shared" si="0"/>
        <v>5.908356180712838</v>
      </c>
      <c r="E30" s="20">
        <f>I30/'- 7 -'!E30</f>
        <v>209.90491850157278</v>
      </c>
      <c r="F30" s="20">
        <f>'- 31 -'!F30</f>
        <v>104876</v>
      </c>
      <c r="G30" s="362">
        <f t="shared" si="1"/>
        <v>0.50006437000834425</v>
      </c>
      <c r="I30" s="2">
        <f>+Data!AB30</f>
        <v>209725</v>
      </c>
    </row>
    <row r="31" spans="1:9" ht="14.1" customHeight="1" x14ac:dyDescent="0.2">
      <c r="A31" s="284" t="s">
        <v>129</v>
      </c>
      <c r="B31" s="285">
        <f>'- 31 -'!D31</f>
        <v>3461183</v>
      </c>
      <c r="C31" s="285">
        <f>B31/'- 7 -'!E31</f>
        <v>1063.9972333230864</v>
      </c>
      <c r="D31" s="361">
        <f t="shared" si="0"/>
        <v>5.7067768720404155</v>
      </c>
      <c r="E31" s="285">
        <f>I31/'- 7 -'!E31</f>
        <v>186.44451275745465</v>
      </c>
      <c r="F31" s="285">
        <f>'- 31 -'!F31</f>
        <v>224424</v>
      </c>
      <c r="G31" s="361">
        <f t="shared" si="1"/>
        <v>0.37002888686636859</v>
      </c>
      <c r="I31" s="2">
        <f>+Data!AB31</f>
        <v>606504</v>
      </c>
    </row>
    <row r="32" spans="1:9" ht="14.1" customHeight="1" x14ac:dyDescent="0.2">
      <c r="A32" s="19" t="s">
        <v>130</v>
      </c>
      <c r="B32" s="20">
        <f>'- 31 -'!D32</f>
        <v>2342558</v>
      </c>
      <c r="C32" s="20">
        <f>B32/'- 7 -'!E32</f>
        <v>1087.9425970648338</v>
      </c>
      <c r="D32" s="362">
        <f t="shared" si="0"/>
        <v>6.1022230558030248</v>
      </c>
      <c r="E32" s="20">
        <f>I32/'- 7 -'!E32</f>
        <v>178.28627159576445</v>
      </c>
      <c r="F32" s="20">
        <f>'- 31 -'!F32</f>
        <v>231307</v>
      </c>
      <c r="G32" s="362">
        <f t="shared" si="1"/>
        <v>0.60254085848402916</v>
      </c>
      <c r="I32" s="2">
        <f>+Data!AB32</f>
        <v>383886</v>
      </c>
    </row>
    <row r="33" spans="1:9" ht="14.1" customHeight="1" x14ac:dyDescent="0.2">
      <c r="A33" s="284" t="s">
        <v>131</v>
      </c>
      <c r="B33" s="285">
        <f>'- 31 -'!D33</f>
        <v>2690076</v>
      </c>
      <c r="C33" s="285">
        <f>B33/'- 7 -'!E33</f>
        <v>1332.050507551374</v>
      </c>
      <c r="D33" s="361">
        <f t="shared" si="0"/>
        <v>5.4681342805744428</v>
      </c>
      <c r="E33" s="285">
        <f>I33/'- 7 -'!E33</f>
        <v>243.602376825947</v>
      </c>
      <c r="F33" s="285">
        <f>'- 31 -'!F33</f>
        <v>352324</v>
      </c>
      <c r="G33" s="361">
        <f t="shared" si="1"/>
        <v>0.71617119451982392</v>
      </c>
      <c r="I33" s="2">
        <f>+Data!AB33</f>
        <v>491955</v>
      </c>
    </row>
    <row r="34" spans="1:9" ht="14.1" customHeight="1" x14ac:dyDescent="0.2">
      <c r="A34" s="19" t="s">
        <v>132</v>
      </c>
      <c r="B34" s="20">
        <f>'- 31 -'!D34</f>
        <v>2176267</v>
      </c>
      <c r="C34" s="20">
        <f>B34/'- 7 -'!E34</f>
        <v>1069.471227087326</v>
      </c>
      <c r="D34" s="362">
        <f t="shared" si="0"/>
        <v>6.0612146565361735</v>
      </c>
      <c r="E34" s="20">
        <f>I34/'- 7 -'!E34</f>
        <v>176.44503415401246</v>
      </c>
      <c r="F34" s="20">
        <f>'- 31 -'!F34</f>
        <v>255880</v>
      </c>
      <c r="G34" s="362">
        <f t="shared" si="1"/>
        <v>0.71266237383302511</v>
      </c>
      <c r="I34" s="2">
        <f>+Data!AB34</f>
        <v>359048</v>
      </c>
    </row>
    <row r="35" spans="1:9" ht="14.1" customHeight="1" x14ac:dyDescent="0.2">
      <c r="A35" s="284" t="s">
        <v>133</v>
      </c>
      <c r="B35" s="285">
        <f>'- 31 -'!D35</f>
        <v>17911899</v>
      </c>
      <c r="C35" s="285">
        <f>B35/'- 7 -'!E35</f>
        <v>1147.6101358277806</v>
      </c>
      <c r="D35" s="361">
        <f t="shared" si="0"/>
        <v>7.3388338022559916</v>
      </c>
      <c r="E35" s="285">
        <f>I35/'- 7 -'!E35</f>
        <v>156.375</v>
      </c>
      <c r="F35" s="285">
        <f>'- 31 -'!F35</f>
        <v>655780</v>
      </c>
      <c r="G35" s="361">
        <f t="shared" si="1"/>
        <v>0.26868510317322769</v>
      </c>
      <c r="I35" s="2">
        <f>+Data!AB35</f>
        <v>2440701</v>
      </c>
    </row>
    <row r="36" spans="1:9" ht="14.1" customHeight="1" x14ac:dyDescent="0.2">
      <c r="A36" s="19" t="s">
        <v>134</v>
      </c>
      <c r="B36" s="20">
        <f>'- 31 -'!D36</f>
        <v>2408438</v>
      </c>
      <c r="C36" s="20">
        <f>B36/'- 7 -'!E36</f>
        <v>1444.3406296851574</v>
      </c>
      <c r="D36" s="362">
        <f t="shared" si="0"/>
        <v>7.4819679464676812</v>
      </c>
      <c r="E36" s="20">
        <f>I36/'- 7 -'!E36</f>
        <v>193.04287856071963</v>
      </c>
      <c r="F36" s="20">
        <f>'- 31 -'!F36</f>
        <v>128988</v>
      </c>
      <c r="G36" s="362">
        <f t="shared" si="1"/>
        <v>0.40070953932755304</v>
      </c>
      <c r="I36" s="2">
        <f>+Data!AB36</f>
        <v>321899</v>
      </c>
    </row>
    <row r="37" spans="1:9" ht="14.1" customHeight="1" x14ac:dyDescent="0.2">
      <c r="A37" s="284" t="s">
        <v>135</v>
      </c>
      <c r="B37" s="285">
        <f>'- 31 -'!D37</f>
        <v>3963478</v>
      </c>
      <c r="C37" s="285">
        <f>B37/'- 7 -'!E37</f>
        <v>947.52043987568732</v>
      </c>
      <c r="D37" s="361">
        <f t="shared" si="0"/>
        <v>6.7849765901173491</v>
      </c>
      <c r="E37" s="285">
        <f>I37/'- 7 -'!E37</f>
        <v>139.64977289027013</v>
      </c>
      <c r="F37" s="285">
        <f>'- 31 -'!F37</f>
        <v>551714</v>
      </c>
      <c r="G37" s="361">
        <f t="shared" si="1"/>
        <v>0.94446508204158142</v>
      </c>
      <c r="I37" s="2">
        <f>+Data!AB37</f>
        <v>584155</v>
      </c>
    </row>
    <row r="38" spans="1:9" ht="14.1" customHeight="1" x14ac:dyDescent="0.2">
      <c r="A38" s="19" t="s">
        <v>136</v>
      </c>
      <c r="B38" s="20">
        <f>'- 31 -'!D38</f>
        <v>10491739</v>
      </c>
      <c r="C38" s="20">
        <f>B38/'- 7 -'!E38</f>
        <v>954.33235096145108</v>
      </c>
      <c r="D38" s="362">
        <f t="shared" si="0"/>
        <v>7.6234141712418948</v>
      </c>
      <c r="E38" s="20">
        <f>I38/'- 7 -'!E38</f>
        <v>125.18437664865652</v>
      </c>
      <c r="F38" s="20">
        <f>'- 31 -'!F38</f>
        <v>553074</v>
      </c>
      <c r="G38" s="362">
        <f t="shared" si="1"/>
        <v>0.40186971572066743</v>
      </c>
      <c r="I38" s="2">
        <f>+Data!AB38</f>
        <v>1376252</v>
      </c>
    </row>
    <row r="39" spans="1:9" ht="14.1" customHeight="1" x14ac:dyDescent="0.2">
      <c r="A39" s="284" t="s">
        <v>137</v>
      </c>
      <c r="B39" s="285">
        <f>'- 31 -'!D39</f>
        <v>2019846</v>
      </c>
      <c r="C39" s="285">
        <f>B39/'- 7 -'!E39</f>
        <v>1346.5640000000001</v>
      </c>
      <c r="D39" s="361">
        <f t="shared" si="0"/>
        <v>6.4254071060241191</v>
      </c>
      <c r="E39" s="285">
        <f>I39/'- 7 -'!E39</f>
        <v>209.56866666666667</v>
      </c>
      <c r="F39" s="285">
        <f>'- 31 -'!F39</f>
        <v>93264</v>
      </c>
      <c r="G39" s="361">
        <f t="shared" si="1"/>
        <v>0.29668557322500499</v>
      </c>
      <c r="I39" s="2">
        <f>+Data!AB39</f>
        <v>314353</v>
      </c>
    </row>
    <row r="40" spans="1:9" ht="14.1" customHeight="1" x14ac:dyDescent="0.2">
      <c r="A40" s="19" t="s">
        <v>138</v>
      </c>
      <c r="B40" s="20">
        <f>'- 31 -'!D40</f>
        <v>7846664</v>
      </c>
      <c r="C40" s="20">
        <f>B40/'- 7 -'!E40</f>
        <v>949.91332138879477</v>
      </c>
      <c r="D40" s="362">
        <f t="shared" si="0"/>
        <v>5.5145382158331024</v>
      </c>
      <c r="E40" s="20">
        <f>I40/'- 7 -'!E40</f>
        <v>172.25618614110698</v>
      </c>
      <c r="F40" s="20">
        <f>'- 31 -'!F40</f>
        <v>1245216</v>
      </c>
      <c r="G40" s="362">
        <f t="shared" si="1"/>
        <v>0.87512237289207639</v>
      </c>
      <c r="I40" s="2">
        <f>+Data!AB40</f>
        <v>1422905</v>
      </c>
    </row>
    <row r="41" spans="1:9" ht="14.1" customHeight="1" x14ac:dyDescent="0.2">
      <c r="A41" s="284" t="s">
        <v>139</v>
      </c>
      <c r="B41" s="285">
        <f>'- 31 -'!D41</f>
        <v>4882349</v>
      </c>
      <c r="C41" s="285">
        <f>B41/'- 7 -'!E41</f>
        <v>1095.0653807334306</v>
      </c>
      <c r="D41" s="361">
        <f t="shared" si="0"/>
        <v>6.7091222149239131</v>
      </c>
      <c r="E41" s="285">
        <f>I41/'- 7 -'!E41</f>
        <v>163.22036559380959</v>
      </c>
      <c r="F41" s="285">
        <f>'- 31 -'!F41</f>
        <v>404990</v>
      </c>
      <c r="G41" s="361">
        <f t="shared" si="1"/>
        <v>0.55652052031143928</v>
      </c>
      <c r="I41" s="2">
        <f>+Data!AB41</f>
        <v>727718</v>
      </c>
    </row>
    <row r="42" spans="1:9" ht="14.1" customHeight="1" x14ac:dyDescent="0.2">
      <c r="A42" s="19" t="s">
        <v>140</v>
      </c>
      <c r="B42" s="20">
        <f>'- 31 -'!D42</f>
        <v>2100832</v>
      </c>
      <c r="C42" s="20">
        <f>B42/'- 7 -'!E42</f>
        <v>1523.8880023211955</v>
      </c>
      <c r="D42" s="362">
        <f t="shared" si="0"/>
        <v>6.3710420413225899</v>
      </c>
      <c r="E42" s="20">
        <f>I42/'- 7 -'!E42</f>
        <v>239.1897577252285</v>
      </c>
      <c r="F42" s="20">
        <f>'- 31 -'!F42</f>
        <v>149196</v>
      </c>
      <c r="G42" s="362">
        <f t="shared" si="1"/>
        <v>0.4524559738223547</v>
      </c>
      <c r="I42" s="2">
        <f>+Data!AB42</f>
        <v>329747</v>
      </c>
    </row>
    <row r="43" spans="1:9" ht="14.1" customHeight="1" x14ac:dyDescent="0.2">
      <c r="A43" s="284" t="s">
        <v>141</v>
      </c>
      <c r="B43" s="285">
        <f>'- 31 -'!D43</f>
        <v>823791</v>
      </c>
      <c r="C43" s="285">
        <f>B43/'- 7 -'!E43</f>
        <v>855.70894359613578</v>
      </c>
      <c r="D43" s="361">
        <f t="shared" si="0"/>
        <v>4.5115006736108834</v>
      </c>
      <c r="E43" s="285">
        <f>I43/'- 7 -'!E43</f>
        <v>189.67279526332189</v>
      </c>
      <c r="F43" s="285">
        <f>'- 31 -'!F43</f>
        <v>125493</v>
      </c>
      <c r="G43" s="361">
        <f t="shared" si="1"/>
        <v>0.68726382545263365</v>
      </c>
      <c r="I43" s="2">
        <f>+Data!AB43</f>
        <v>182598</v>
      </c>
    </row>
    <row r="44" spans="1:9" ht="14.1" customHeight="1" x14ac:dyDescent="0.2">
      <c r="A44" s="19" t="s">
        <v>142</v>
      </c>
      <c r="B44" s="20">
        <f>'- 31 -'!D44</f>
        <v>935453</v>
      </c>
      <c r="C44" s="20">
        <f>B44/'- 7 -'!E44</f>
        <v>1348.8868060562365</v>
      </c>
      <c r="D44" s="362">
        <f t="shared" si="0"/>
        <v>5.1766284648630103</v>
      </c>
      <c r="E44" s="20">
        <f>I44/'- 7 -'!E44</f>
        <v>260.57245854361935</v>
      </c>
      <c r="F44" s="20">
        <f>'- 31 -'!F44</f>
        <v>66771</v>
      </c>
      <c r="G44" s="362">
        <f t="shared" si="1"/>
        <v>0.36949869125158408</v>
      </c>
      <c r="I44" s="2">
        <f>+Data!AB44</f>
        <v>180707</v>
      </c>
    </row>
    <row r="45" spans="1:9" ht="14.1" customHeight="1" x14ac:dyDescent="0.2">
      <c r="A45" s="284" t="s">
        <v>143</v>
      </c>
      <c r="B45" s="285">
        <f>'- 31 -'!D45</f>
        <v>1523165</v>
      </c>
      <c r="C45" s="285">
        <f>B45/'- 7 -'!E45</f>
        <v>903.95548961424333</v>
      </c>
      <c r="D45" s="361">
        <f t="shared" si="0"/>
        <v>7.1489620343469706</v>
      </c>
      <c r="E45" s="285">
        <f>I45/'- 7 -'!E45</f>
        <v>126.44569732937686</v>
      </c>
      <c r="F45" s="285">
        <f>'- 31 -'!F45</f>
        <v>205634</v>
      </c>
      <c r="G45" s="361">
        <f t="shared" si="1"/>
        <v>0.96514143836741595</v>
      </c>
      <c r="I45" s="2">
        <f>+Data!AB45</f>
        <v>213061</v>
      </c>
    </row>
    <row r="46" spans="1:9" ht="14.1" customHeight="1" x14ac:dyDescent="0.2">
      <c r="A46" s="19" t="s">
        <v>144</v>
      </c>
      <c r="B46" s="20">
        <f>'- 31 -'!D46</f>
        <v>37607348</v>
      </c>
      <c r="C46" s="20">
        <f>B46/'- 7 -'!E46</f>
        <v>1258.6548411928111</v>
      </c>
      <c r="D46" s="362">
        <f t="shared" si="0"/>
        <v>7.4637716595629149</v>
      </c>
      <c r="E46" s="20">
        <f>I46/'- 7 -'!E46</f>
        <v>168.63522875598247</v>
      </c>
      <c r="F46" s="20">
        <f>'- 31 -'!F46</f>
        <v>5058695</v>
      </c>
      <c r="G46" s="362">
        <f t="shared" si="1"/>
        <v>1.0039778496312108</v>
      </c>
      <c r="I46" s="2">
        <f>+Data!AB46</f>
        <v>5038652</v>
      </c>
    </row>
    <row r="47" spans="1:9" ht="5.0999999999999996" customHeight="1" x14ac:dyDescent="0.2">
      <c r="A47"/>
      <c r="B47" s="22"/>
      <c r="C47" s="367"/>
      <c r="D47" s="364"/>
      <c r="E47" s="367"/>
      <c r="F47" s="367"/>
      <c r="G47" s="364"/>
      <c r="I47"/>
    </row>
    <row r="48" spans="1:9" ht="14.1" customHeight="1" x14ac:dyDescent="0.2">
      <c r="A48" s="286" t="s">
        <v>145</v>
      </c>
      <c r="B48" s="287">
        <f>SUM(B11:B46)</f>
        <v>209733496</v>
      </c>
      <c r="C48" s="287">
        <f>B48/'- 7 -'!E48</f>
        <v>1191.4145313680451</v>
      </c>
      <c r="D48" s="365">
        <f>B48/I48</f>
        <v>7.2079971176740303</v>
      </c>
      <c r="E48" s="287">
        <f>I48/'- 7 -'!E48</f>
        <v>165.29065035926459</v>
      </c>
      <c r="F48" s="287">
        <f>SUM(F11:F46)</f>
        <v>22651634</v>
      </c>
      <c r="G48" s="365">
        <f t="shared" si="1"/>
        <v>0.77847800039821513</v>
      </c>
      <c r="I48" s="2">
        <f>+Data!AB48</f>
        <v>29097333.5</v>
      </c>
    </row>
    <row r="49" spans="1:9" ht="5.0999999999999996" customHeight="1" x14ac:dyDescent="0.2">
      <c r="A49" s="21" t="s">
        <v>7</v>
      </c>
      <c r="B49" s="22"/>
      <c r="C49" s="367"/>
      <c r="D49" s="364"/>
      <c r="E49" s="367"/>
      <c r="F49" s="367"/>
      <c r="G49" s="364"/>
    </row>
    <row r="50" spans="1:9" ht="14.1" customHeight="1" x14ac:dyDescent="0.2">
      <c r="A50" s="19" t="s">
        <v>146</v>
      </c>
      <c r="B50" s="20">
        <f>'- 31 -'!D50</f>
        <v>407431</v>
      </c>
      <c r="C50" s="20">
        <f>B50/'- 7 -'!E50</f>
        <v>2628.5870967741935</v>
      </c>
      <c r="D50" s="362">
        <f>B50/I50</f>
        <v>5.57696835304424</v>
      </c>
      <c r="E50" s="20">
        <f>I50/'- 7 -'!E50</f>
        <v>471.3290322580645</v>
      </c>
      <c r="F50" s="20">
        <f>'- 31 -'!F50</f>
        <v>0</v>
      </c>
      <c r="G50" s="362">
        <f>F50/I50</f>
        <v>0</v>
      </c>
      <c r="I50" s="2">
        <f>+Data!AB50</f>
        <v>73056</v>
      </c>
    </row>
    <row r="51" spans="1:9" ht="14.1" customHeight="1" x14ac:dyDescent="0.2">
      <c r="A51" s="284" t="s">
        <v>609</v>
      </c>
      <c r="B51" s="285">
        <f>'- 31 -'!D51</f>
        <v>3516651</v>
      </c>
      <c r="C51" s="285">
        <f>B51/'- 7 -'!E51</f>
        <v>2973.9120507399575</v>
      </c>
      <c r="D51" s="363" t="s">
        <v>95</v>
      </c>
      <c r="E51" s="285">
        <f>I51/'- 7 -'!E51</f>
        <v>0</v>
      </c>
      <c r="F51" s="285">
        <f>'- 31 -'!F51</f>
        <v>4316</v>
      </c>
      <c r="G51" s="363" t="s">
        <v>95</v>
      </c>
    </row>
    <row r="52" spans="1:9" ht="50.1" customHeight="1" x14ac:dyDescent="0.2">
      <c r="A52" s="23"/>
      <c r="B52" s="23"/>
      <c r="C52" s="23"/>
      <c r="D52" s="23"/>
      <c r="E52" s="23"/>
      <c r="F52" s="23"/>
      <c r="G52" s="23"/>
      <c r="I52" s="221"/>
    </row>
    <row r="53" spans="1:9" ht="15" customHeight="1" x14ac:dyDescent="0.2">
      <c r="A53" s="133" t="s">
        <v>636</v>
      </c>
    </row>
    <row r="54" spans="1:9" ht="12" customHeight="1" x14ac:dyDescent="0.2">
      <c r="A54" s="25" t="s">
        <v>347</v>
      </c>
    </row>
  </sheetData>
  <mergeCells count="6">
    <mergeCell ref="B7:E7"/>
    <mergeCell ref="F6:G7"/>
    <mergeCell ref="C8:C9"/>
    <mergeCell ref="D8:D9"/>
    <mergeCell ref="E8:E9"/>
    <mergeCell ref="G8:G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J56"/>
  <sheetViews>
    <sheetView showGridLines="0" showZeros="0" workbookViewId="0"/>
  </sheetViews>
  <sheetFormatPr defaultColWidth="15.83203125" defaultRowHeight="12" x14ac:dyDescent="0.2"/>
  <cols>
    <col min="1" max="1" width="32.83203125" style="2" customWidth="1"/>
    <col min="2" max="2" width="13.83203125" style="2" customWidth="1"/>
    <col min="3" max="3" width="8.83203125" style="2" customWidth="1"/>
    <col min="4" max="4" width="9.83203125" style="2" customWidth="1"/>
    <col min="5" max="5" width="14.83203125" style="2" customWidth="1"/>
    <col min="6" max="6" width="8.83203125" style="2" customWidth="1"/>
    <col min="7" max="7" width="9.83203125" style="2" customWidth="1"/>
    <col min="8" max="8" width="14.83203125" style="2" customWidth="1"/>
    <col min="9" max="9" width="8.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284</v>
      </c>
      <c r="C2" s="10"/>
      <c r="D2" s="10"/>
      <c r="E2" s="10"/>
      <c r="F2" s="10"/>
      <c r="G2" s="10"/>
      <c r="H2" s="73"/>
      <c r="I2" s="153"/>
      <c r="J2" s="81"/>
    </row>
    <row r="3" spans="1:10" ht="15.95" customHeight="1" x14ac:dyDescent="0.2">
      <c r="A3" s="541"/>
      <c r="B3" s="11" t="str">
        <f>OPYEAR</f>
        <v>OPERATING FUND 2016/2017 ACTUAL</v>
      </c>
      <c r="C3" s="12"/>
      <c r="D3" s="12"/>
      <c r="E3" s="12"/>
      <c r="F3" s="12"/>
      <c r="G3" s="12"/>
      <c r="H3" s="75"/>
      <c r="I3" s="75"/>
      <c r="J3" s="66"/>
    </row>
    <row r="4" spans="1:10" ht="15.95" customHeight="1" x14ac:dyDescent="0.2">
      <c r="B4" s="8"/>
      <c r="C4" s="8"/>
      <c r="D4" s="8"/>
      <c r="E4" s="8"/>
      <c r="F4" s="8"/>
      <c r="G4" s="8"/>
      <c r="H4" s="8"/>
      <c r="I4" s="8"/>
      <c r="J4" s="8"/>
    </row>
    <row r="5" spans="1:10" ht="14.1" customHeight="1" x14ac:dyDescent="0.2"/>
    <row r="6" spans="1:10" ht="18" customHeight="1" x14ac:dyDescent="0.2">
      <c r="B6" s="393" t="s">
        <v>265</v>
      </c>
      <c r="C6" s="155"/>
      <c r="D6" s="156"/>
      <c r="E6" s="156"/>
      <c r="F6" s="156"/>
      <c r="G6" s="156"/>
      <c r="H6" s="156"/>
      <c r="I6" s="156"/>
      <c r="J6" s="157"/>
    </row>
    <row r="7" spans="1:10" ht="15.95" customHeight="1" x14ac:dyDescent="0.2">
      <c r="B7" s="707" t="s">
        <v>72</v>
      </c>
      <c r="C7" s="708"/>
      <c r="D7" s="709"/>
      <c r="E7" s="707" t="s">
        <v>67</v>
      </c>
      <c r="F7" s="708"/>
      <c r="G7" s="709"/>
      <c r="H7" s="707" t="s">
        <v>274</v>
      </c>
      <c r="I7" s="708"/>
      <c r="J7" s="709"/>
    </row>
    <row r="8" spans="1:10" ht="15.95" customHeight="1" x14ac:dyDescent="0.2">
      <c r="A8" s="67"/>
      <c r="B8" s="139"/>
      <c r="C8" s="68"/>
      <c r="D8" s="596" t="s">
        <v>477</v>
      </c>
      <c r="E8" s="139"/>
      <c r="F8" s="137"/>
      <c r="G8" s="596" t="s">
        <v>477</v>
      </c>
      <c r="H8" s="139"/>
      <c r="I8" s="137"/>
      <c r="J8" s="596" t="s">
        <v>477</v>
      </c>
    </row>
    <row r="9" spans="1:10" ht="15.95" customHeight="1" x14ac:dyDescent="0.2">
      <c r="A9" s="35" t="s">
        <v>42</v>
      </c>
      <c r="B9" s="77" t="s">
        <v>43</v>
      </c>
      <c r="C9" s="77" t="s">
        <v>44</v>
      </c>
      <c r="D9" s="598"/>
      <c r="E9" s="77" t="s">
        <v>43</v>
      </c>
      <c r="F9" s="77" t="s">
        <v>44</v>
      </c>
      <c r="G9" s="598"/>
      <c r="H9" s="77" t="s">
        <v>43</v>
      </c>
      <c r="I9" s="77" t="s">
        <v>44</v>
      </c>
      <c r="J9" s="598"/>
    </row>
    <row r="10" spans="1:10" ht="5.0999999999999996" customHeight="1" x14ac:dyDescent="0.2">
      <c r="A10" s="6"/>
    </row>
    <row r="11" spans="1:10" ht="14.1" customHeight="1" x14ac:dyDescent="0.2">
      <c r="A11" s="284" t="s">
        <v>110</v>
      </c>
      <c r="B11" s="285">
        <v>167818</v>
      </c>
      <c r="C11" s="291">
        <f>B11/'- 3 -'!$D11*100</f>
        <v>0.87780933588711141</v>
      </c>
      <c r="D11" s="285">
        <f>B11/'- 7 -'!$E11</f>
        <v>95.027180067950169</v>
      </c>
      <c r="E11" s="285">
        <v>171601</v>
      </c>
      <c r="F11" s="291">
        <f>E11/'- 3 -'!$D11*100</f>
        <v>0.89759715791848438</v>
      </c>
      <c r="G11" s="285">
        <f>E11/'- 7 -'!$E11</f>
        <v>97.169309173272936</v>
      </c>
      <c r="H11" s="285">
        <v>181926</v>
      </c>
      <c r="I11" s="291">
        <f>H11/'- 3 -'!$D11*100</f>
        <v>0.95160436449366947</v>
      </c>
      <c r="J11" s="285">
        <f>H11/'- 7 -'!$E11</f>
        <v>103.0158550396376</v>
      </c>
    </row>
    <row r="12" spans="1:10" ht="14.1" customHeight="1" x14ac:dyDescent="0.2">
      <c r="A12" s="19" t="s">
        <v>111</v>
      </c>
      <c r="B12" s="20">
        <v>347465</v>
      </c>
      <c r="C12" s="70">
        <f>B12/'- 3 -'!$D12*100</f>
        <v>1.0397310945653033</v>
      </c>
      <c r="D12" s="20">
        <f>B12/'- 7 -'!$E12</f>
        <v>163.93338208582009</v>
      </c>
      <c r="E12" s="20">
        <v>162967</v>
      </c>
      <c r="F12" s="70">
        <f>E12/'- 3 -'!$D12*100</f>
        <v>0.48765158300267303</v>
      </c>
      <c r="G12" s="20">
        <f>E12/'- 7 -'!$E12</f>
        <v>76.887546884951988</v>
      </c>
      <c r="H12" s="20">
        <v>677273</v>
      </c>
      <c r="I12" s="70">
        <f>H12/'- 3 -'!$D12*100</f>
        <v>2.0266265598248072</v>
      </c>
      <c r="J12" s="20">
        <f>H12/'- 7 -'!$E12</f>
        <v>319.53622231133966</v>
      </c>
    </row>
    <row r="13" spans="1:10" ht="14.1" customHeight="1" x14ac:dyDescent="0.2">
      <c r="A13" s="284" t="s">
        <v>112</v>
      </c>
      <c r="B13" s="285">
        <v>500410</v>
      </c>
      <c r="C13" s="291">
        <f>B13/'- 3 -'!$D13*100</f>
        <v>0.52173865536163755</v>
      </c>
      <c r="D13" s="285">
        <f>B13/'- 7 -'!$E13</f>
        <v>59.761151250970322</v>
      </c>
      <c r="E13" s="285">
        <v>288353</v>
      </c>
      <c r="F13" s="291">
        <f>E13/'- 3 -'!$D13*100</f>
        <v>0.30064328548489094</v>
      </c>
      <c r="G13" s="285">
        <f>E13/'- 7 -'!$E13</f>
        <v>34.436376664477223</v>
      </c>
      <c r="H13" s="285">
        <v>1587212</v>
      </c>
      <c r="I13" s="291">
        <f>H13/'- 3 -'!$D13*100</f>
        <v>1.6548627218757728</v>
      </c>
      <c r="J13" s="285">
        <f>H13/'- 7 -'!$E13</f>
        <v>189.55180032244581</v>
      </c>
    </row>
    <row r="14" spans="1:10" ht="14.1" customHeight="1" x14ac:dyDescent="0.2">
      <c r="A14" s="19" t="s">
        <v>359</v>
      </c>
      <c r="B14" s="20">
        <v>404044</v>
      </c>
      <c r="C14" s="70">
        <f>B14/'- 3 -'!$D14*100</f>
        <v>0.48716468678896702</v>
      </c>
      <c r="D14" s="20">
        <f>B14/'- 7 -'!$E14</f>
        <v>73.688433999496638</v>
      </c>
      <c r="E14" s="20">
        <v>430454</v>
      </c>
      <c r="F14" s="70">
        <f>E14/'- 3 -'!$D14*100</f>
        <v>0.51900780134603652</v>
      </c>
      <c r="G14" s="20">
        <f>E14/'- 7 -'!$E14</f>
        <v>78.50501719817477</v>
      </c>
      <c r="H14" s="20">
        <v>671831</v>
      </c>
      <c r="I14" s="70">
        <f>H14/'- 3 -'!$D14*100</f>
        <v>0.81004132889021618</v>
      </c>
      <c r="J14" s="20">
        <f>H14/'- 7 -'!$E14</f>
        <v>122.52669091068256</v>
      </c>
    </row>
    <row r="15" spans="1:10" ht="14.1" customHeight="1" x14ac:dyDescent="0.2">
      <c r="A15" s="284" t="s">
        <v>113</v>
      </c>
      <c r="B15" s="285">
        <v>129681</v>
      </c>
      <c r="C15" s="291">
        <f>B15/'- 3 -'!$D15*100</f>
        <v>0.6644740762572402</v>
      </c>
      <c r="D15" s="285">
        <f>B15/'- 7 -'!$E15</f>
        <v>92.682246998284725</v>
      </c>
      <c r="E15" s="285">
        <v>178937</v>
      </c>
      <c r="F15" s="291">
        <f>E15/'- 3 -'!$D15*100</f>
        <v>0.91685750251186993</v>
      </c>
      <c r="G15" s="285">
        <f>E15/'- 7 -'!$E15</f>
        <v>127.88522012578616</v>
      </c>
      <c r="H15" s="285">
        <v>170674</v>
      </c>
      <c r="I15" s="291">
        <f>H15/'- 3 -'!$D15*100</f>
        <v>0.87451861484047955</v>
      </c>
      <c r="J15" s="285">
        <f>H15/'- 7 -'!$E15</f>
        <v>121.97970268724985</v>
      </c>
    </row>
    <row r="16" spans="1:10" ht="14.1" customHeight="1" x14ac:dyDescent="0.2">
      <c r="A16" s="19" t="s">
        <v>114</v>
      </c>
      <c r="B16" s="20">
        <v>99118</v>
      </c>
      <c r="C16" s="70">
        <f>B16/'- 3 -'!$D16*100</f>
        <v>0.68373292599172941</v>
      </c>
      <c r="D16" s="20">
        <f>B16/'- 7 -'!$E16</f>
        <v>109.66806815667184</v>
      </c>
      <c r="E16" s="20">
        <v>64414</v>
      </c>
      <c r="F16" s="70">
        <f>E16/'- 3 -'!$D16*100</f>
        <v>0.44433879512128227</v>
      </c>
      <c r="G16" s="20">
        <f>E16/'- 7 -'!$E16</f>
        <v>71.270192520469138</v>
      </c>
      <c r="H16" s="20">
        <v>177365</v>
      </c>
      <c r="I16" s="70">
        <f>H16/'- 3 -'!$D16*100</f>
        <v>1.2234941223443077</v>
      </c>
      <c r="J16" s="20">
        <f>H16/'- 7 -'!$E16</f>
        <v>196.24363797300288</v>
      </c>
    </row>
    <row r="17" spans="1:10" ht="14.1" customHeight="1" x14ac:dyDescent="0.2">
      <c r="A17" s="284" t="s">
        <v>115</v>
      </c>
      <c r="B17" s="285">
        <v>109172</v>
      </c>
      <c r="C17" s="291">
        <f>B17/'- 3 -'!$D17*100</f>
        <v>0.60833767878821043</v>
      </c>
      <c r="D17" s="285">
        <f>B17/'- 7 -'!$E17</f>
        <v>78.119499105545614</v>
      </c>
      <c r="E17" s="285">
        <v>113540</v>
      </c>
      <c r="F17" s="291">
        <f>E17/'- 3 -'!$D17*100</f>
        <v>0.63267742690079332</v>
      </c>
      <c r="G17" s="285">
        <f>E17/'- 7 -'!$E17</f>
        <v>81.24508050089446</v>
      </c>
      <c r="H17" s="285">
        <v>227291</v>
      </c>
      <c r="I17" s="291">
        <f>H17/'- 3 -'!$D17*100</f>
        <v>1.2665306062859629</v>
      </c>
      <c r="J17" s="285">
        <f>H17/'- 7 -'!$E17</f>
        <v>162.64114490161001</v>
      </c>
    </row>
    <row r="18" spans="1:10" ht="14.1" customHeight="1" x14ac:dyDescent="0.2">
      <c r="A18" s="19" t="s">
        <v>116</v>
      </c>
      <c r="B18" s="20">
        <v>368243</v>
      </c>
      <c r="C18" s="70">
        <f>B18/'- 3 -'!$D18*100</f>
        <v>0.28622746291890622</v>
      </c>
      <c r="D18" s="20">
        <f>B18/'- 7 -'!$E18</f>
        <v>60.418218510558013</v>
      </c>
      <c r="E18" s="20">
        <v>0</v>
      </c>
      <c r="F18" s="70">
        <f>E18/'- 3 -'!$D18*100</f>
        <v>0</v>
      </c>
      <c r="G18" s="20">
        <f>E18/'- 7 -'!$E18</f>
        <v>0</v>
      </c>
      <c r="H18" s="20">
        <v>1364594</v>
      </c>
      <c r="I18" s="70">
        <f>H18/'- 3 -'!$D18*100</f>
        <v>1.0606699340771228</v>
      </c>
      <c r="J18" s="20">
        <f>H18/'- 7 -'!$E18</f>
        <v>223.89112208567821</v>
      </c>
    </row>
    <row r="19" spans="1:10" ht="14.1" customHeight="1" x14ac:dyDescent="0.2">
      <c r="A19" s="284" t="s">
        <v>117</v>
      </c>
      <c r="B19" s="285">
        <v>472135</v>
      </c>
      <c r="C19" s="291">
        <f>B19/'- 3 -'!$D19*100</f>
        <v>1.0230070355017238</v>
      </c>
      <c r="D19" s="285">
        <f>B19/'- 7 -'!$E19</f>
        <v>107.76877425245378</v>
      </c>
      <c r="E19" s="285">
        <v>283667</v>
      </c>
      <c r="F19" s="291">
        <f>E19/'- 3 -'!$D19*100</f>
        <v>0.61464059377014513</v>
      </c>
      <c r="G19" s="285">
        <f>E19/'- 7 -'!$E19</f>
        <v>64.749372289431633</v>
      </c>
      <c r="H19" s="285">
        <v>677071</v>
      </c>
      <c r="I19" s="291">
        <f>H19/'- 3 -'!$D19*100</f>
        <v>1.4670558135579606</v>
      </c>
      <c r="J19" s="285">
        <f>H19/'- 7 -'!$E19</f>
        <v>154.54713535722439</v>
      </c>
    </row>
    <row r="20" spans="1:10" ht="14.1" customHeight="1" x14ac:dyDescent="0.2">
      <c r="A20" s="19" t="s">
        <v>118</v>
      </c>
      <c r="B20" s="20">
        <v>734220</v>
      </c>
      <c r="C20" s="70">
        <f>B20/'- 3 -'!$D20*100</f>
        <v>0.89267439093076284</v>
      </c>
      <c r="D20" s="20">
        <f>B20/'- 7 -'!$E20</f>
        <v>96.158732237574483</v>
      </c>
      <c r="E20" s="20">
        <v>299061</v>
      </c>
      <c r="F20" s="70">
        <f>E20/'- 3 -'!$D20*100</f>
        <v>0.36360232086587785</v>
      </c>
      <c r="G20" s="20">
        <f>E20/'- 7 -'!$E20</f>
        <v>39.167179621504815</v>
      </c>
      <c r="H20" s="20">
        <v>1960953</v>
      </c>
      <c r="I20" s="70">
        <f>H20/'- 3 -'!$D20*100</f>
        <v>2.3841526040135821</v>
      </c>
      <c r="J20" s="20">
        <f>H20/'- 7 -'!$E20</f>
        <v>256.82050946237968</v>
      </c>
    </row>
    <row r="21" spans="1:10" ht="14.1" customHeight="1" x14ac:dyDescent="0.2">
      <c r="A21" s="284" t="s">
        <v>119</v>
      </c>
      <c r="B21" s="285">
        <v>440069</v>
      </c>
      <c r="C21" s="291">
        <f>B21/'- 3 -'!$D21*100</f>
        <v>1.2235055617263391</v>
      </c>
      <c r="D21" s="285">
        <f>B21/'- 7 -'!$E21</f>
        <v>160.48612377375005</v>
      </c>
      <c r="E21" s="285">
        <v>176674</v>
      </c>
      <c r="F21" s="291">
        <f>E21/'- 3 -'!$D21*100</f>
        <v>0.49119938376127215</v>
      </c>
      <c r="G21" s="285">
        <f>E21/'- 7 -'!$E21</f>
        <v>64.430181247948653</v>
      </c>
      <c r="H21" s="285">
        <v>378435</v>
      </c>
      <c r="I21" s="291">
        <f>H21/'- 3 -'!$D21*100</f>
        <v>1.0521471115936527</v>
      </c>
      <c r="J21" s="285">
        <f>H21/'- 7 -'!$E21</f>
        <v>138.00919003683308</v>
      </c>
    </row>
    <row r="22" spans="1:10" ht="14.1" customHeight="1" x14ac:dyDescent="0.2">
      <c r="A22" s="19" t="s">
        <v>120</v>
      </c>
      <c r="B22" s="20">
        <v>166723</v>
      </c>
      <c r="C22" s="70">
        <f>B22/'- 3 -'!$D22*100</f>
        <v>0.83065425749728961</v>
      </c>
      <c r="D22" s="20">
        <f>B22/'- 7 -'!$E22</f>
        <v>109.42701496455763</v>
      </c>
      <c r="E22" s="20">
        <v>6715</v>
      </c>
      <c r="F22" s="70">
        <f>E22/'- 3 -'!$D22*100</f>
        <v>3.3455751990393044E-2</v>
      </c>
      <c r="G22" s="20">
        <f>E22/'- 7 -'!$E22</f>
        <v>4.4073247571541092</v>
      </c>
      <c r="H22" s="20">
        <v>130950</v>
      </c>
      <c r="I22" s="70">
        <f>H22/'- 3 -'!$D22*100</f>
        <v>0.65242453062426942</v>
      </c>
      <c r="J22" s="20">
        <f>H22/'- 7 -'!$E22</f>
        <v>85.947755316356009</v>
      </c>
    </row>
    <row r="23" spans="1:10" ht="14.1" customHeight="1" x14ac:dyDescent="0.2">
      <c r="A23" s="284" t="s">
        <v>121</v>
      </c>
      <c r="B23" s="285">
        <v>106728</v>
      </c>
      <c r="C23" s="291">
        <f>B23/'- 3 -'!$D23*100</f>
        <v>0.61701947703309645</v>
      </c>
      <c r="D23" s="285">
        <f>B23/'- 7 -'!$E23</f>
        <v>95.763122476446839</v>
      </c>
      <c r="E23" s="285">
        <v>62643</v>
      </c>
      <c r="F23" s="291">
        <f>E23/'- 3 -'!$D23*100</f>
        <v>0.36215380312368134</v>
      </c>
      <c r="G23" s="285">
        <f>E23/'- 7 -'!$E23</f>
        <v>56.207267833109015</v>
      </c>
      <c r="H23" s="285">
        <v>671817</v>
      </c>
      <c r="I23" s="291">
        <f>H23/'- 3 -'!$D23*100</f>
        <v>3.8839308710173883</v>
      </c>
      <c r="J23" s="285">
        <f>H23/'- 7 -'!$E23</f>
        <v>602.79676985195158</v>
      </c>
    </row>
    <row r="24" spans="1:10" ht="14.1" customHeight="1" x14ac:dyDescent="0.2">
      <c r="A24" s="19" t="s">
        <v>122</v>
      </c>
      <c r="B24" s="20">
        <v>465990</v>
      </c>
      <c r="C24" s="70">
        <f>B24/'- 3 -'!$D24*100</f>
        <v>0.81287562615661724</v>
      </c>
      <c r="D24" s="20">
        <f>B24/'- 7 -'!$E24</f>
        <v>118.02294658460603</v>
      </c>
      <c r="E24" s="20">
        <v>343356</v>
      </c>
      <c r="F24" s="70">
        <f>E24/'- 3 -'!$D24*100</f>
        <v>0.59895217385487143</v>
      </c>
      <c r="G24" s="20">
        <f>E24/'- 7 -'!$E24</f>
        <v>86.96299673277106</v>
      </c>
      <c r="H24" s="20">
        <v>1261728</v>
      </c>
      <c r="I24" s="70">
        <f>H24/'- 3 -'!$D24*100</f>
        <v>2.2009655529932752</v>
      </c>
      <c r="J24" s="20">
        <f>H24/'- 7 -'!$E24</f>
        <v>319.56234328698423</v>
      </c>
    </row>
    <row r="25" spans="1:10" ht="14.1" customHeight="1" x14ac:dyDescent="0.2">
      <c r="A25" s="284" t="s">
        <v>123</v>
      </c>
      <c r="B25" s="285">
        <v>937657</v>
      </c>
      <c r="C25" s="291">
        <f>B25/'- 3 -'!$D25*100</f>
        <v>0.52869224341843257</v>
      </c>
      <c r="D25" s="285">
        <f>B25/'- 7 -'!$E25</f>
        <v>65.406217956319452</v>
      </c>
      <c r="E25" s="285">
        <v>1052882</v>
      </c>
      <c r="F25" s="291">
        <f>E25/'- 3 -'!$D25*100</f>
        <v>0.5936611646208434</v>
      </c>
      <c r="G25" s="285">
        <f>E25/'- 7 -'!$E25</f>
        <v>73.443732168890691</v>
      </c>
      <c r="H25" s="285">
        <v>2535590</v>
      </c>
      <c r="I25" s="291">
        <f>H25/'- 3 -'!$D25*100</f>
        <v>1.4296771265924997</v>
      </c>
      <c r="J25" s="285">
        <f>H25/'- 7 -'!$E25</f>
        <v>176.86995584511612</v>
      </c>
    </row>
    <row r="26" spans="1:10" ht="14.1" customHeight="1" x14ac:dyDescent="0.2">
      <c r="A26" s="19" t="s">
        <v>124</v>
      </c>
      <c r="B26" s="20">
        <v>359104</v>
      </c>
      <c r="C26" s="70">
        <f>B26/'- 3 -'!$D26*100</f>
        <v>0.87614136513991159</v>
      </c>
      <c r="D26" s="20">
        <f>B26/'- 7 -'!$E26</f>
        <v>117.50785340314137</v>
      </c>
      <c r="E26" s="20">
        <v>453881</v>
      </c>
      <c r="F26" s="70">
        <f>E26/'- 3 -'!$D26*100</f>
        <v>1.1073781382303405</v>
      </c>
      <c r="G26" s="20">
        <f>E26/'- 7 -'!$E26</f>
        <v>148.52126963350784</v>
      </c>
      <c r="H26" s="20">
        <v>510407</v>
      </c>
      <c r="I26" s="70">
        <f>H26/'- 3 -'!$D26*100</f>
        <v>1.2452901826684384</v>
      </c>
      <c r="J26" s="20">
        <f>H26/'- 7 -'!$E26</f>
        <v>167.01799738219896</v>
      </c>
    </row>
    <row r="27" spans="1:10" ht="14.1" customHeight="1" x14ac:dyDescent="0.2">
      <c r="A27" s="284" t="s">
        <v>125</v>
      </c>
      <c r="B27" s="285">
        <v>171850</v>
      </c>
      <c r="C27" s="291">
        <f>B27/'- 3 -'!$D27*100</f>
        <v>0.41462803859802205</v>
      </c>
      <c r="D27" s="285">
        <f>B27/'- 7 -'!$E27</f>
        <v>57.51819931386494</v>
      </c>
      <c r="E27" s="285">
        <v>173331</v>
      </c>
      <c r="F27" s="291">
        <f>E27/'- 3 -'!$D27*100</f>
        <v>0.41820129507264336</v>
      </c>
      <c r="G27" s="285">
        <f>E27/'- 7 -'!$E27</f>
        <v>58.013890051041741</v>
      </c>
      <c r="H27" s="285">
        <v>216965</v>
      </c>
      <c r="I27" s="291">
        <f>H27/'- 3 -'!$D27*100</f>
        <v>0.52347845443363317</v>
      </c>
      <c r="J27" s="285">
        <f>H27/'- 7 -'!$E27</f>
        <v>72.618190946364308</v>
      </c>
    </row>
    <row r="28" spans="1:10" ht="14.1" customHeight="1" x14ac:dyDescent="0.2">
      <c r="A28" s="19" t="s">
        <v>126</v>
      </c>
      <c r="B28" s="20">
        <v>224186</v>
      </c>
      <c r="C28" s="70">
        <f>B28/'- 3 -'!$D28*100</f>
        <v>0.79480343358089711</v>
      </c>
      <c r="D28" s="20">
        <f>B28/'- 7 -'!$E28</f>
        <v>114.20580743759551</v>
      </c>
      <c r="E28" s="20">
        <v>267902</v>
      </c>
      <c r="F28" s="70">
        <f>E28/'- 3 -'!$D28*100</f>
        <v>0.94978914590201657</v>
      </c>
      <c r="G28" s="20">
        <f>E28/'- 7 -'!$E28</f>
        <v>136.475802343352</v>
      </c>
      <c r="H28" s="20">
        <v>327094</v>
      </c>
      <c r="I28" s="70">
        <f>H28/'- 3 -'!$D28*100</f>
        <v>1.1596417006579802</v>
      </c>
      <c r="J28" s="20">
        <f>H28/'- 7 -'!$E28</f>
        <v>166.62964849719816</v>
      </c>
    </row>
    <row r="29" spans="1:10" ht="14.1" customHeight="1" x14ac:dyDescent="0.2">
      <c r="A29" s="284" t="s">
        <v>127</v>
      </c>
      <c r="B29" s="285">
        <v>1247035</v>
      </c>
      <c r="C29" s="291">
        <f>B29/'- 3 -'!$D29*100</f>
        <v>0.78287206366239903</v>
      </c>
      <c r="D29" s="285">
        <f>B29/'- 7 -'!$E29</f>
        <v>95.321577080657988</v>
      </c>
      <c r="E29" s="285">
        <v>593952</v>
      </c>
      <c r="F29" s="291">
        <f>E29/'- 3 -'!$D29*100</f>
        <v>0.37287520234508992</v>
      </c>
      <c r="G29" s="285">
        <f>E29/'- 7 -'!$E29</f>
        <v>45.400843881856538</v>
      </c>
      <c r="H29" s="285">
        <v>1679383</v>
      </c>
      <c r="I29" s="291">
        <f>H29/'- 3 -'!$D29*100</f>
        <v>1.0542944142622706</v>
      </c>
      <c r="J29" s="285">
        <f>H29/'- 7 -'!$E29</f>
        <v>128.36964165596527</v>
      </c>
    </row>
    <row r="30" spans="1:10" ht="14.1" customHeight="1" x14ac:dyDescent="0.2">
      <c r="A30" s="19" t="s">
        <v>128</v>
      </c>
      <c r="B30" s="20">
        <v>103749</v>
      </c>
      <c r="C30" s="70">
        <f>B30/'- 3 -'!$D30*100</f>
        <v>0.73572085028166856</v>
      </c>
      <c r="D30" s="20">
        <f>B30/'- 7 -'!$E30</f>
        <v>103.83800400343152</v>
      </c>
      <c r="E30" s="20">
        <v>122454</v>
      </c>
      <c r="F30" s="70">
        <f>E30/'- 3 -'!$D30*100</f>
        <v>0.86836462038565621</v>
      </c>
      <c r="G30" s="20">
        <f>E30/'- 7 -'!$E30</f>
        <v>122.5590506148127</v>
      </c>
      <c r="H30" s="20">
        <v>128488</v>
      </c>
      <c r="I30" s="70">
        <f>H30/'- 3 -'!$D30*100</f>
        <v>0.91115384833580104</v>
      </c>
      <c r="J30" s="20">
        <f>H30/'- 7 -'!$E30</f>
        <v>128.59822705175864</v>
      </c>
    </row>
    <row r="31" spans="1:10" ht="14.1" customHeight="1" x14ac:dyDescent="0.2">
      <c r="A31" s="284" t="s">
        <v>129</v>
      </c>
      <c r="B31" s="285">
        <v>275086</v>
      </c>
      <c r="C31" s="291">
        <f>B31/'- 3 -'!$D31*100</f>
        <v>0.73318238940069747</v>
      </c>
      <c r="D31" s="285">
        <f>B31/'- 7 -'!$E31</f>
        <v>84.563787273286195</v>
      </c>
      <c r="E31" s="285">
        <v>155089</v>
      </c>
      <c r="F31" s="291">
        <f>E31/'- 3 -'!$D31*100</f>
        <v>0.41335627254663915</v>
      </c>
      <c r="G31" s="285">
        <f>E31/'- 7 -'!$E31</f>
        <v>47.675683984014753</v>
      </c>
      <c r="H31" s="285">
        <v>298759</v>
      </c>
      <c r="I31" s="291">
        <f>H31/'- 3 -'!$D31*100</f>
        <v>0.79627766398494648</v>
      </c>
      <c r="J31" s="285">
        <f>H31/'- 7 -'!$E31</f>
        <v>91.841069781739932</v>
      </c>
    </row>
    <row r="32" spans="1:10" ht="14.1" customHeight="1" x14ac:dyDescent="0.2">
      <c r="A32" s="19" t="s">
        <v>130</v>
      </c>
      <c r="B32" s="20">
        <v>259900</v>
      </c>
      <c r="C32" s="70">
        <f>B32/'- 3 -'!$D32*100</f>
        <v>0.88711794494195828</v>
      </c>
      <c r="D32" s="20">
        <f>B32/'- 7 -'!$E32</f>
        <v>120.70406836336616</v>
      </c>
      <c r="E32" s="20">
        <v>182986</v>
      </c>
      <c r="F32" s="70">
        <f>E32/'- 3 -'!$D32*100</f>
        <v>0.62458701143958906</v>
      </c>
      <c r="G32" s="20">
        <f>E32/'- 7 -'!$E32</f>
        <v>84.983280698495264</v>
      </c>
      <c r="H32" s="20">
        <v>365775</v>
      </c>
      <c r="I32" s="70">
        <f>H32/'- 3 -'!$D32*100</f>
        <v>1.2485016018127926</v>
      </c>
      <c r="J32" s="20">
        <f>H32/'- 7 -'!$E32</f>
        <v>169.87506966375628</v>
      </c>
    </row>
    <row r="33" spans="1:10" ht="14.1" customHeight="1" x14ac:dyDescent="0.2">
      <c r="A33" s="284" t="s">
        <v>131</v>
      </c>
      <c r="B33" s="285">
        <v>347018</v>
      </c>
      <c r="C33" s="291">
        <f>B33/'- 3 -'!$D33*100</f>
        <v>1.2476505747146271</v>
      </c>
      <c r="D33" s="285">
        <f>B33/'- 7 -'!$E33</f>
        <v>171.83362218370883</v>
      </c>
      <c r="E33" s="285">
        <v>274253</v>
      </c>
      <c r="F33" s="291">
        <f>E33/'- 3 -'!$D33*100</f>
        <v>0.98603505601211083</v>
      </c>
      <c r="G33" s="285">
        <f>E33/'- 7 -'!$E33</f>
        <v>135.80242634315425</v>
      </c>
      <c r="H33" s="285">
        <v>440249</v>
      </c>
      <c r="I33" s="291">
        <f>H33/'- 3 -'!$D33*100</f>
        <v>1.5828484916273506</v>
      </c>
      <c r="J33" s="285">
        <f>H33/'- 7 -'!$E33</f>
        <v>217.99900965585542</v>
      </c>
    </row>
    <row r="34" spans="1:10" ht="14.1" customHeight="1" x14ac:dyDescent="0.2">
      <c r="A34" s="19" t="s">
        <v>132</v>
      </c>
      <c r="B34" s="20">
        <v>361965</v>
      </c>
      <c r="C34" s="70">
        <f>B34/'- 3 -'!$D34*100</f>
        <v>1.2447105860904792</v>
      </c>
      <c r="D34" s="20">
        <f>B34/'- 7 -'!$E34</f>
        <v>177.87851982898422</v>
      </c>
      <c r="E34" s="20">
        <v>270280</v>
      </c>
      <c r="F34" s="70">
        <f>E34/'- 3 -'!$D34*100</f>
        <v>0.92942792040262101</v>
      </c>
      <c r="G34" s="20">
        <f>E34/'- 7 -'!$E34</f>
        <v>132.82225170770062</v>
      </c>
      <c r="H34" s="20">
        <v>460106</v>
      </c>
      <c r="I34" s="70">
        <f>H34/'- 3 -'!$D34*100</f>
        <v>1.5821938831758486</v>
      </c>
      <c r="J34" s="20">
        <f>H34/'- 7 -'!$E34</f>
        <v>226.10742542631087</v>
      </c>
    </row>
    <row r="35" spans="1:10" ht="14.1" customHeight="1" x14ac:dyDescent="0.2">
      <c r="A35" s="284" t="s">
        <v>133</v>
      </c>
      <c r="B35" s="285">
        <v>768236</v>
      </c>
      <c r="C35" s="291">
        <f>B35/'- 3 -'!$D35*100</f>
        <v>0.41694858359048798</v>
      </c>
      <c r="D35" s="285">
        <f>B35/'- 7 -'!$E35</f>
        <v>49.220656073808307</v>
      </c>
      <c r="E35" s="285">
        <v>836945</v>
      </c>
      <c r="F35" s="291">
        <f>E35/'- 3 -'!$D35*100</f>
        <v>0.45423936432703099</v>
      </c>
      <c r="G35" s="285">
        <f>E35/'- 7 -'!$E35</f>
        <v>53.62282162993337</v>
      </c>
      <c r="H35" s="285">
        <v>1046875</v>
      </c>
      <c r="I35" s="291">
        <f>H35/'- 3 -'!$D35*100</f>
        <v>0.56817572783141135</v>
      </c>
      <c r="J35" s="285">
        <f>H35/'- 7 -'!$E35</f>
        <v>67.072975397232184</v>
      </c>
    </row>
    <row r="36" spans="1:10" ht="14.1" customHeight="1" x14ac:dyDescent="0.2">
      <c r="A36" s="19" t="s">
        <v>134</v>
      </c>
      <c r="B36" s="20">
        <v>178022</v>
      </c>
      <c r="C36" s="70">
        <f>B36/'- 3 -'!$D36*100</f>
        <v>0.7594086354055346</v>
      </c>
      <c r="D36" s="20">
        <f>B36/'- 7 -'!$E36</f>
        <v>106.75982008995503</v>
      </c>
      <c r="E36" s="20">
        <v>294050</v>
      </c>
      <c r="F36" s="70">
        <f>E36/'- 3 -'!$D36*100</f>
        <v>1.2543624340867841</v>
      </c>
      <c r="G36" s="20">
        <f>E36/'- 7 -'!$E36</f>
        <v>176.34182908545728</v>
      </c>
      <c r="H36" s="20">
        <v>141578</v>
      </c>
      <c r="I36" s="70">
        <f>H36/'- 3 -'!$D36*100</f>
        <v>0.60394533138288975</v>
      </c>
      <c r="J36" s="20">
        <f>H36/'- 7 -'!$E36</f>
        <v>84.904347826086962</v>
      </c>
    </row>
    <row r="37" spans="1:10" ht="14.1" customHeight="1" x14ac:dyDescent="0.2">
      <c r="A37" s="284" t="s">
        <v>135</v>
      </c>
      <c r="B37" s="285">
        <v>281560</v>
      </c>
      <c r="C37" s="291">
        <f>B37/'- 3 -'!$D37*100</f>
        <v>0.56100892342116615</v>
      </c>
      <c r="D37" s="285">
        <f>B37/'- 7 -'!$E37</f>
        <v>67.310542672722931</v>
      </c>
      <c r="E37" s="285">
        <v>654740</v>
      </c>
      <c r="F37" s="291">
        <f>E37/'- 3 -'!$D37*100</f>
        <v>1.3045708997044123</v>
      </c>
      <c r="G37" s="285">
        <f>E37/'- 7 -'!$E37</f>
        <v>156.52402581879034</v>
      </c>
      <c r="H37" s="285">
        <v>806088</v>
      </c>
      <c r="I37" s="291">
        <f>H37/'- 3 -'!$D37*100</f>
        <v>1.6061321248143239</v>
      </c>
      <c r="J37" s="285">
        <f>H37/'- 7 -'!$E37</f>
        <v>192.70571360267749</v>
      </c>
    </row>
    <row r="38" spans="1:10" ht="14.1" customHeight="1" x14ac:dyDescent="0.2">
      <c r="A38" s="19" t="s">
        <v>136</v>
      </c>
      <c r="B38" s="20">
        <v>277571</v>
      </c>
      <c r="C38" s="70">
        <f>B38/'- 3 -'!$D38*100</f>
        <v>0.20456986063946786</v>
      </c>
      <c r="D38" s="20">
        <f>B38/'- 7 -'!$E38</f>
        <v>25.24795793992978</v>
      </c>
      <c r="E38" s="20">
        <v>928281</v>
      </c>
      <c r="F38" s="70">
        <f>E38/'- 3 -'!$D38*100</f>
        <v>0.68414320950050933</v>
      </c>
      <c r="G38" s="20">
        <f>E38/'- 7 -'!$E38</f>
        <v>84.436773454128698</v>
      </c>
      <c r="H38" s="20">
        <v>1507570</v>
      </c>
      <c r="I38" s="70">
        <f>H38/'- 3 -'!$D38*100</f>
        <v>1.1110792727058756</v>
      </c>
      <c r="J38" s="20">
        <f>H38/'- 7 -'!$E38</f>
        <v>137.12910913423931</v>
      </c>
    </row>
    <row r="39" spans="1:10" ht="14.1" customHeight="1" x14ac:dyDescent="0.2">
      <c r="A39" s="284" t="s">
        <v>137</v>
      </c>
      <c r="B39" s="285">
        <v>218719</v>
      </c>
      <c r="C39" s="291">
        <f>B39/'- 3 -'!$D39*100</f>
        <v>1.0193844729678481</v>
      </c>
      <c r="D39" s="285">
        <f>B39/'- 7 -'!$E39</f>
        <v>145.81266666666667</v>
      </c>
      <c r="E39" s="285">
        <v>92178</v>
      </c>
      <c r="F39" s="291">
        <f>E39/'- 3 -'!$D39*100</f>
        <v>0.42961435425925643</v>
      </c>
      <c r="G39" s="285">
        <f>E39/'- 7 -'!$E39</f>
        <v>61.451999999999998</v>
      </c>
      <c r="H39" s="285">
        <v>102156</v>
      </c>
      <c r="I39" s="291">
        <f>H39/'- 3 -'!$D39*100</f>
        <v>0.4761188567088524</v>
      </c>
      <c r="J39" s="285">
        <f>H39/'- 7 -'!$E39</f>
        <v>68.103999999999999</v>
      </c>
    </row>
    <row r="40" spans="1:10" ht="14.1" customHeight="1" x14ac:dyDescent="0.2">
      <c r="A40" s="19" t="s">
        <v>138</v>
      </c>
      <c r="B40" s="20">
        <v>729040</v>
      </c>
      <c r="C40" s="70">
        <f>B40/'- 3 -'!$D40*100</f>
        <v>0.69868952108994564</v>
      </c>
      <c r="D40" s="20">
        <f>B40/'- 7 -'!$E40</f>
        <v>88.257227252917545</v>
      </c>
      <c r="E40" s="20">
        <v>672794</v>
      </c>
      <c r="F40" s="70">
        <f>E40/'- 3 -'!$D40*100</f>
        <v>0.64478508401759704</v>
      </c>
      <c r="G40" s="20">
        <f>E40/'- 7 -'!$E40</f>
        <v>81.448113892789692</v>
      </c>
      <c r="H40" s="20">
        <v>815781</v>
      </c>
      <c r="I40" s="70">
        <f>H40/'- 3 -'!$D40*100</f>
        <v>0.78181942856945708</v>
      </c>
      <c r="J40" s="20">
        <f>H40/'- 7 -'!$E40</f>
        <v>98.758050457604966</v>
      </c>
    </row>
    <row r="41" spans="1:10" ht="14.1" customHeight="1" x14ac:dyDescent="0.2">
      <c r="A41" s="284" t="s">
        <v>139</v>
      </c>
      <c r="B41" s="285">
        <v>380956</v>
      </c>
      <c r="C41" s="291">
        <f>B41/'- 3 -'!$D41*100</f>
        <v>0.60816355761281549</v>
      </c>
      <c r="D41" s="285">
        <f>B41/'- 7 -'!$E41</f>
        <v>85.444880565212515</v>
      </c>
      <c r="E41" s="285">
        <v>500454</v>
      </c>
      <c r="F41" s="291">
        <f>E41/'- 3 -'!$D41*100</f>
        <v>0.7989318584339502</v>
      </c>
      <c r="G41" s="285">
        <f>E41/'- 7 -'!$E41</f>
        <v>112.24716833015589</v>
      </c>
      <c r="H41" s="285">
        <v>402529</v>
      </c>
      <c r="I41" s="291">
        <f>H41/'- 3 -'!$D41*100</f>
        <v>0.64260300056260833</v>
      </c>
      <c r="J41" s="285">
        <f>H41/'- 7 -'!$E41</f>
        <v>90.283503420432879</v>
      </c>
    </row>
    <row r="42" spans="1:10" ht="14.1" customHeight="1" x14ac:dyDescent="0.2">
      <c r="A42" s="19" t="s">
        <v>140</v>
      </c>
      <c r="B42" s="20">
        <v>206127</v>
      </c>
      <c r="C42" s="70">
        <f>B42/'- 3 -'!$D42*100</f>
        <v>1.0173493333212249</v>
      </c>
      <c r="D42" s="20">
        <f>B42/'- 7 -'!$E42</f>
        <v>149.51907732482229</v>
      </c>
      <c r="E42" s="20">
        <v>153953</v>
      </c>
      <c r="F42" s="70">
        <f>E42/'- 3 -'!$D42*100</f>
        <v>0.75984214543850404</v>
      </c>
      <c r="G42" s="20">
        <f>E42/'- 7 -'!$E42</f>
        <v>111.67343681996229</v>
      </c>
      <c r="H42" s="20">
        <v>191583</v>
      </c>
      <c r="I42" s="70">
        <f>H42/'- 3 -'!$D42*100</f>
        <v>0.94556674926467765</v>
      </c>
      <c r="J42" s="20">
        <f>H42/'- 7 -'!$E42</f>
        <v>138.96924416074279</v>
      </c>
    </row>
    <row r="43" spans="1:10" ht="14.1" customHeight="1" x14ac:dyDescent="0.2">
      <c r="A43" s="284" t="s">
        <v>141</v>
      </c>
      <c r="B43" s="285">
        <v>63668</v>
      </c>
      <c r="C43" s="291">
        <f>B43/'- 3 -'!$D43*100</f>
        <v>0.48059830065006226</v>
      </c>
      <c r="D43" s="285">
        <f>B43/'- 7 -'!$E43</f>
        <v>66.134829126415283</v>
      </c>
      <c r="E43" s="285">
        <v>71714</v>
      </c>
      <c r="F43" s="291">
        <f>E43/'- 3 -'!$D43*100</f>
        <v>0.54133358253468877</v>
      </c>
      <c r="G43" s="285">
        <f>E43/'- 7 -'!$E43</f>
        <v>74.492572971849995</v>
      </c>
      <c r="H43" s="285">
        <v>235424</v>
      </c>
      <c r="I43" s="291">
        <f>H43/'- 3 -'!$D43*100</f>
        <v>1.7770995528717766</v>
      </c>
      <c r="J43" s="285">
        <f>H43/'- 7 -'!$E43</f>
        <v>244.54554897683596</v>
      </c>
    </row>
    <row r="44" spans="1:10" ht="14.1" customHeight="1" x14ac:dyDescent="0.2">
      <c r="A44" s="19" t="s">
        <v>142</v>
      </c>
      <c r="B44" s="20">
        <v>118109</v>
      </c>
      <c r="C44" s="70">
        <f>B44/'- 3 -'!$D44*100</f>
        <v>1.0927485973221094</v>
      </c>
      <c r="D44" s="20">
        <f>B44/'- 7 -'!$E44</f>
        <v>170.30857966834895</v>
      </c>
      <c r="E44" s="20">
        <v>68113</v>
      </c>
      <c r="F44" s="70">
        <f>E44/'- 3 -'!$D44*100</f>
        <v>0.63018385736396754</v>
      </c>
      <c r="G44" s="20">
        <f>E44/'- 7 -'!$E44</f>
        <v>98.216294160057672</v>
      </c>
      <c r="H44" s="20">
        <v>177466</v>
      </c>
      <c r="I44" s="70">
        <f>H44/'- 3 -'!$D44*100</f>
        <v>1.6419216365591571</v>
      </c>
      <c r="J44" s="20">
        <f>H44/'- 7 -'!$E44</f>
        <v>255.89906272530641</v>
      </c>
    </row>
    <row r="45" spans="1:10" ht="14.1" customHeight="1" x14ac:dyDescent="0.2">
      <c r="A45" s="284" t="s">
        <v>143</v>
      </c>
      <c r="B45" s="285">
        <v>185246</v>
      </c>
      <c r="C45" s="291">
        <f>B45/'- 3 -'!$D45*100</f>
        <v>0.96174712912932003</v>
      </c>
      <c r="D45" s="285">
        <f>B45/'- 7 -'!$E45</f>
        <v>109.93827893175074</v>
      </c>
      <c r="E45" s="285">
        <v>73339</v>
      </c>
      <c r="F45" s="291">
        <f>E45/'- 3 -'!$D45*100</f>
        <v>0.38075625224412507</v>
      </c>
      <c r="G45" s="285">
        <f>E45/'- 7 -'!$E45</f>
        <v>43.524629080118693</v>
      </c>
      <c r="H45" s="285">
        <v>237828</v>
      </c>
      <c r="I45" s="291">
        <f>H45/'- 3 -'!$D45*100</f>
        <v>1.2347386514503305</v>
      </c>
      <c r="J45" s="285">
        <f>H45/'- 7 -'!$E45</f>
        <v>141.14421364985162</v>
      </c>
    </row>
    <row r="46" spans="1:10" ht="14.1" customHeight="1" x14ac:dyDescent="0.2">
      <c r="A46" s="19" t="s">
        <v>144</v>
      </c>
      <c r="B46" s="20">
        <v>2131089</v>
      </c>
      <c r="C46" s="70">
        <f>B46/'- 3 -'!$D46*100</f>
        <v>0.54466450657979126</v>
      </c>
      <c r="D46" s="20">
        <f>B46/'- 7 -'!$E46</f>
        <v>71.323973359215501</v>
      </c>
      <c r="E46" s="20">
        <v>1402916</v>
      </c>
      <c r="F46" s="70">
        <f>E46/'- 3 -'!$D46*100</f>
        <v>0.35855778473489114</v>
      </c>
      <c r="G46" s="20">
        <f>E46/'- 7 -'!$E46</f>
        <v>46.953244753840487</v>
      </c>
      <c r="H46" s="20">
        <v>3519646</v>
      </c>
      <c r="I46" s="70">
        <f>H46/'- 3 -'!$D46*100</f>
        <v>0.89955241283941512</v>
      </c>
      <c r="J46" s="20">
        <f>H46/'- 7 -'!$E46</f>
        <v>117.79664647411225</v>
      </c>
    </row>
    <row r="47" spans="1:10" ht="5.0999999999999996" customHeight="1" x14ac:dyDescent="0.2">
      <c r="A47" s="21"/>
      <c r="B47" s="22"/>
      <c r="C47"/>
      <c r="D47"/>
      <c r="E47"/>
      <c r="F47"/>
      <c r="G47"/>
      <c r="H47"/>
      <c r="I47"/>
      <c r="J47"/>
    </row>
    <row r="48" spans="1:10" ht="14.1" customHeight="1" x14ac:dyDescent="0.2">
      <c r="A48" s="286" t="s">
        <v>145</v>
      </c>
      <c r="B48" s="287">
        <f>SUM(B11:B46)</f>
        <v>14337709</v>
      </c>
      <c r="C48" s="294">
        <f>B48/'- 3 -'!$D48*100</f>
        <v>0.62527836896982614</v>
      </c>
      <c r="D48" s="287">
        <f>B48/'- 7 -'!$E48</f>
        <v>81.446956136784195</v>
      </c>
      <c r="E48" s="287">
        <v>11878869</v>
      </c>
      <c r="F48" s="294">
        <f>E48/'- 3 -'!$D48*100</f>
        <v>0.51804649079753473</v>
      </c>
      <c r="G48" s="287">
        <f>E48/'- 7 -'!$E48</f>
        <v>67.479241097556482</v>
      </c>
      <c r="H48" s="287">
        <v>26286460</v>
      </c>
      <c r="I48" s="294">
        <f>H48/'- 3 -'!$D48*100</f>
        <v>1.1463724668139503</v>
      </c>
      <c r="J48" s="287">
        <f>H48/'- 7 -'!$E48</f>
        <v>149.32316973453237</v>
      </c>
    </row>
    <row r="49" spans="1:10" ht="5.0999999999999996" customHeight="1" x14ac:dyDescent="0.2">
      <c r="A49" s="21" t="s">
        <v>7</v>
      </c>
      <c r="B49" s="22"/>
      <c r="C49"/>
      <c r="D49"/>
      <c r="E49"/>
      <c r="F49"/>
      <c r="G49"/>
      <c r="H49"/>
      <c r="I49"/>
      <c r="J49"/>
    </row>
    <row r="50" spans="1:10" ht="14.1" customHeight="1" x14ac:dyDescent="0.2">
      <c r="A50" s="19" t="s">
        <v>146</v>
      </c>
      <c r="B50" s="20">
        <v>0</v>
      </c>
      <c r="C50" s="70">
        <f>B50/'- 3 -'!$D50*100</f>
        <v>0</v>
      </c>
      <c r="D50" s="20">
        <f>B50/'- 7 -'!$E50</f>
        <v>0</v>
      </c>
      <c r="E50" s="20">
        <v>28836</v>
      </c>
      <c r="F50" s="70">
        <f>E50/'- 3 -'!$D50*100</f>
        <v>0.89927530311091375</v>
      </c>
      <c r="G50" s="20">
        <f>E50/'- 7 -'!$E50</f>
        <v>186.03870967741935</v>
      </c>
      <c r="H50" s="20">
        <v>51961</v>
      </c>
      <c r="I50" s="70">
        <f>H50/'- 3 -'!$D50*100</f>
        <v>1.6204481906279025</v>
      </c>
      <c r="J50" s="20">
        <f>H50/'- 7 -'!$E50</f>
        <v>335.23225806451615</v>
      </c>
    </row>
    <row r="51" spans="1:10" ht="14.1" customHeight="1" x14ac:dyDescent="0.2">
      <c r="A51" s="284" t="s">
        <v>609</v>
      </c>
      <c r="B51" s="285">
        <v>38259</v>
      </c>
      <c r="C51" s="291">
        <f>B51/'- 3 -'!$D51*100</f>
        <v>0.13185006291645557</v>
      </c>
      <c r="D51" s="285">
        <f>B51/'- 7 -'!$E51</f>
        <v>32.354334038054965</v>
      </c>
      <c r="E51" s="285">
        <v>193564</v>
      </c>
      <c r="F51" s="291">
        <f>E51/'- 3 -'!$D51*100</f>
        <v>0.66706985489324877</v>
      </c>
      <c r="G51" s="285">
        <f>E51/'- 7 -'!$E51</f>
        <v>163.69048625792811</v>
      </c>
      <c r="H51" s="285">
        <v>128476</v>
      </c>
      <c r="I51" s="291">
        <f>H51/'- 3 -'!$D51*100</f>
        <v>0.44276036183001505</v>
      </c>
      <c r="J51" s="285">
        <f>H51/'- 7 -'!$E51</f>
        <v>108.6477801268499</v>
      </c>
    </row>
    <row r="52" spans="1:10" ht="50.1" customHeight="1" x14ac:dyDescent="0.2">
      <c r="A52" s="23"/>
      <c r="B52" s="23"/>
      <c r="C52" s="23"/>
      <c r="D52" s="23"/>
      <c r="E52" s="23"/>
      <c r="F52" s="23"/>
      <c r="G52" s="23"/>
      <c r="H52" s="23"/>
      <c r="I52" s="23"/>
      <c r="J52" s="23"/>
    </row>
    <row r="53" spans="1:10" ht="15" customHeight="1" x14ac:dyDescent="0.2">
      <c r="A53" s="619" t="s">
        <v>517</v>
      </c>
      <c r="B53" s="619"/>
      <c r="C53" s="619"/>
      <c r="D53" s="619"/>
      <c r="E53" s="619"/>
      <c r="F53" s="619"/>
      <c r="G53" s="619"/>
      <c r="H53" s="619"/>
      <c r="I53" s="619"/>
      <c r="J53" s="619"/>
    </row>
    <row r="54" spans="1:10" ht="12" customHeight="1" x14ac:dyDescent="0.2">
      <c r="A54" s="620"/>
      <c r="B54" s="620"/>
      <c r="C54" s="620"/>
      <c r="D54" s="620"/>
      <c r="E54" s="620"/>
      <c r="F54" s="620"/>
      <c r="G54" s="620"/>
      <c r="H54" s="620"/>
      <c r="I54" s="620"/>
      <c r="J54" s="620"/>
    </row>
    <row r="55" spans="1:10" ht="12" customHeight="1" x14ac:dyDescent="0.2">
      <c r="A55" s="620"/>
      <c r="B55" s="620"/>
      <c r="C55" s="620"/>
      <c r="D55" s="620"/>
      <c r="E55" s="620"/>
      <c r="F55" s="620"/>
      <c r="G55" s="620"/>
      <c r="H55" s="620"/>
      <c r="I55" s="620"/>
      <c r="J55" s="620"/>
    </row>
    <row r="56" spans="1:10" x14ac:dyDescent="0.2">
      <c r="A56" s="133" t="s">
        <v>415</v>
      </c>
    </row>
  </sheetData>
  <mergeCells count="7">
    <mergeCell ref="A53:J55"/>
    <mergeCell ref="B7:D7"/>
    <mergeCell ref="E7:G7"/>
    <mergeCell ref="H7:J7"/>
    <mergeCell ref="D8:D9"/>
    <mergeCell ref="G8:G9"/>
    <mergeCell ref="J8:J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autoPageBreaks="0" fitToPage="1"/>
  </sheetPr>
  <dimension ref="A1:H54"/>
  <sheetViews>
    <sheetView showGridLines="0" showZeros="0" workbookViewId="0"/>
  </sheetViews>
  <sheetFormatPr defaultColWidth="15.83203125" defaultRowHeight="12" x14ac:dyDescent="0.2"/>
  <cols>
    <col min="1" max="1" width="32.83203125" style="2" customWidth="1"/>
    <col min="2" max="2" width="18.83203125" style="2" customWidth="1"/>
    <col min="3" max="3" width="9.83203125" style="2" customWidth="1"/>
    <col min="4" max="4" width="10.83203125" style="2" customWidth="1"/>
    <col min="5" max="5" width="18.83203125" style="2" customWidth="1"/>
    <col min="6" max="6" width="9.83203125" style="2" customWidth="1"/>
    <col min="7" max="7" width="10.83203125" style="2" customWidth="1"/>
    <col min="8" max="8" width="22.1640625" style="2" customWidth="1"/>
    <col min="9" max="16384" width="15.83203125" style="2"/>
  </cols>
  <sheetData>
    <row r="1" spans="1:8" ht="6.95" customHeight="1" x14ac:dyDescent="0.2">
      <c r="A1" s="7"/>
      <c r="B1" s="7"/>
      <c r="C1" s="7"/>
      <c r="D1" s="7"/>
      <c r="E1" s="8"/>
      <c r="F1" s="8"/>
      <c r="G1" s="8"/>
    </row>
    <row r="2" spans="1:8" ht="15.95" customHeight="1" x14ac:dyDescent="0.2">
      <c r="A2" s="134"/>
      <c r="B2" s="9" t="s">
        <v>284</v>
      </c>
      <c r="C2" s="141"/>
      <c r="D2" s="141"/>
      <c r="E2" s="9"/>
      <c r="F2" s="142"/>
      <c r="G2" s="143"/>
      <c r="H2" s="144"/>
    </row>
    <row r="3" spans="1:8" ht="15.95" customHeight="1" x14ac:dyDescent="0.2">
      <c r="A3" s="541"/>
      <c r="B3" s="11" t="str">
        <f>OPYEAR</f>
        <v>OPERATING FUND 2016/2017 ACTUAL</v>
      </c>
      <c r="C3" s="145"/>
      <c r="D3" s="145"/>
      <c r="E3" s="11"/>
      <c r="F3" s="146"/>
      <c r="G3" s="146"/>
      <c r="H3" s="147"/>
    </row>
    <row r="4" spans="1:8" ht="15.95" customHeight="1" x14ac:dyDescent="0.2">
      <c r="E4" s="8"/>
      <c r="F4" s="8"/>
      <c r="G4" s="8"/>
    </row>
    <row r="5" spans="1:8" ht="18" customHeight="1" x14ac:dyDescent="0.2">
      <c r="B5" s="559" t="s">
        <v>265</v>
      </c>
      <c r="C5" s="560"/>
      <c r="D5" s="561"/>
      <c r="E5" s="148"/>
      <c r="F5" s="149"/>
      <c r="G5" s="150"/>
    </row>
    <row r="6" spans="1:8" ht="15.95" customHeight="1" x14ac:dyDescent="0.2">
      <c r="B6" s="670" t="s">
        <v>518</v>
      </c>
      <c r="C6" s="674"/>
      <c r="D6" s="671"/>
      <c r="E6" s="321"/>
      <c r="F6" s="322"/>
      <c r="G6" s="323"/>
    </row>
    <row r="7" spans="1:8" ht="15.95" customHeight="1" x14ac:dyDescent="0.2">
      <c r="B7" s="672"/>
      <c r="C7" s="675"/>
      <c r="D7" s="673"/>
      <c r="E7" s="710" t="s">
        <v>31</v>
      </c>
      <c r="F7" s="711"/>
      <c r="G7" s="712"/>
    </row>
    <row r="8" spans="1:8" ht="15.95" customHeight="1" x14ac:dyDescent="0.2">
      <c r="A8" s="67"/>
      <c r="B8" s="139"/>
      <c r="C8" s="68"/>
      <c r="D8" s="602" t="s">
        <v>477</v>
      </c>
      <c r="E8" s="139"/>
      <c r="F8" s="137"/>
      <c r="G8" s="602" t="s">
        <v>477</v>
      </c>
    </row>
    <row r="9" spans="1:8" ht="15.95" customHeight="1" x14ac:dyDescent="0.2">
      <c r="A9" s="35" t="s">
        <v>42</v>
      </c>
      <c r="B9" s="77" t="s">
        <v>43</v>
      </c>
      <c r="C9" s="77" t="s">
        <v>44</v>
      </c>
      <c r="D9" s="598"/>
      <c r="E9" s="77" t="s">
        <v>43</v>
      </c>
      <c r="F9" s="77" t="s">
        <v>44</v>
      </c>
      <c r="G9" s="598"/>
    </row>
    <row r="10" spans="1:8" ht="5.0999999999999996" customHeight="1" x14ac:dyDescent="0.2">
      <c r="A10" s="6"/>
      <c r="B10" s="6"/>
      <c r="C10" s="6"/>
      <c r="D10" s="6"/>
    </row>
    <row r="11" spans="1:8" ht="14.1" customHeight="1" x14ac:dyDescent="0.2">
      <c r="A11" s="284" t="s">
        <v>110</v>
      </c>
      <c r="B11" s="285">
        <f>'- 26 -'!B11</f>
        <v>5708</v>
      </c>
      <c r="C11" s="291">
        <f>'- 26 -'!C11</f>
        <v>2.9856962240305759E-2</v>
      </c>
      <c r="D11" s="285">
        <f>'- 26 -'!D11</f>
        <v>3.2321630804077008</v>
      </c>
      <c r="E11" s="285">
        <f>SUM('- 37 -'!B11,'- 37 -'!E11,'- 37 -'!H11,B11)</f>
        <v>527053</v>
      </c>
      <c r="F11" s="291">
        <f>E11/'- 3 -'!D11*100</f>
        <v>2.7568678205395711</v>
      </c>
      <c r="G11" s="285">
        <f>E11/'- 7 -'!E11</f>
        <v>298.44450736126839</v>
      </c>
    </row>
    <row r="12" spans="1:8" ht="14.1" customHeight="1" x14ac:dyDescent="0.2">
      <c r="A12" s="19" t="s">
        <v>111</v>
      </c>
      <c r="B12" s="20">
        <f>'- 26 -'!B12</f>
        <v>78319</v>
      </c>
      <c r="C12" s="70">
        <f>'- 26 -'!C12</f>
        <v>0.23435655273267808</v>
      </c>
      <c r="D12" s="20">
        <f>'- 26 -'!D12</f>
        <v>36.950767851666626</v>
      </c>
      <c r="E12" s="20">
        <f>SUM('- 37 -'!B12,'- 37 -'!E12,'- 37 -'!H12,B12)</f>
        <v>1266024</v>
      </c>
      <c r="F12" s="70">
        <f>E12/'- 3 -'!D12*100</f>
        <v>3.7883657901254613</v>
      </c>
      <c r="G12" s="20">
        <f>E12/'- 7 -'!E12</f>
        <v>597.30791913377834</v>
      </c>
    </row>
    <row r="13" spans="1:8" ht="14.1" customHeight="1" x14ac:dyDescent="0.2">
      <c r="A13" s="284" t="s">
        <v>112</v>
      </c>
      <c r="B13" s="285">
        <f>'- 26 -'!B13</f>
        <v>325150</v>
      </c>
      <c r="C13" s="291">
        <f>'- 26 -'!C13</f>
        <v>0.33900866048007922</v>
      </c>
      <c r="D13" s="285">
        <f>'- 26 -'!D13</f>
        <v>38.830835373499731</v>
      </c>
      <c r="E13" s="285">
        <f>SUM('- 37 -'!B13,'- 37 -'!E13,'- 37 -'!H13,B13)</f>
        <v>2701125</v>
      </c>
      <c r="F13" s="291">
        <f>E13/'- 3 -'!D13*100</f>
        <v>2.8162533232023801</v>
      </c>
      <c r="G13" s="285">
        <f>E13/'- 7 -'!E13</f>
        <v>322.58016361139306</v>
      </c>
    </row>
    <row r="14" spans="1:8" ht="14.1" customHeight="1" x14ac:dyDescent="0.2">
      <c r="A14" s="19" t="s">
        <v>359</v>
      </c>
      <c r="B14" s="20">
        <f>'- 26 -'!B14</f>
        <v>117166</v>
      </c>
      <c r="C14" s="70">
        <f>'- 26 -'!C14</f>
        <v>0.14126960848896683</v>
      </c>
      <c r="D14" s="20">
        <f>'- 26 -'!D14</f>
        <v>21.368412989637324</v>
      </c>
      <c r="E14" s="20">
        <f>SUM('- 37 -'!B14,'- 37 -'!E14,'- 37 -'!H14,B14)</f>
        <v>1623495</v>
      </c>
      <c r="F14" s="70">
        <f>E14/'- 3 -'!D14*100</f>
        <v>1.9574834255141864</v>
      </c>
      <c r="G14" s="20">
        <f>E14/'- 7 -'!E14</f>
        <v>296.08855509799128</v>
      </c>
    </row>
    <row r="15" spans="1:8" ht="14.1" customHeight="1" x14ac:dyDescent="0.2">
      <c r="A15" s="284" t="s">
        <v>113</v>
      </c>
      <c r="B15" s="285">
        <f>'- 26 -'!B15</f>
        <v>46808</v>
      </c>
      <c r="C15" s="291">
        <f>'- 26 -'!C15</f>
        <v>0.23984008884454086</v>
      </c>
      <c r="D15" s="285">
        <f>'- 26 -'!D15</f>
        <v>33.453401943967982</v>
      </c>
      <c r="E15" s="285">
        <f>SUM('- 37 -'!B15,'- 37 -'!E15,'- 37 -'!H15,B15)</f>
        <v>526100</v>
      </c>
      <c r="F15" s="291">
        <f>E15/'- 3 -'!D15*100</f>
        <v>2.6956902824541307</v>
      </c>
      <c r="G15" s="285">
        <f>E15/'- 7 -'!E15</f>
        <v>376.00057175528872</v>
      </c>
    </row>
    <row r="16" spans="1:8" ht="14.1" customHeight="1" x14ac:dyDescent="0.2">
      <c r="A16" s="19" t="s">
        <v>114</v>
      </c>
      <c r="B16" s="20">
        <f>'- 26 -'!B16</f>
        <v>32440</v>
      </c>
      <c r="C16" s="70">
        <f>'- 26 -'!C16</f>
        <v>0.22377667143376281</v>
      </c>
      <c r="D16" s="20">
        <f>'- 26 -'!D16</f>
        <v>35.892896658552779</v>
      </c>
      <c r="E16" s="20">
        <f>SUM('- 37 -'!B16,'- 37 -'!E16,'- 37 -'!H16,B16)</f>
        <v>373337</v>
      </c>
      <c r="F16" s="70">
        <f>E16/'- 3 -'!D16*100</f>
        <v>2.5753425148910822</v>
      </c>
      <c r="G16" s="20">
        <f>E16/'- 7 -'!E16</f>
        <v>413.07479530869665</v>
      </c>
    </row>
    <row r="17" spans="1:7" ht="14.1" customHeight="1" x14ac:dyDescent="0.2">
      <c r="A17" s="284" t="s">
        <v>115</v>
      </c>
      <c r="B17" s="285">
        <f>'- 26 -'!B17</f>
        <v>70855</v>
      </c>
      <c r="C17" s="291">
        <f>'- 26 -'!C17</f>
        <v>0.39482437099749612</v>
      </c>
      <c r="D17" s="285">
        <f>'- 26 -'!D17</f>
        <v>50.701252236135957</v>
      </c>
      <c r="E17" s="285">
        <f>SUM('- 37 -'!B17,'- 37 -'!E17,'- 37 -'!H17,B17)</f>
        <v>520858</v>
      </c>
      <c r="F17" s="291">
        <f>E17/'- 3 -'!D17*100</f>
        <v>2.902370082972463</v>
      </c>
      <c r="G17" s="285">
        <f>E17/'- 7 -'!E17</f>
        <v>372.70697674418602</v>
      </c>
    </row>
    <row r="18" spans="1:7" ht="14.1" customHeight="1" x14ac:dyDescent="0.2">
      <c r="A18" s="19" t="s">
        <v>116</v>
      </c>
      <c r="B18" s="20">
        <f>'- 26 -'!B18</f>
        <v>677384</v>
      </c>
      <c r="C18" s="70">
        <f>'- 26 -'!C18</f>
        <v>0.52651619648400749</v>
      </c>
      <c r="D18" s="20">
        <f>'- 26 -'!D18</f>
        <v>111.13947726787971</v>
      </c>
      <c r="E18" s="20">
        <f>SUM('- 37 -'!B18,'- 37 -'!E18,'- 37 -'!H18,B18)</f>
        <v>2410221</v>
      </c>
      <c r="F18" s="70">
        <f>E18/'- 3 -'!D18*100</f>
        <v>1.8734135934800364</v>
      </c>
      <c r="G18" s="20">
        <f>E18/'- 7 -'!E18</f>
        <v>395.44881786411594</v>
      </c>
    </row>
    <row r="19" spans="1:7" ht="14.1" customHeight="1" x14ac:dyDescent="0.2">
      <c r="A19" s="284" t="s">
        <v>117</v>
      </c>
      <c r="B19" s="285">
        <f>'- 26 -'!B19</f>
        <v>136790</v>
      </c>
      <c r="C19" s="291">
        <f>'- 26 -'!C19</f>
        <v>0.29639220220123652</v>
      </c>
      <c r="D19" s="285">
        <f>'- 26 -'!D19</f>
        <v>31.223464962337367</v>
      </c>
      <c r="E19" s="285">
        <f>SUM('- 37 -'!B19,'- 37 -'!E19,'- 37 -'!H19,B19)</f>
        <v>1569663</v>
      </c>
      <c r="F19" s="291">
        <f>E19/'- 3 -'!D19*100</f>
        <v>3.4010956450310657</v>
      </c>
      <c r="G19" s="285">
        <f>E19/'- 7 -'!E19</f>
        <v>358.28874686144718</v>
      </c>
    </row>
    <row r="20" spans="1:7" ht="14.1" customHeight="1" x14ac:dyDescent="0.2">
      <c r="A20" s="19" t="s">
        <v>118</v>
      </c>
      <c r="B20" s="20">
        <f>'- 26 -'!B20</f>
        <v>90644</v>
      </c>
      <c r="C20" s="70">
        <f>'- 26 -'!C20</f>
        <v>0.11020617456828752</v>
      </c>
      <c r="D20" s="20">
        <f>'- 26 -'!D20</f>
        <v>11.871390216750704</v>
      </c>
      <c r="E20" s="20">
        <f>SUM('- 37 -'!B20,'- 37 -'!E20,'- 37 -'!H20,B20)</f>
        <v>3084878</v>
      </c>
      <c r="F20" s="70">
        <f>E20/'- 3 -'!D20*100</f>
        <v>3.7506354903785102</v>
      </c>
      <c r="G20" s="20">
        <f>E20/'- 7 -'!E20</f>
        <v>404.01781153820968</v>
      </c>
    </row>
    <row r="21" spans="1:7" ht="14.1" customHeight="1" x14ac:dyDescent="0.2">
      <c r="A21" s="284" t="s">
        <v>119</v>
      </c>
      <c r="B21" s="285">
        <f>'- 26 -'!B21</f>
        <v>33437</v>
      </c>
      <c r="C21" s="291">
        <f>'- 26 -'!C21</f>
        <v>9.2963502240429582E-2</v>
      </c>
      <c r="D21" s="285">
        <f>'- 26 -'!D21</f>
        <v>12.193938951898181</v>
      </c>
      <c r="E21" s="285">
        <f>SUM('- 37 -'!B21,'- 37 -'!E21,'- 37 -'!H21,B21)</f>
        <v>1028615</v>
      </c>
      <c r="F21" s="291">
        <f>E21/'- 3 -'!D21*100</f>
        <v>2.8598155593216936</v>
      </c>
      <c r="G21" s="285">
        <f>E21/'- 7 -'!E21</f>
        <v>375.11943401042998</v>
      </c>
    </row>
    <row r="22" spans="1:7" ht="14.1" customHeight="1" x14ac:dyDescent="0.2">
      <c r="A22" s="19" t="s">
        <v>120</v>
      </c>
      <c r="B22" s="20">
        <f>'- 26 -'!B22</f>
        <v>62616</v>
      </c>
      <c r="C22" s="70">
        <f>'- 26 -'!C22</f>
        <v>0.31196803672828755</v>
      </c>
      <c r="D22" s="20">
        <f>'- 26 -'!D22</f>
        <v>41.097400892622737</v>
      </c>
      <c r="E22" s="20">
        <f>SUM('- 37 -'!B22,'- 37 -'!E22,'- 37 -'!H22,B22)</f>
        <v>367004</v>
      </c>
      <c r="F22" s="70">
        <f>E22/'- 3 -'!D22*100</f>
        <v>1.8285025768402394</v>
      </c>
      <c r="G22" s="20">
        <f>E22/'- 7 -'!E22</f>
        <v>240.8794959306905</v>
      </c>
    </row>
    <row r="23" spans="1:7" ht="14.1" customHeight="1" x14ac:dyDescent="0.2">
      <c r="A23" s="284" t="s">
        <v>121</v>
      </c>
      <c r="B23" s="285">
        <f>'- 26 -'!B23</f>
        <v>55105</v>
      </c>
      <c r="C23" s="291">
        <f>'- 26 -'!C23</f>
        <v>0.31857486584503392</v>
      </c>
      <c r="D23" s="285">
        <f>'- 26 -'!D23</f>
        <v>49.443696724988783</v>
      </c>
      <c r="E23" s="285">
        <f>SUM('- 37 -'!B23,'- 37 -'!E23,'- 37 -'!H23,B23)</f>
        <v>896293</v>
      </c>
      <c r="F23" s="291">
        <f>E23/'- 3 -'!D23*100</f>
        <v>5.1816790170191993</v>
      </c>
      <c r="G23" s="285">
        <f>E23/'- 7 -'!E23</f>
        <v>804.21085688649623</v>
      </c>
    </row>
    <row r="24" spans="1:7" ht="14.1" customHeight="1" x14ac:dyDescent="0.2">
      <c r="A24" s="19" t="s">
        <v>122</v>
      </c>
      <c r="B24" s="20">
        <f>'- 26 -'!B24</f>
        <v>151578</v>
      </c>
      <c r="C24" s="70">
        <f>'- 26 -'!C24</f>
        <v>0.26441353175297266</v>
      </c>
      <c r="D24" s="20">
        <f>'- 26 -'!D24</f>
        <v>38.390699794848416</v>
      </c>
      <c r="E24" s="20">
        <f>SUM('- 37 -'!B24,'- 37 -'!E24,'- 37 -'!H24,B24)</f>
        <v>2222652</v>
      </c>
      <c r="F24" s="70">
        <f>E24/'- 3 -'!D24*100</f>
        <v>3.877206884757737</v>
      </c>
      <c r="G24" s="20">
        <f>E24/'- 7 -'!E24</f>
        <v>562.93898639920974</v>
      </c>
    </row>
    <row r="25" spans="1:7" ht="14.1" customHeight="1" x14ac:dyDescent="0.2">
      <c r="A25" s="284" t="s">
        <v>123</v>
      </c>
      <c r="B25" s="285">
        <f>'- 26 -'!B25</f>
        <v>794371</v>
      </c>
      <c r="C25" s="291">
        <f>'- 26 -'!C25</f>
        <v>0.44790129663250394</v>
      </c>
      <c r="D25" s="285">
        <f>'- 26 -'!D25</f>
        <v>55.41131006773206</v>
      </c>
      <c r="E25" s="285">
        <f>SUM('- 37 -'!B25,'- 37 -'!E25,'- 37 -'!H25,B25)</f>
        <v>5320500</v>
      </c>
      <c r="F25" s="291">
        <f>E25/'- 3 -'!D25*100</f>
        <v>2.9999318312642798</v>
      </c>
      <c r="G25" s="285">
        <f>E25/'- 7 -'!E25</f>
        <v>371.13121603805831</v>
      </c>
    </row>
    <row r="26" spans="1:7" ht="14.1" customHeight="1" x14ac:dyDescent="0.2">
      <c r="A26" s="19" t="s">
        <v>124</v>
      </c>
      <c r="B26" s="20">
        <f>'- 26 -'!B26</f>
        <v>40826</v>
      </c>
      <c r="C26" s="70">
        <f>'- 26 -'!C26</f>
        <v>9.9607209535961819E-2</v>
      </c>
      <c r="D26" s="20">
        <f>'- 26 -'!D26</f>
        <v>13.359293193717278</v>
      </c>
      <c r="E26" s="20">
        <f>SUM('- 37 -'!B26,'- 37 -'!E26,'- 37 -'!H26,B26)</f>
        <v>1364218</v>
      </c>
      <c r="F26" s="70">
        <f>E26/'- 3 -'!D26*100</f>
        <v>3.328416895574652</v>
      </c>
      <c r="G26" s="20">
        <f>E26/'- 7 -'!E26</f>
        <v>446.40641361256547</v>
      </c>
    </row>
    <row r="27" spans="1:7" ht="14.1" customHeight="1" x14ac:dyDescent="0.2">
      <c r="A27" s="284" t="s">
        <v>125</v>
      </c>
      <c r="B27" s="285">
        <f>'- 26 -'!B27</f>
        <v>214723</v>
      </c>
      <c r="C27" s="291">
        <f>'- 26 -'!C27</f>
        <v>0.51806910871040501</v>
      </c>
      <c r="D27" s="285">
        <f>'- 26 -'!D27</f>
        <v>71.867793490084495</v>
      </c>
      <c r="E27" s="285">
        <f>SUM('- 37 -'!B27,'- 37 -'!E27,'- 37 -'!H27,B27)</f>
        <v>776869</v>
      </c>
      <c r="F27" s="291">
        <f>E27/'- 3 -'!D27*100</f>
        <v>1.8743768968147037</v>
      </c>
      <c r="G27" s="285">
        <f>E27/'- 7 -'!E27</f>
        <v>260.01807380135551</v>
      </c>
    </row>
    <row r="28" spans="1:7" ht="14.1" customHeight="1" x14ac:dyDescent="0.2">
      <c r="A28" s="19" t="s">
        <v>126</v>
      </c>
      <c r="B28" s="20">
        <f>'- 26 -'!B28</f>
        <v>76541</v>
      </c>
      <c r="C28" s="70">
        <f>'- 26 -'!C28</f>
        <v>0.27135971742087123</v>
      </c>
      <c r="D28" s="20">
        <f>'- 26 -'!D28</f>
        <v>38.99184921039226</v>
      </c>
      <c r="E28" s="20">
        <f>SUM('- 37 -'!B28,'- 37 -'!E28,'- 37 -'!H28,B28)</f>
        <v>895723</v>
      </c>
      <c r="F28" s="70">
        <f>E28/'- 3 -'!D28*100</f>
        <v>3.1755939975617653</v>
      </c>
      <c r="G28" s="20">
        <f>E28/'- 7 -'!E28</f>
        <v>456.30310748853793</v>
      </c>
    </row>
    <row r="29" spans="1:7" ht="14.1" customHeight="1" x14ac:dyDescent="0.2">
      <c r="A29" s="284" t="s">
        <v>127</v>
      </c>
      <c r="B29" s="285">
        <f>'- 26 -'!B29</f>
        <v>1009928</v>
      </c>
      <c r="C29" s="291">
        <f>'- 26 -'!C29</f>
        <v>0.63401942809178513</v>
      </c>
      <c r="D29" s="285">
        <f>'- 26 -'!D29</f>
        <v>77.197456124258551</v>
      </c>
      <c r="E29" s="285">
        <f>SUM('- 37 -'!B29,'- 37 -'!E29,'- 37 -'!H29,B29)</f>
        <v>4530298</v>
      </c>
      <c r="F29" s="291">
        <f>E29/'- 3 -'!D29*100</f>
        <v>2.8440611083615446</v>
      </c>
      <c r="G29" s="285">
        <f>E29/'- 7 -'!E29</f>
        <v>346.28951874273832</v>
      </c>
    </row>
    <row r="30" spans="1:7" ht="14.1" customHeight="1" x14ac:dyDescent="0.2">
      <c r="A30" s="19" t="s">
        <v>128</v>
      </c>
      <c r="B30" s="20">
        <f>'- 26 -'!B30</f>
        <v>43178</v>
      </c>
      <c r="C30" s="70">
        <f>'- 26 -'!C30</f>
        <v>0.30619046808607203</v>
      </c>
      <c r="D30" s="20">
        <f>'- 26 -'!D30</f>
        <v>43.215041464112097</v>
      </c>
      <c r="E30" s="20">
        <f>SUM('- 37 -'!B30,'- 37 -'!E30,'- 37 -'!H30,B30)</f>
        <v>397869</v>
      </c>
      <c r="F30" s="70">
        <f>E30/'- 3 -'!D30*100</f>
        <v>2.821429787089198</v>
      </c>
      <c r="G30" s="20">
        <f>E30/'- 7 -'!E30</f>
        <v>398.21032313411496</v>
      </c>
    </row>
    <row r="31" spans="1:7" ht="14.1" customHeight="1" x14ac:dyDescent="0.2">
      <c r="A31" s="284" t="s">
        <v>129</v>
      </c>
      <c r="B31" s="285">
        <f>'- 26 -'!B31</f>
        <v>155812</v>
      </c>
      <c r="C31" s="291">
        <f>'- 26 -'!C31</f>
        <v>0.41528327307569807</v>
      </c>
      <c r="D31" s="285">
        <f>'- 26 -'!D31</f>
        <v>47.897940362742084</v>
      </c>
      <c r="E31" s="285">
        <f>SUM('- 37 -'!B31,'- 37 -'!E31,'- 37 -'!H31,B31)</f>
        <v>884746</v>
      </c>
      <c r="F31" s="291">
        <f>E31/'- 3 -'!D31*100</f>
        <v>2.3580995990079812</v>
      </c>
      <c r="G31" s="285">
        <f>E31/'- 7 -'!E31</f>
        <v>271.97848140178297</v>
      </c>
    </row>
    <row r="32" spans="1:7" ht="14.1" customHeight="1" x14ac:dyDescent="0.2">
      <c r="A32" s="19" t="s">
        <v>130</v>
      </c>
      <c r="B32" s="20">
        <f>'- 26 -'!B32</f>
        <v>63544</v>
      </c>
      <c r="C32" s="70">
        <f>'- 26 -'!C32</f>
        <v>0.21689504691570524</v>
      </c>
      <c r="D32" s="20">
        <f>'- 26 -'!D32</f>
        <v>29.511424856028238</v>
      </c>
      <c r="E32" s="20">
        <f>SUM('- 37 -'!B32,'- 37 -'!E32,'- 37 -'!H32,B32)</f>
        <v>872205</v>
      </c>
      <c r="F32" s="70">
        <f>E32/'- 3 -'!D32*100</f>
        <v>2.977101605110045</v>
      </c>
      <c r="G32" s="20">
        <f>E32/'- 7 -'!E32</f>
        <v>405.07384358164597</v>
      </c>
    </row>
    <row r="33" spans="1:7" ht="14.1" customHeight="1" x14ac:dyDescent="0.2">
      <c r="A33" s="284" t="s">
        <v>131</v>
      </c>
      <c r="B33" s="285">
        <f>'- 26 -'!B33</f>
        <v>70345</v>
      </c>
      <c r="C33" s="291">
        <f>'- 26 -'!C33</f>
        <v>0.25291477582805638</v>
      </c>
      <c r="D33" s="285">
        <f>'- 26 -'!D33</f>
        <v>34.832879425600396</v>
      </c>
      <c r="E33" s="285">
        <f>SUM('- 37 -'!B33,'- 37 -'!E33,'- 37 -'!H33,B33)</f>
        <v>1131865</v>
      </c>
      <c r="F33" s="291">
        <f>E33/'- 3 -'!D33*100</f>
        <v>4.0694488981821451</v>
      </c>
      <c r="G33" s="285">
        <f>E33/'- 7 -'!E33</f>
        <v>560.46793760831883</v>
      </c>
    </row>
    <row r="34" spans="1:7" ht="14.1" customHeight="1" x14ac:dyDescent="0.2">
      <c r="A34" s="19" t="s">
        <v>132</v>
      </c>
      <c r="B34" s="20">
        <f>'- 26 -'!B34</f>
        <v>23050</v>
      </c>
      <c r="C34" s="70">
        <f>'- 26 -'!C34</f>
        <v>7.9263406708896006E-2</v>
      </c>
      <c r="D34" s="20">
        <f>'- 26 -'!D34</f>
        <v>11.32733795272495</v>
      </c>
      <c r="E34" s="20">
        <f>SUM('- 37 -'!B34,'- 37 -'!E34,'- 37 -'!H34,B34)</f>
        <v>1115401</v>
      </c>
      <c r="F34" s="70">
        <f>E34/'- 3 -'!D34*100</f>
        <v>3.8355957963778451</v>
      </c>
      <c r="G34" s="20">
        <f>E34/'- 7 -'!E34</f>
        <v>548.13553491572065</v>
      </c>
    </row>
    <row r="35" spans="1:7" ht="14.1" customHeight="1" x14ac:dyDescent="0.2">
      <c r="A35" s="284" t="s">
        <v>133</v>
      </c>
      <c r="B35" s="285">
        <f>'- 26 -'!B35</f>
        <v>776107</v>
      </c>
      <c r="C35" s="291">
        <f>'- 26 -'!C35</f>
        <v>0.42122045096124477</v>
      </c>
      <c r="D35" s="285">
        <f>'- 26 -'!D35</f>
        <v>49.724948744233728</v>
      </c>
      <c r="E35" s="285">
        <f>SUM('- 37 -'!B35,'- 37 -'!E35,'- 37 -'!H35,B35)</f>
        <v>3428163</v>
      </c>
      <c r="F35" s="291">
        <f>E35/'- 3 -'!D35*100</f>
        <v>1.8605841267101753</v>
      </c>
      <c r="G35" s="285">
        <f>E35/'- 7 -'!E35</f>
        <v>219.64140184520758</v>
      </c>
    </row>
    <row r="36" spans="1:7" ht="14.1" customHeight="1" x14ac:dyDescent="0.2">
      <c r="A36" s="19" t="s">
        <v>134</v>
      </c>
      <c r="B36" s="20">
        <f>'- 26 -'!B36</f>
        <v>33889</v>
      </c>
      <c r="C36" s="70">
        <f>'- 26 -'!C36</f>
        <v>0.14456415075248097</v>
      </c>
      <c r="D36" s="20">
        <f>'- 26 -'!D36</f>
        <v>20.323238380809595</v>
      </c>
      <c r="E36" s="20">
        <f>SUM('- 37 -'!B36,'- 37 -'!E36,'- 37 -'!H36,B36)</f>
        <v>647539</v>
      </c>
      <c r="F36" s="70">
        <f>E36/'- 3 -'!D36*100</f>
        <v>2.7622805516276894</v>
      </c>
      <c r="G36" s="20">
        <f>E36/'- 7 -'!E36</f>
        <v>388.32923538230887</v>
      </c>
    </row>
    <row r="37" spans="1:7" ht="14.1" customHeight="1" x14ac:dyDescent="0.2">
      <c r="A37" s="284" t="s">
        <v>135</v>
      </c>
      <c r="B37" s="285">
        <f>'- 26 -'!B37</f>
        <v>228562</v>
      </c>
      <c r="C37" s="291">
        <f>'- 26 -'!C37</f>
        <v>0.455410291074686</v>
      </c>
      <c r="D37" s="285">
        <f>'- 26 -'!D37</f>
        <v>54.640688501075786</v>
      </c>
      <c r="E37" s="285">
        <f>SUM('- 37 -'!B37,'- 37 -'!E37,'- 37 -'!H37,B37)</f>
        <v>1970950</v>
      </c>
      <c r="F37" s="291">
        <f>E37/'- 3 -'!D37*100</f>
        <v>3.9271222390145883</v>
      </c>
      <c r="G37" s="285">
        <f>E37/'- 7 -'!E37</f>
        <v>471.18097059526656</v>
      </c>
    </row>
    <row r="38" spans="1:7" ht="14.1" customHeight="1" x14ac:dyDescent="0.2">
      <c r="A38" s="19" t="s">
        <v>136</v>
      </c>
      <c r="B38" s="20">
        <f>'- 26 -'!B38</f>
        <v>541415</v>
      </c>
      <c r="C38" s="70">
        <f>'- 26 -'!C38</f>
        <v>0.39902292061532901</v>
      </c>
      <c r="D38" s="20">
        <f>'- 26 -'!D38</f>
        <v>49.247303025341559</v>
      </c>
      <c r="E38" s="20">
        <f>SUM('- 37 -'!B38,'- 37 -'!E38,'- 37 -'!H38,B38)</f>
        <v>3254837</v>
      </c>
      <c r="F38" s="70">
        <f>E38/'- 3 -'!D38*100</f>
        <v>2.3988152634611821</v>
      </c>
      <c r="G38" s="20">
        <f>E38/'- 7 -'!E38</f>
        <v>296.06114355363934</v>
      </c>
    </row>
    <row r="39" spans="1:7" ht="14.1" customHeight="1" x14ac:dyDescent="0.2">
      <c r="A39" s="284" t="s">
        <v>137</v>
      </c>
      <c r="B39" s="285">
        <f>'- 26 -'!B39</f>
        <v>60703</v>
      </c>
      <c r="C39" s="291">
        <f>'- 26 -'!C39</f>
        <v>0.28291870236498556</v>
      </c>
      <c r="D39" s="285">
        <f>'- 26 -'!D39</f>
        <v>40.468666666666664</v>
      </c>
      <c r="E39" s="285">
        <f>SUM('- 37 -'!B39,'- 37 -'!E39,'- 37 -'!H39,B39)</f>
        <v>473756</v>
      </c>
      <c r="F39" s="291">
        <f>E39/'- 3 -'!D39*100</f>
        <v>2.2080363863009427</v>
      </c>
      <c r="G39" s="285">
        <f>E39/'- 7 -'!E39</f>
        <v>315.83733333333333</v>
      </c>
    </row>
    <row r="40" spans="1:7" ht="14.1" customHeight="1" x14ac:dyDescent="0.2">
      <c r="A40" s="19" t="s">
        <v>138</v>
      </c>
      <c r="B40" s="20">
        <f>'- 26 -'!B40</f>
        <v>436800</v>
      </c>
      <c r="C40" s="70">
        <f>'- 26 -'!C40</f>
        <v>0.41861569023933975</v>
      </c>
      <c r="D40" s="20">
        <f>'- 26 -'!D40</f>
        <v>52.878795215728054</v>
      </c>
      <c r="E40" s="20">
        <f>SUM('- 37 -'!B40,'- 37 -'!E40,'- 37 -'!H40,B40)</f>
        <v>2654415</v>
      </c>
      <c r="F40" s="70">
        <f>E40/'- 3 -'!D40*100</f>
        <v>2.5439097239163395</v>
      </c>
      <c r="G40" s="20">
        <f>E40/'- 7 -'!E40</f>
        <v>321.34218681904025</v>
      </c>
    </row>
    <row r="41" spans="1:7" ht="14.1" customHeight="1" x14ac:dyDescent="0.2">
      <c r="A41" s="284" t="s">
        <v>139</v>
      </c>
      <c r="B41" s="285">
        <f>'- 26 -'!B41</f>
        <v>125190</v>
      </c>
      <c r="C41" s="291">
        <f>'- 26 -'!C41</f>
        <v>0.19985509029270668</v>
      </c>
      <c r="D41" s="285">
        <f>'- 26 -'!D41</f>
        <v>28.078950319614219</v>
      </c>
      <c r="E41" s="285">
        <f>SUM('- 37 -'!B41,'- 37 -'!E41,'- 37 -'!H41,B41)</f>
        <v>1409129</v>
      </c>
      <c r="F41" s="291">
        <f>E41/'- 3 -'!D41*100</f>
        <v>2.2495535069020809</v>
      </c>
      <c r="G41" s="285">
        <f>E41/'- 7 -'!E41</f>
        <v>316.05450263541547</v>
      </c>
    </row>
    <row r="42" spans="1:7" ht="14.1" customHeight="1" x14ac:dyDescent="0.2">
      <c r="A42" s="19" t="s">
        <v>140</v>
      </c>
      <c r="B42" s="20">
        <f>'- 26 -'!B42</f>
        <v>41192</v>
      </c>
      <c r="C42" s="70">
        <f>'- 26 -'!C42</f>
        <v>0.20330501942088078</v>
      </c>
      <c r="D42" s="20">
        <f>'- 26 -'!D42</f>
        <v>29.879587987813725</v>
      </c>
      <c r="E42" s="20">
        <f>SUM('- 37 -'!B42,'- 37 -'!E42,'- 37 -'!H42,B42)</f>
        <v>592855</v>
      </c>
      <c r="F42" s="70">
        <f>E42/'- 3 -'!D42*100</f>
        <v>2.926063247445287</v>
      </c>
      <c r="G42" s="20">
        <f>E42/'- 7 -'!E42</f>
        <v>430.04134629334112</v>
      </c>
    </row>
    <row r="43" spans="1:7" ht="14.1" customHeight="1" x14ac:dyDescent="0.2">
      <c r="A43" s="284" t="s">
        <v>141</v>
      </c>
      <c r="B43" s="285">
        <f>'- 26 -'!B43</f>
        <v>28949</v>
      </c>
      <c r="C43" s="291">
        <f>'- 26 -'!C43</f>
        <v>0.21852170957967348</v>
      </c>
      <c r="D43" s="285">
        <f>'- 26 -'!D43</f>
        <v>30.070634673314636</v>
      </c>
      <c r="E43" s="285">
        <f>SUM('- 37 -'!B43,'- 37 -'!E43,'- 37 -'!H43,B43)</f>
        <v>399755</v>
      </c>
      <c r="F43" s="291">
        <f>E43/'- 3 -'!D43*100</f>
        <v>3.0175531456362008</v>
      </c>
      <c r="G43" s="285">
        <f>E43/'- 7 -'!E43</f>
        <v>415.24358574841591</v>
      </c>
    </row>
    <row r="44" spans="1:7" ht="14.1" customHeight="1" x14ac:dyDescent="0.2">
      <c r="A44" s="19" t="s">
        <v>142</v>
      </c>
      <c r="B44" s="20">
        <f>'- 26 -'!B44</f>
        <v>5008</v>
      </c>
      <c r="C44" s="70">
        <f>'- 26 -'!C44</f>
        <v>4.6334191089494658E-2</v>
      </c>
      <c r="D44" s="20">
        <f>'- 26 -'!D44</f>
        <v>7.2213410237923572</v>
      </c>
      <c r="E44" s="20">
        <f>SUM('- 37 -'!B44,'- 37 -'!E44,'- 37 -'!H44,B44)</f>
        <v>368696</v>
      </c>
      <c r="F44" s="70">
        <f>E44/'- 3 -'!D44*100</f>
        <v>3.411188282334729</v>
      </c>
      <c r="G44" s="20">
        <f>E44/'- 7 -'!E44</f>
        <v>531.64527757750545</v>
      </c>
    </row>
    <row r="45" spans="1:7" ht="14.1" customHeight="1" x14ac:dyDescent="0.2">
      <c r="A45" s="284" t="s">
        <v>143</v>
      </c>
      <c r="B45" s="285">
        <f>'- 26 -'!B45</f>
        <v>67339</v>
      </c>
      <c r="C45" s="291">
        <f>'- 26 -'!C45</f>
        <v>0.34960587504420759</v>
      </c>
      <c r="D45" s="285">
        <f>'- 26 -'!D45</f>
        <v>39.963798219584568</v>
      </c>
      <c r="E45" s="285">
        <f>SUM('- 37 -'!B45,'- 37 -'!E45,'- 37 -'!H45,B45)</f>
        <v>563752</v>
      </c>
      <c r="F45" s="291">
        <f>E45/'- 3 -'!D45*100</f>
        <v>2.926847907867983</v>
      </c>
      <c r="G45" s="285">
        <f>E45/'- 7 -'!E45</f>
        <v>334.57091988130566</v>
      </c>
    </row>
    <row r="46" spans="1:7" ht="14.1" customHeight="1" x14ac:dyDescent="0.2">
      <c r="A46" s="19" t="s">
        <v>144</v>
      </c>
      <c r="B46" s="20">
        <f>'- 26 -'!B46</f>
        <v>1267764</v>
      </c>
      <c r="C46" s="70">
        <f>'- 26 -'!C46</f>
        <v>0.32401558711045036</v>
      </c>
      <c r="D46" s="20">
        <f>'- 26 -'!D46</f>
        <v>42.429934067405199</v>
      </c>
      <c r="E46" s="20">
        <f>SUM('- 37 -'!B46,'- 37 -'!E46,'- 37 -'!H46,B46)</f>
        <v>8321415</v>
      </c>
      <c r="F46" s="70">
        <f>E46/'- 3 -'!D46*100</f>
        <v>2.1267902912645478</v>
      </c>
      <c r="G46" s="20">
        <f>E46/'- 7 -'!E46</f>
        <v>278.50379865457347</v>
      </c>
    </row>
    <row r="47" spans="1:7" ht="5.0999999999999996" customHeight="1" x14ac:dyDescent="0.2">
      <c r="A47" s="21"/>
      <c r="B47" s="22"/>
      <c r="C47"/>
      <c r="D47"/>
      <c r="E47"/>
      <c r="F47"/>
      <c r="G47"/>
    </row>
    <row r="48" spans="1:7" ht="14.1" customHeight="1" x14ac:dyDescent="0.2">
      <c r="A48" s="286" t="s">
        <v>145</v>
      </c>
      <c r="B48" s="287">
        <f>SUM(B11:B46)</f>
        <v>7989236</v>
      </c>
      <c r="C48" s="294">
        <f>'- 26 -'!C48</f>
        <v>0.3484166442068965</v>
      </c>
      <c r="D48" s="287">
        <f>'- 26 -'!D48</f>
        <v>45.383746737949359</v>
      </c>
      <c r="E48" s="287">
        <f>SUM('- 37 -'!B48,'- 37 -'!E48,'- 37 -'!H48,B48)</f>
        <v>60492274</v>
      </c>
      <c r="F48" s="294">
        <f>E48/'- 3 -'!D48*100</f>
        <v>2.6381139707882078</v>
      </c>
      <c r="G48" s="287">
        <f>E48/'- 7 -'!E48</f>
        <v>343.63311370682237</v>
      </c>
    </row>
    <row r="49" spans="1:8" ht="5.0999999999999996" customHeight="1" x14ac:dyDescent="0.2">
      <c r="A49" s="21" t="s">
        <v>7</v>
      </c>
      <c r="B49" s="22"/>
      <c r="C49"/>
      <c r="D49"/>
      <c r="E49"/>
      <c r="F49"/>
      <c r="G49"/>
    </row>
    <row r="50" spans="1:8" ht="14.1" customHeight="1" x14ac:dyDescent="0.2">
      <c r="A50" s="19" t="s">
        <v>146</v>
      </c>
      <c r="B50" s="20">
        <f>'- 26 -'!B50</f>
        <v>515</v>
      </c>
      <c r="C50" s="70">
        <f>'- 26 -'!C50</f>
        <v>1.6060715116594553E-2</v>
      </c>
      <c r="D50" s="20">
        <f>'- 26 -'!D50</f>
        <v>3.3225806451612905</v>
      </c>
      <c r="E50" s="20">
        <f>SUM('- 37 -'!B50,'- 37 -'!E50,'- 37 -'!H50,B50)</f>
        <v>81312</v>
      </c>
      <c r="F50" s="70">
        <f>E50/'- 3 -'!D50*100</f>
        <v>2.5357842088554108</v>
      </c>
      <c r="G50" s="20">
        <f>E50/'- 7 -'!E50</f>
        <v>524.5935483870968</v>
      </c>
    </row>
    <row r="51" spans="1:8" ht="14.1" customHeight="1" x14ac:dyDescent="0.2">
      <c r="A51" s="284" t="s">
        <v>609</v>
      </c>
      <c r="B51" s="285">
        <f>'- 26 -'!B51</f>
        <v>1281825</v>
      </c>
      <c r="C51" s="291">
        <f>'- 26 -'!C51</f>
        <v>4.4174888757648043</v>
      </c>
      <c r="D51" s="285">
        <f>'- 26 -'!D51</f>
        <v>1083.9957716701904</v>
      </c>
      <c r="E51" s="285">
        <f>SUM('- 37 -'!B51,'- 37 -'!E51,'- 37 -'!H51,B51)</f>
        <v>1642124</v>
      </c>
      <c r="F51" s="291">
        <f>E51/'- 3 -'!D51*100</f>
        <v>5.6591691554045243</v>
      </c>
      <c r="G51" s="285">
        <f>E51/'- 7 -'!E51</f>
        <v>1388.6883720930232</v>
      </c>
    </row>
    <row r="52" spans="1:8" ht="50.1" customHeight="1" x14ac:dyDescent="0.2">
      <c r="A52" s="23"/>
      <c r="B52" s="23"/>
      <c r="C52" s="23"/>
      <c r="D52" s="23"/>
      <c r="E52" s="23"/>
      <c r="F52" s="23"/>
      <c r="G52" s="23"/>
      <c r="H52" s="23"/>
    </row>
    <row r="53" spans="1:8" ht="15" customHeight="1" x14ac:dyDescent="0.2">
      <c r="A53" s="133" t="s">
        <v>348</v>
      </c>
    </row>
    <row r="54" spans="1:8" ht="12" customHeight="1" x14ac:dyDescent="0.2">
      <c r="A54" s="133" t="s">
        <v>416</v>
      </c>
      <c r="B54" s="130"/>
      <c r="C54" s="130"/>
      <c r="D54" s="130"/>
    </row>
  </sheetData>
  <mergeCells count="4">
    <mergeCell ref="D8:D9"/>
    <mergeCell ref="G8:G9"/>
    <mergeCell ref="E7:G7"/>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M55"/>
  <sheetViews>
    <sheetView showGridLines="0" showZeros="0" workbookViewId="0"/>
  </sheetViews>
  <sheetFormatPr defaultColWidth="14.83203125" defaultRowHeight="12" x14ac:dyDescent="0.2"/>
  <cols>
    <col min="1" max="1" width="31.83203125" style="2" customWidth="1"/>
    <col min="2" max="2" width="15.83203125" style="2" customWidth="1"/>
    <col min="3" max="3" width="13.83203125" style="2" customWidth="1"/>
    <col min="4" max="5" width="14.83203125" style="2" customWidth="1"/>
    <col min="6" max="6" width="12.83203125" style="2" customWidth="1"/>
    <col min="7" max="7" width="16.83203125" style="2" customWidth="1"/>
    <col min="8" max="8" width="11.83203125" style="2" customWidth="1"/>
    <col min="9" max="10" width="14.83203125" style="2"/>
    <col min="11" max="11" width="19.5" style="2" customWidth="1"/>
    <col min="12" max="16384" width="14.83203125" style="2"/>
  </cols>
  <sheetData>
    <row r="1" spans="1:13" ht="6.95" customHeight="1" x14ac:dyDescent="0.2">
      <c r="A1" s="7"/>
      <c r="J1" s="495">
        <v>100.00000000000003</v>
      </c>
    </row>
    <row r="2" spans="1:13" ht="15.95" customHeight="1" x14ac:dyDescent="0.2">
      <c r="A2" s="204" t="str">
        <f>"  SUMMARY"&amp;REPLACE(REVYEAR,1,8,"")</f>
        <v xml:space="preserve">  SUMMARY OF OPERATING FUND REVENUE: 2016/2017 ACTUAL</v>
      </c>
      <c r="B2" s="41"/>
      <c r="C2" s="41"/>
      <c r="D2" s="41"/>
      <c r="E2" s="41"/>
      <c r="F2" s="41"/>
      <c r="G2" s="41"/>
      <c r="H2" s="41"/>
    </row>
    <row r="3" spans="1:13" ht="15.95" customHeight="1" x14ac:dyDescent="0.2">
      <c r="A3" s="537"/>
    </row>
    <row r="4" spans="1:13" ht="15.95" customHeight="1" x14ac:dyDescent="0.2">
      <c r="B4" s="8"/>
      <c r="C4" s="69"/>
      <c r="D4" s="69"/>
      <c r="E4" s="8"/>
      <c r="F4" s="8"/>
      <c r="G4" s="8"/>
      <c r="H4" s="8"/>
    </row>
    <row r="5" spans="1:13" ht="15.95" customHeight="1" x14ac:dyDescent="0.2">
      <c r="B5" s="8"/>
      <c r="C5" s="8"/>
      <c r="D5" s="8"/>
      <c r="E5" s="8"/>
      <c r="F5" s="8"/>
      <c r="G5" s="8"/>
      <c r="H5" s="8"/>
    </row>
    <row r="6" spans="1:13" ht="15.95" customHeight="1" x14ac:dyDescent="0.2">
      <c r="B6" s="206" t="s">
        <v>54</v>
      </c>
      <c r="C6" s="173"/>
      <c r="D6" s="173"/>
      <c r="E6" s="173"/>
      <c r="F6" s="173"/>
      <c r="G6" s="173"/>
      <c r="H6" s="174"/>
    </row>
    <row r="7" spans="1:13" ht="15.95" customHeight="1" x14ac:dyDescent="0.2">
      <c r="B7" s="691" t="s">
        <v>58</v>
      </c>
      <c r="C7" s="692"/>
      <c r="D7" s="693"/>
      <c r="E7" s="636" t="s">
        <v>520</v>
      </c>
      <c r="F7" s="303" t="s">
        <v>7</v>
      </c>
      <c r="G7" s="634" t="s">
        <v>519</v>
      </c>
      <c r="H7" s="303" t="s">
        <v>7</v>
      </c>
    </row>
    <row r="8" spans="1:13" ht="15.95" customHeight="1" x14ac:dyDescent="0.2">
      <c r="A8" s="33"/>
      <c r="B8" s="338"/>
      <c r="C8" s="372"/>
      <c r="D8" s="372"/>
      <c r="E8" s="713"/>
      <c r="F8" s="713" t="s">
        <v>61</v>
      </c>
      <c r="G8" s="713"/>
      <c r="H8" s="350" t="s">
        <v>7</v>
      </c>
      <c r="K8" s="510"/>
      <c r="L8" s="510"/>
      <c r="M8" s="510"/>
    </row>
    <row r="9" spans="1:13" ht="15.95" customHeight="1" x14ac:dyDescent="0.2">
      <c r="A9" s="82" t="s">
        <v>42</v>
      </c>
      <c r="B9" s="307" t="s">
        <v>246</v>
      </c>
      <c r="C9" s="307" t="s">
        <v>56</v>
      </c>
      <c r="D9" s="307" t="s">
        <v>57</v>
      </c>
      <c r="E9" s="635"/>
      <c r="F9" s="635"/>
      <c r="G9" s="635"/>
      <c r="H9" s="307" t="s">
        <v>24</v>
      </c>
      <c r="J9" s="496" t="s">
        <v>85</v>
      </c>
      <c r="K9" s="510"/>
      <c r="L9" s="510"/>
      <c r="M9" s="510"/>
    </row>
    <row r="10" spans="1:13" ht="5.0999999999999996" customHeight="1" x14ac:dyDescent="0.2">
      <c r="A10" s="6"/>
      <c r="B10" s="207"/>
      <c r="C10" s="207"/>
      <c r="D10" s="207"/>
      <c r="E10" s="207"/>
      <c r="F10" s="207"/>
      <c r="G10" s="207"/>
      <c r="H10" s="207"/>
      <c r="K10" s="510"/>
      <c r="L10" s="510"/>
      <c r="M10" s="510"/>
    </row>
    <row r="11" spans="1:13" ht="14.1" customHeight="1" x14ac:dyDescent="0.2">
      <c r="A11" s="284" t="s">
        <v>110</v>
      </c>
      <c r="B11" s="291">
        <f>'- 41 -'!I11</f>
        <v>65.507245328612868</v>
      </c>
      <c r="C11" s="291">
        <f>'- 42 -'!C11</f>
        <v>0</v>
      </c>
      <c r="D11" s="291">
        <f>'- 42 -'!E11</f>
        <v>33.797830148289812</v>
      </c>
      <c r="E11" s="291">
        <f>'- 42 -'!G11</f>
        <v>0.14364689944696948</v>
      </c>
      <c r="F11" s="291">
        <f>'- 42 -'!I11</f>
        <v>0</v>
      </c>
      <c r="G11" s="291">
        <f>'- 43 -'!C11</f>
        <v>7.8031406636647482E-2</v>
      </c>
      <c r="H11" s="291">
        <f>'- 43 -'!E11</f>
        <v>0.47324621701369946</v>
      </c>
      <c r="J11" s="131">
        <f>SUM(B11:H11)</f>
        <v>100</v>
      </c>
      <c r="K11" s="495" t="s">
        <v>60</v>
      </c>
      <c r="L11" s="548">
        <f>B48</f>
        <v>60.768190852016268</v>
      </c>
      <c r="M11" s="510"/>
    </row>
    <row r="12" spans="1:13" ht="14.1" customHeight="1" x14ac:dyDescent="0.2">
      <c r="A12" s="19" t="s">
        <v>111</v>
      </c>
      <c r="B12" s="70">
        <f>'- 41 -'!I12</f>
        <v>57.822276679922254</v>
      </c>
      <c r="C12" s="70">
        <f>'- 42 -'!C12</f>
        <v>4.2044136832848994E-2</v>
      </c>
      <c r="D12" s="70">
        <f>'- 42 -'!E12</f>
        <v>35.374692725664772</v>
      </c>
      <c r="E12" s="70">
        <f>'- 42 -'!G12</f>
        <v>1.9433236546491928</v>
      </c>
      <c r="F12" s="70">
        <f>'- 42 -'!I12</f>
        <v>3.6757034879891375</v>
      </c>
      <c r="G12" s="70">
        <f>'- 43 -'!C12</f>
        <v>0.39127745687548054</v>
      </c>
      <c r="H12" s="70">
        <f>'- 43 -'!E12</f>
        <v>0.75068185806630927</v>
      </c>
      <c r="J12" s="131">
        <f t="shared" ref="J12:J46" si="0">SUM(B12:H12)</f>
        <v>100.00000000000001</v>
      </c>
      <c r="K12" s="495" t="s">
        <v>56</v>
      </c>
      <c r="L12" s="548">
        <f>C48</f>
        <v>0.30775330277441298</v>
      </c>
      <c r="M12" s="510"/>
    </row>
    <row r="13" spans="1:13" ht="14.1" customHeight="1" x14ac:dyDescent="0.2">
      <c r="A13" s="284" t="s">
        <v>112</v>
      </c>
      <c r="B13" s="291">
        <f>'- 41 -'!I13</f>
        <v>60.891667222203772</v>
      </c>
      <c r="C13" s="291">
        <f>'- 42 -'!C13</f>
        <v>0</v>
      </c>
      <c r="D13" s="291">
        <f>'- 42 -'!E13</f>
        <v>37.414793070242787</v>
      </c>
      <c r="E13" s="291">
        <f>'- 42 -'!G13</f>
        <v>0.45629308633857785</v>
      </c>
      <c r="F13" s="291">
        <f>'- 42 -'!I13</f>
        <v>0.2526760201372274</v>
      </c>
      <c r="G13" s="291">
        <f>'- 43 -'!C13</f>
        <v>0.89179193289145531</v>
      </c>
      <c r="H13" s="291">
        <f>'- 43 -'!E13</f>
        <v>9.2778668186176833E-2</v>
      </c>
      <c r="J13" s="131">
        <f t="shared" si="0"/>
        <v>99.999999999999986</v>
      </c>
      <c r="K13" s="495" t="s">
        <v>57</v>
      </c>
      <c r="L13" s="548">
        <f>D48</f>
        <v>32.881113471747689</v>
      </c>
      <c r="M13" s="510"/>
    </row>
    <row r="14" spans="1:13" ht="14.1" customHeight="1" x14ac:dyDescent="0.2">
      <c r="A14" s="19" t="s">
        <v>359</v>
      </c>
      <c r="B14" s="70">
        <f>'- 41 -'!I14</f>
        <v>71.515537850631233</v>
      </c>
      <c r="C14" s="70">
        <f>'- 42 -'!C14</f>
        <v>5.7318241675144474E-2</v>
      </c>
      <c r="D14" s="70">
        <f>'- 42 -'!E14</f>
        <v>26.018105691218494</v>
      </c>
      <c r="E14" s="70">
        <f>'- 42 -'!G14</f>
        <v>2.0731135465781927</v>
      </c>
      <c r="F14" s="70">
        <f>'- 42 -'!I14</f>
        <v>0</v>
      </c>
      <c r="G14" s="70">
        <f>'- 43 -'!C14</f>
        <v>0.20016491864306346</v>
      </c>
      <c r="H14" s="70">
        <f>'- 43 -'!E14</f>
        <v>0.13575975125387627</v>
      </c>
      <c r="J14" s="131">
        <f t="shared" si="0"/>
        <v>100.00000000000001</v>
      </c>
      <c r="K14" s="495" t="s">
        <v>70</v>
      </c>
      <c r="L14" s="548">
        <f>E48</f>
        <v>0.55623072201057333</v>
      </c>
      <c r="M14" s="510"/>
    </row>
    <row r="15" spans="1:13" ht="14.1" customHeight="1" x14ac:dyDescent="0.2">
      <c r="A15" s="284" t="s">
        <v>113</v>
      </c>
      <c r="B15" s="291">
        <f>'- 41 -'!I15</f>
        <v>62.436894902989494</v>
      </c>
      <c r="C15" s="291">
        <f>'- 42 -'!C15</f>
        <v>0</v>
      </c>
      <c r="D15" s="291">
        <f>'- 42 -'!E15</f>
        <v>35.968958921646866</v>
      </c>
      <c r="E15" s="291">
        <f>'- 42 -'!G15</f>
        <v>0.25172130749937466</v>
      </c>
      <c r="F15" s="291">
        <f>'- 42 -'!I15</f>
        <v>0.73237009228814287</v>
      </c>
      <c r="G15" s="291">
        <f>'- 43 -'!C15</f>
        <v>0.40715497046265819</v>
      </c>
      <c r="H15" s="291">
        <f>'- 43 -'!E15</f>
        <v>0.20289980511346506</v>
      </c>
      <c r="J15" s="131">
        <f t="shared" si="0"/>
        <v>100</v>
      </c>
      <c r="K15" s="495" t="s">
        <v>61</v>
      </c>
      <c r="L15" s="548">
        <f>F48</f>
        <v>4.0256006572627285</v>
      </c>
      <c r="M15" s="510"/>
    </row>
    <row r="16" spans="1:13" ht="14.1" customHeight="1" x14ac:dyDescent="0.2">
      <c r="A16" s="19" t="s">
        <v>114</v>
      </c>
      <c r="B16" s="70">
        <f>'- 41 -'!I16</f>
        <v>72.483761779899339</v>
      </c>
      <c r="C16" s="70">
        <f>'- 42 -'!C16</f>
        <v>0.14119900094755752</v>
      </c>
      <c r="D16" s="70">
        <f>'- 42 -'!E16</f>
        <v>23.425801985201005</v>
      </c>
      <c r="E16" s="70">
        <f>'- 42 -'!G16</f>
        <v>1.8622456516905057</v>
      </c>
      <c r="F16" s="70">
        <f>'- 42 -'!I16</f>
        <v>0.18955840255322631</v>
      </c>
      <c r="G16" s="70">
        <f>'- 43 -'!C16</f>
        <v>1.4633509367004376</v>
      </c>
      <c r="H16" s="70">
        <f>'- 43 -'!E16</f>
        <v>0.43408224300793602</v>
      </c>
      <c r="J16" s="131">
        <f t="shared" si="0"/>
        <v>100</v>
      </c>
      <c r="K16" s="495" t="s">
        <v>53</v>
      </c>
      <c r="L16" s="548">
        <f>G48</f>
        <v>1.1350650605082797</v>
      </c>
      <c r="M16" s="510"/>
    </row>
    <row r="17" spans="1:13" ht="14.1" customHeight="1" x14ac:dyDescent="0.2">
      <c r="A17" s="284" t="s">
        <v>115</v>
      </c>
      <c r="B17" s="291">
        <f>'- 41 -'!I17</f>
        <v>55.156737637764849</v>
      </c>
      <c r="C17" s="291">
        <f>'- 42 -'!C17</f>
        <v>0</v>
      </c>
      <c r="D17" s="291">
        <f>'- 42 -'!E17</f>
        <v>39.294213096247205</v>
      </c>
      <c r="E17" s="291">
        <f>'- 42 -'!G17</f>
        <v>0.12316176392011123</v>
      </c>
      <c r="F17" s="291">
        <f>'- 42 -'!I17</f>
        <v>5.2415562859413276</v>
      </c>
      <c r="G17" s="291">
        <f>'- 43 -'!C17</f>
        <v>0</v>
      </c>
      <c r="H17" s="291">
        <f>'- 43 -'!E17</f>
        <v>0.18433121612650749</v>
      </c>
      <c r="J17" s="131">
        <f t="shared" si="0"/>
        <v>100</v>
      </c>
      <c r="K17" s="497" t="s">
        <v>24</v>
      </c>
      <c r="L17" s="548">
        <f>H48</f>
        <v>0.32604593368004947</v>
      </c>
      <c r="M17" s="510"/>
    </row>
    <row r="18" spans="1:13" ht="14.1" customHeight="1" x14ac:dyDescent="0.2">
      <c r="A18" s="19" t="s">
        <v>116</v>
      </c>
      <c r="B18" s="70">
        <f>'- 41 -'!I18</f>
        <v>37.076852383298579</v>
      </c>
      <c r="C18" s="70">
        <f>'- 42 -'!C18</f>
        <v>0.17039970458146897</v>
      </c>
      <c r="D18" s="70">
        <f>'- 42 -'!E18</f>
        <v>2.3828879151525877</v>
      </c>
      <c r="E18" s="70">
        <f>'- 42 -'!G18</f>
        <v>1.3454728796395332E-2</v>
      </c>
      <c r="F18" s="70">
        <f>'- 42 -'!I18</f>
        <v>56.029992128170456</v>
      </c>
      <c r="G18" s="70">
        <f>'- 43 -'!C18</f>
        <v>3.6908228407209913</v>
      </c>
      <c r="H18" s="70">
        <f>'- 43 -'!E18</f>
        <v>0.63559029927952071</v>
      </c>
      <c r="J18" s="131">
        <f t="shared" si="0"/>
        <v>100</v>
      </c>
      <c r="K18" s="495"/>
      <c r="L18" s="548"/>
      <c r="M18" s="510"/>
    </row>
    <row r="19" spans="1:13" ht="14.1" customHeight="1" x14ac:dyDescent="0.2">
      <c r="A19" s="284" t="s">
        <v>117</v>
      </c>
      <c r="B19" s="291">
        <f>'- 41 -'!I19</f>
        <v>68.17262666022576</v>
      </c>
      <c r="C19" s="291">
        <f>'- 42 -'!C19</f>
        <v>0</v>
      </c>
      <c r="D19" s="291">
        <f>'- 42 -'!E19</f>
        <v>29.770941165734584</v>
      </c>
      <c r="E19" s="291">
        <f>'- 42 -'!G19</f>
        <v>0.71555079568238489</v>
      </c>
      <c r="F19" s="291">
        <f>'- 42 -'!I19</f>
        <v>0</v>
      </c>
      <c r="G19" s="291">
        <f>'- 43 -'!C19</f>
        <v>4.1433404632291559E-2</v>
      </c>
      <c r="H19" s="291">
        <f>'- 43 -'!E19</f>
        <v>1.299447973724986</v>
      </c>
      <c r="J19" s="131">
        <f t="shared" si="0"/>
        <v>100</v>
      </c>
      <c r="K19" s="495"/>
      <c r="L19" s="548">
        <f>SUM(L11:L17)</f>
        <v>100</v>
      </c>
      <c r="M19" s="510"/>
    </row>
    <row r="20" spans="1:13" ht="14.1" customHeight="1" x14ac:dyDescent="0.2">
      <c r="A20" s="19" t="s">
        <v>118</v>
      </c>
      <c r="B20" s="70">
        <f>'- 41 -'!I20</f>
        <v>69.498271887430349</v>
      </c>
      <c r="C20" s="70">
        <f>'- 42 -'!C20</f>
        <v>0</v>
      </c>
      <c r="D20" s="70">
        <f>'- 42 -'!E20</f>
        <v>29.622718953158461</v>
      </c>
      <c r="E20" s="70">
        <f>'- 42 -'!G20</f>
        <v>0.12042778128018847</v>
      </c>
      <c r="F20" s="70">
        <f>'- 42 -'!I20</f>
        <v>0</v>
      </c>
      <c r="G20" s="70">
        <f>'- 43 -'!C20</f>
        <v>0.55754757781579956</v>
      </c>
      <c r="H20" s="70">
        <f>'- 43 -'!E20</f>
        <v>0.20103380031519955</v>
      </c>
      <c r="J20" s="131">
        <f t="shared" si="0"/>
        <v>99.999999999999986</v>
      </c>
      <c r="K20" s="495"/>
      <c r="L20" s="495"/>
      <c r="M20" s="510"/>
    </row>
    <row r="21" spans="1:13" ht="14.1" customHeight="1" x14ac:dyDescent="0.2">
      <c r="A21" s="284" t="s">
        <v>119</v>
      </c>
      <c r="B21" s="291">
        <f>'- 41 -'!I21</f>
        <v>61.821663700937137</v>
      </c>
      <c r="C21" s="291">
        <f>'- 42 -'!C21</f>
        <v>0</v>
      </c>
      <c r="D21" s="291">
        <f>'- 42 -'!E21</f>
        <v>37.020645797495028</v>
      </c>
      <c r="E21" s="291">
        <f>'- 42 -'!G21</f>
        <v>0.18311168804987438</v>
      </c>
      <c r="F21" s="291">
        <f>'- 42 -'!I21</f>
        <v>0</v>
      </c>
      <c r="G21" s="291">
        <f>'- 43 -'!C21</f>
        <v>0.45659257276081638</v>
      </c>
      <c r="H21" s="291">
        <f>'- 43 -'!E21</f>
        <v>0.51798624075715038</v>
      </c>
      <c r="J21" s="131">
        <f t="shared" si="0"/>
        <v>100.00000000000001</v>
      </c>
      <c r="K21" s="510"/>
      <c r="L21" s="510"/>
      <c r="M21" s="510"/>
    </row>
    <row r="22" spans="1:13" ht="14.1" customHeight="1" x14ac:dyDescent="0.2">
      <c r="A22" s="19" t="s">
        <v>120</v>
      </c>
      <c r="B22" s="70">
        <f>'- 41 -'!I22</f>
        <v>81.234439163739722</v>
      </c>
      <c r="C22" s="70">
        <f>'- 42 -'!C22</f>
        <v>0</v>
      </c>
      <c r="D22" s="70">
        <f>'- 42 -'!E22</f>
        <v>16.483809356749884</v>
      </c>
      <c r="E22" s="70">
        <f>'- 42 -'!G22</f>
        <v>7.2367408722858337E-2</v>
      </c>
      <c r="F22" s="70">
        <f>'- 42 -'!I22</f>
        <v>0.11205839532765972</v>
      </c>
      <c r="G22" s="70">
        <f>'- 43 -'!C22</f>
        <v>1.319674368975406</v>
      </c>
      <c r="H22" s="70">
        <f>'- 43 -'!E22</f>
        <v>0.77765130648446523</v>
      </c>
      <c r="J22" s="131">
        <f t="shared" si="0"/>
        <v>100.00000000000001</v>
      </c>
      <c r="K22" s="510"/>
      <c r="L22" s="510"/>
      <c r="M22" s="510"/>
    </row>
    <row r="23" spans="1:13" ht="14.1" customHeight="1" x14ac:dyDescent="0.2">
      <c r="A23" s="284" t="s">
        <v>121</v>
      </c>
      <c r="B23" s="291">
        <f>'- 41 -'!I23</f>
        <v>68.892157330706866</v>
      </c>
      <c r="C23" s="291">
        <f>'- 42 -'!C23</f>
        <v>1.1993987694242421</v>
      </c>
      <c r="D23" s="291">
        <f>'- 42 -'!E23</f>
        <v>20.13765436016773</v>
      </c>
      <c r="E23" s="291">
        <f>'- 42 -'!G23</f>
        <v>0.54594231806584737</v>
      </c>
      <c r="F23" s="291">
        <f>'- 42 -'!I23</f>
        <v>6.2982136275546869</v>
      </c>
      <c r="G23" s="291">
        <f>'- 43 -'!C23</f>
        <v>1.4345919951841333</v>
      </c>
      <c r="H23" s="291">
        <f>'- 43 -'!E23</f>
        <v>1.4920415988964932</v>
      </c>
      <c r="J23" s="131">
        <f t="shared" si="0"/>
        <v>99.999999999999986</v>
      </c>
      <c r="K23" s="510"/>
      <c r="L23" s="510"/>
      <c r="M23" s="510"/>
    </row>
    <row r="24" spans="1:13" ht="14.1" customHeight="1" x14ac:dyDescent="0.2">
      <c r="A24" s="19" t="s">
        <v>122</v>
      </c>
      <c r="B24" s="70">
        <f>'- 41 -'!I24</f>
        <v>58.224824243817089</v>
      </c>
      <c r="C24" s="70">
        <f>'- 42 -'!C24</f>
        <v>1.874517078632152E-2</v>
      </c>
      <c r="D24" s="70">
        <f>'- 42 -'!E24</f>
        <v>39.240871436923094</v>
      </c>
      <c r="E24" s="70">
        <f>'- 42 -'!G24</f>
        <v>0.29675531735934496</v>
      </c>
      <c r="F24" s="70">
        <f>'- 42 -'!I24</f>
        <v>0.76694051028423182</v>
      </c>
      <c r="G24" s="70">
        <f>'- 43 -'!C24</f>
        <v>1.0160431517468724</v>
      </c>
      <c r="H24" s="70">
        <f>'- 43 -'!E24</f>
        <v>0.43582016908305704</v>
      </c>
      <c r="J24" s="131">
        <f t="shared" si="0"/>
        <v>100</v>
      </c>
      <c r="K24" s="510"/>
      <c r="L24" s="510"/>
      <c r="M24" s="510"/>
    </row>
    <row r="25" spans="1:13" ht="14.1" customHeight="1" x14ac:dyDescent="0.2">
      <c r="A25" s="284" t="s">
        <v>123</v>
      </c>
      <c r="B25" s="291">
        <f>'- 41 -'!I25</f>
        <v>60.074419554268623</v>
      </c>
      <c r="C25" s="291">
        <f>'- 42 -'!C25</f>
        <v>0.12300848011327617</v>
      </c>
      <c r="D25" s="291">
        <f>'- 42 -'!E25</f>
        <v>36.443399273559137</v>
      </c>
      <c r="E25" s="291">
        <f>'- 42 -'!G25</f>
        <v>0.3188855718092391</v>
      </c>
      <c r="F25" s="291">
        <f>'- 42 -'!I25</f>
        <v>2.3654522620387142E-2</v>
      </c>
      <c r="G25" s="291">
        <f>'- 43 -'!C25</f>
        <v>2.8542936490192772</v>
      </c>
      <c r="H25" s="291">
        <f>'- 43 -'!E25</f>
        <v>0.1623389486100644</v>
      </c>
      <c r="J25" s="131">
        <f t="shared" si="0"/>
        <v>100.00000000000001</v>
      </c>
      <c r="K25" s="510"/>
      <c r="L25" s="510"/>
      <c r="M25" s="510"/>
    </row>
    <row r="26" spans="1:13" ht="14.1" customHeight="1" x14ac:dyDescent="0.2">
      <c r="A26" s="19" t="s">
        <v>124</v>
      </c>
      <c r="B26" s="70">
        <f>'- 41 -'!I26</f>
        <v>65.974319664028158</v>
      </c>
      <c r="C26" s="70">
        <f>'- 42 -'!C26</f>
        <v>3.7951106518714528E-2</v>
      </c>
      <c r="D26" s="70">
        <f>'- 42 -'!E26</f>
        <v>28.775505276293355</v>
      </c>
      <c r="E26" s="70">
        <f>'- 42 -'!G26</f>
        <v>1.1480560614421111</v>
      </c>
      <c r="F26" s="70">
        <f>'- 42 -'!I26</f>
        <v>2.3603623256584614</v>
      </c>
      <c r="G26" s="70">
        <f>'- 43 -'!C26</f>
        <v>1.5092897899914277</v>
      </c>
      <c r="H26" s="70">
        <f>'- 43 -'!E26</f>
        <v>0.19451577606777484</v>
      </c>
      <c r="J26" s="131">
        <f t="shared" si="0"/>
        <v>100</v>
      </c>
      <c r="K26" s="510"/>
      <c r="L26" s="510"/>
      <c r="M26" s="510"/>
    </row>
    <row r="27" spans="1:13" ht="14.1" customHeight="1" x14ac:dyDescent="0.2">
      <c r="A27" s="284" t="s">
        <v>125</v>
      </c>
      <c r="B27" s="291">
        <f>'- 41 -'!I27</f>
        <v>78.637128829822899</v>
      </c>
      <c r="C27" s="291">
        <f>'- 42 -'!C27</f>
        <v>5.2414684556390517E-3</v>
      </c>
      <c r="D27" s="291">
        <f>'- 42 -'!E27</f>
        <v>19.305589101612306</v>
      </c>
      <c r="E27" s="291">
        <f>'- 42 -'!G27</f>
        <v>0.31748844334861753</v>
      </c>
      <c r="F27" s="291">
        <f>'- 42 -'!I27</f>
        <v>0.94966562440708602</v>
      </c>
      <c r="G27" s="291">
        <f>'- 43 -'!C27</f>
        <v>0.35927427799626982</v>
      </c>
      <c r="H27" s="291">
        <f>'- 43 -'!E27</f>
        <v>0.4256122543571787</v>
      </c>
      <c r="J27" s="131">
        <f t="shared" si="0"/>
        <v>99.999999999999986</v>
      </c>
      <c r="K27" s="510"/>
      <c r="L27" s="510"/>
      <c r="M27" s="510"/>
    </row>
    <row r="28" spans="1:13" ht="14.1" customHeight="1" x14ac:dyDescent="0.2">
      <c r="A28" s="19" t="s">
        <v>126</v>
      </c>
      <c r="B28" s="70">
        <f>'- 41 -'!I28</f>
        <v>48.495740012881569</v>
      </c>
      <c r="C28" s="70">
        <f>'- 42 -'!C28</f>
        <v>0</v>
      </c>
      <c r="D28" s="70">
        <f>'- 42 -'!E28</f>
        <v>25.838270202901647</v>
      </c>
      <c r="E28" s="70">
        <f>'- 42 -'!G28</f>
        <v>5.762237307022236E-2</v>
      </c>
      <c r="F28" s="70">
        <f>'- 42 -'!I28</f>
        <v>25.255645150391075</v>
      </c>
      <c r="G28" s="70">
        <f>'- 43 -'!C28</f>
        <v>0.26401523661265514</v>
      </c>
      <c r="H28" s="70">
        <f>'- 43 -'!E28</f>
        <v>8.8707024142831409E-2</v>
      </c>
      <c r="J28" s="131">
        <f t="shared" si="0"/>
        <v>100</v>
      </c>
      <c r="K28" s="510"/>
      <c r="L28" s="510"/>
      <c r="M28" s="510"/>
    </row>
    <row r="29" spans="1:13" ht="14.1" customHeight="1" x14ac:dyDescent="0.2">
      <c r="A29" s="284" t="s">
        <v>127</v>
      </c>
      <c r="B29" s="291">
        <f>'- 41 -'!I29</f>
        <v>51.699117840460296</v>
      </c>
      <c r="C29" s="291">
        <f>'- 42 -'!C29</f>
        <v>0</v>
      </c>
      <c r="D29" s="291">
        <f>'- 42 -'!E29</f>
        <v>45.177621263302328</v>
      </c>
      <c r="E29" s="291">
        <f>'- 42 -'!G29</f>
        <v>0.37271019357345647</v>
      </c>
      <c r="F29" s="291">
        <f>'- 42 -'!I29</f>
        <v>1.3350588280928855E-2</v>
      </c>
      <c r="G29" s="291">
        <f>'- 43 -'!C29</f>
        <v>2.3754537880127811</v>
      </c>
      <c r="H29" s="291">
        <f>'- 43 -'!E29</f>
        <v>0.36174632637020454</v>
      </c>
      <c r="J29" s="131">
        <f t="shared" si="0"/>
        <v>99.999999999999986</v>
      </c>
      <c r="K29" s="510"/>
      <c r="L29" s="510"/>
      <c r="M29" s="510"/>
    </row>
    <row r="30" spans="1:13" ht="14.1" customHeight="1" x14ac:dyDescent="0.2">
      <c r="A30" s="19" t="s">
        <v>128</v>
      </c>
      <c r="B30" s="70">
        <f>'- 41 -'!I30</f>
        <v>61.176880346541907</v>
      </c>
      <c r="C30" s="70">
        <f>'- 42 -'!C30</f>
        <v>0</v>
      </c>
      <c r="D30" s="70">
        <f>'- 42 -'!E30</f>
        <v>38.386646173384904</v>
      </c>
      <c r="E30" s="70">
        <f>'- 42 -'!G30</f>
        <v>0.25526688613478432</v>
      </c>
      <c r="F30" s="70">
        <f>'- 42 -'!I30</f>
        <v>0</v>
      </c>
      <c r="G30" s="70">
        <f>'- 43 -'!C30</f>
        <v>1.9737130371246213E-3</v>
      </c>
      <c r="H30" s="70">
        <f>'- 43 -'!E30</f>
        <v>0.17923288090128686</v>
      </c>
      <c r="J30" s="131">
        <f t="shared" si="0"/>
        <v>100.00000000000001</v>
      </c>
      <c r="K30" s="510"/>
      <c r="L30" s="510"/>
      <c r="M30" s="510"/>
    </row>
    <row r="31" spans="1:13" ht="14.1" customHeight="1" x14ac:dyDescent="0.2">
      <c r="A31" s="284" t="s">
        <v>129</v>
      </c>
      <c r="B31" s="291">
        <f>'- 41 -'!I31</f>
        <v>60.286405887547659</v>
      </c>
      <c r="C31" s="291">
        <f>'- 42 -'!C31</f>
        <v>6.5922035023363024E-2</v>
      </c>
      <c r="D31" s="291">
        <f>'- 42 -'!E31</f>
        <v>35.269475334129638</v>
      </c>
      <c r="E31" s="291">
        <f>'- 42 -'!G31</f>
        <v>0.38914284366868296</v>
      </c>
      <c r="F31" s="291">
        <f>'- 42 -'!I31</f>
        <v>3.4999757863294434</v>
      </c>
      <c r="G31" s="291">
        <f>'- 43 -'!C31</f>
        <v>0.12373058881308137</v>
      </c>
      <c r="H31" s="291">
        <f>'- 43 -'!E31</f>
        <v>0.3653475244881344</v>
      </c>
      <c r="J31" s="131">
        <f t="shared" si="0"/>
        <v>99.999999999999986</v>
      </c>
      <c r="K31" s="510"/>
      <c r="L31" s="510"/>
      <c r="M31" s="510"/>
    </row>
    <row r="32" spans="1:13" ht="14.1" customHeight="1" x14ac:dyDescent="0.2">
      <c r="A32" s="19" t="s">
        <v>130</v>
      </c>
      <c r="B32" s="70">
        <f>'- 41 -'!I32</f>
        <v>56.454458248021787</v>
      </c>
      <c r="C32" s="70">
        <f>'- 42 -'!C32</f>
        <v>0</v>
      </c>
      <c r="D32" s="70">
        <f>'- 42 -'!E32</f>
        <v>42.881894033567185</v>
      </c>
      <c r="E32" s="70">
        <f>'- 42 -'!G32</f>
        <v>0.29624046993375464</v>
      </c>
      <c r="F32" s="70">
        <f>'- 42 -'!I32</f>
        <v>0</v>
      </c>
      <c r="G32" s="70">
        <f>'- 43 -'!C32</f>
        <v>1.1402305047128828E-2</v>
      </c>
      <c r="H32" s="70">
        <f>'- 43 -'!E32</f>
        <v>0.35600494343014061</v>
      </c>
      <c r="J32" s="131">
        <f t="shared" si="0"/>
        <v>99.999999999999986</v>
      </c>
      <c r="K32" s="510"/>
      <c r="L32" s="510"/>
      <c r="M32" s="510"/>
    </row>
    <row r="33" spans="1:13" ht="14.1" customHeight="1" x14ac:dyDescent="0.2">
      <c r="A33" s="284" t="s">
        <v>131</v>
      </c>
      <c r="B33" s="291">
        <f>'- 41 -'!I33</f>
        <v>60.667805130993337</v>
      </c>
      <c r="C33" s="291">
        <f>'- 42 -'!C33</f>
        <v>0.23733975951659458</v>
      </c>
      <c r="D33" s="291">
        <f>'- 42 -'!E33</f>
        <v>37.529424777169304</v>
      </c>
      <c r="E33" s="291">
        <f>'- 42 -'!G33</f>
        <v>0.14991872546156634</v>
      </c>
      <c r="F33" s="291">
        <f>'- 42 -'!I33</f>
        <v>0.73742112183751962</v>
      </c>
      <c r="G33" s="291">
        <f>'- 43 -'!C33</f>
        <v>0.28639123871525951</v>
      </c>
      <c r="H33" s="291">
        <f>'- 43 -'!E33</f>
        <v>0.39169924630641401</v>
      </c>
      <c r="J33" s="131">
        <f t="shared" si="0"/>
        <v>99.999999999999972</v>
      </c>
      <c r="K33" s="510"/>
      <c r="L33" s="510"/>
      <c r="M33" s="510"/>
    </row>
    <row r="34" spans="1:13" ht="14.1" customHeight="1" x14ac:dyDescent="0.2">
      <c r="A34" s="19" t="s">
        <v>132</v>
      </c>
      <c r="B34" s="70">
        <f>'- 41 -'!I34</f>
        <v>53.797840639489735</v>
      </c>
      <c r="C34" s="70">
        <f>'- 42 -'!C34</f>
        <v>3.6396383518187839E-3</v>
      </c>
      <c r="D34" s="70">
        <f>'- 42 -'!E34</f>
        <v>41.922541374841735</v>
      </c>
      <c r="E34" s="70">
        <f>'- 42 -'!G34</f>
        <v>3.3702754428193691</v>
      </c>
      <c r="F34" s="70">
        <f>'- 42 -'!I34</f>
        <v>0</v>
      </c>
      <c r="G34" s="70">
        <f>'- 43 -'!C34</f>
        <v>0.50120853136504506</v>
      </c>
      <c r="H34" s="70">
        <f>'- 43 -'!E34</f>
        <v>0.40449437313229514</v>
      </c>
      <c r="J34" s="131">
        <f t="shared" si="0"/>
        <v>100</v>
      </c>
      <c r="K34" s="510"/>
      <c r="L34" s="510"/>
      <c r="M34" s="510"/>
    </row>
    <row r="35" spans="1:13" ht="14.1" customHeight="1" x14ac:dyDescent="0.2">
      <c r="A35" s="284" t="s">
        <v>133</v>
      </c>
      <c r="B35" s="291">
        <f>'- 41 -'!I35</f>
        <v>65.454559670117007</v>
      </c>
      <c r="C35" s="291">
        <f>'- 42 -'!C35</f>
        <v>0.2731302817715181</v>
      </c>
      <c r="D35" s="291">
        <f>'- 42 -'!E35</f>
        <v>32.637393113599337</v>
      </c>
      <c r="E35" s="291">
        <f>'- 42 -'!G35</f>
        <v>0.40563931049061569</v>
      </c>
      <c r="F35" s="291">
        <f>'- 42 -'!I35</f>
        <v>6.1806413830727609E-2</v>
      </c>
      <c r="G35" s="291">
        <f>'- 43 -'!C35</f>
        <v>1.0467748395524579</v>
      </c>
      <c r="H35" s="291">
        <f>'- 43 -'!E35</f>
        <v>0.12069637063832774</v>
      </c>
      <c r="J35" s="131">
        <f t="shared" si="0"/>
        <v>99.999999999999972</v>
      </c>
      <c r="K35" s="510"/>
      <c r="L35" s="510"/>
      <c r="M35" s="510"/>
    </row>
    <row r="36" spans="1:13" ht="14.1" customHeight="1" x14ac:dyDescent="0.2">
      <c r="A36" s="19" t="s">
        <v>134</v>
      </c>
      <c r="B36" s="70">
        <f>'- 41 -'!I36</f>
        <v>57.231571095824471</v>
      </c>
      <c r="C36" s="70">
        <f>'- 42 -'!C36</f>
        <v>0.19071245139264625</v>
      </c>
      <c r="D36" s="70">
        <f>'- 42 -'!E36</f>
        <v>35.613423972785014</v>
      </c>
      <c r="E36" s="70">
        <f>'- 42 -'!G36</f>
        <v>0.37763199910283873</v>
      </c>
      <c r="F36" s="70">
        <f>'- 42 -'!I36</f>
        <v>5.2733429516007018</v>
      </c>
      <c r="G36" s="70">
        <f>'- 43 -'!C36</f>
        <v>0.42267067789492041</v>
      </c>
      <c r="H36" s="70">
        <f>'- 43 -'!E36</f>
        <v>0.89064685139941124</v>
      </c>
      <c r="J36" s="131">
        <f t="shared" si="0"/>
        <v>99.999999999999986</v>
      </c>
      <c r="K36" s="510"/>
      <c r="L36" s="510"/>
      <c r="M36" s="510"/>
    </row>
    <row r="37" spans="1:13" ht="14.1" customHeight="1" x14ac:dyDescent="0.2">
      <c r="A37" s="284" t="s">
        <v>135</v>
      </c>
      <c r="B37" s="291">
        <f>'- 41 -'!I37</f>
        <v>70.838157661440462</v>
      </c>
      <c r="C37" s="291">
        <f>'- 42 -'!C37</f>
        <v>0.2162223674169077</v>
      </c>
      <c r="D37" s="291">
        <f>'- 42 -'!E37</f>
        <v>27.95510335957534</v>
      </c>
      <c r="E37" s="291">
        <f>'- 42 -'!G37</f>
        <v>0.58151142047945603</v>
      </c>
      <c r="F37" s="291">
        <f>'- 42 -'!I37</f>
        <v>0</v>
      </c>
      <c r="G37" s="291">
        <f>'- 43 -'!C37</f>
        <v>0.30441903888674909</v>
      </c>
      <c r="H37" s="291">
        <f>'- 43 -'!E37</f>
        <v>0.10458615220109002</v>
      </c>
      <c r="J37" s="131">
        <f t="shared" si="0"/>
        <v>100</v>
      </c>
      <c r="K37" s="510"/>
      <c r="L37" s="510"/>
      <c r="M37" s="510"/>
    </row>
    <row r="38" spans="1:13" ht="14.1" customHeight="1" x14ac:dyDescent="0.2">
      <c r="A38" s="19" t="s">
        <v>136</v>
      </c>
      <c r="B38" s="70">
        <f>'- 41 -'!I38</f>
        <v>67.81873893503824</v>
      </c>
      <c r="C38" s="70">
        <f>'- 42 -'!C38</f>
        <v>0.87356580768863468</v>
      </c>
      <c r="D38" s="70">
        <f>'- 42 -'!E38</f>
        <v>28.825904198503988</v>
      </c>
      <c r="E38" s="70">
        <f>'- 42 -'!G38</f>
        <v>0.87490878972801023</v>
      </c>
      <c r="F38" s="70">
        <f>'- 42 -'!I38</f>
        <v>0.4798392487409579</v>
      </c>
      <c r="G38" s="70">
        <f>'- 43 -'!C38</f>
        <v>0.98283145105504088</v>
      </c>
      <c r="H38" s="70">
        <f>'- 43 -'!E38</f>
        <v>0.1442115692451264</v>
      </c>
      <c r="J38" s="131">
        <f t="shared" si="0"/>
        <v>100</v>
      </c>
      <c r="K38" s="510"/>
      <c r="L38" s="510"/>
      <c r="M38" s="510"/>
    </row>
    <row r="39" spans="1:13" ht="14.1" customHeight="1" x14ac:dyDescent="0.2">
      <c r="A39" s="284" t="s">
        <v>137</v>
      </c>
      <c r="B39" s="291">
        <f>'- 41 -'!I39</f>
        <v>52.452940530954486</v>
      </c>
      <c r="C39" s="291">
        <f>'- 42 -'!C39</f>
        <v>0</v>
      </c>
      <c r="D39" s="291">
        <f>'- 42 -'!E39</f>
        <v>46.606723225640998</v>
      </c>
      <c r="E39" s="291">
        <f>'- 42 -'!G39</f>
        <v>0.44188693251622763</v>
      </c>
      <c r="F39" s="291">
        <f>'- 42 -'!I39</f>
        <v>0</v>
      </c>
      <c r="G39" s="291">
        <f>'- 43 -'!C39</f>
        <v>0</v>
      </c>
      <c r="H39" s="291">
        <f>'- 43 -'!E39</f>
        <v>0.49844931088828548</v>
      </c>
      <c r="J39" s="131">
        <f t="shared" si="0"/>
        <v>100</v>
      </c>
      <c r="K39" s="510"/>
      <c r="L39" s="510"/>
      <c r="M39" s="510"/>
    </row>
    <row r="40" spans="1:13" ht="14.1" customHeight="1" x14ac:dyDescent="0.2">
      <c r="A40" s="19" t="s">
        <v>138</v>
      </c>
      <c r="B40" s="70">
        <f>'- 41 -'!I40</f>
        <v>54.400112385832408</v>
      </c>
      <c r="C40" s="70">
        <f>'- 42 -'!C40</f>
        <v>0</v>
      </c>
      <c r="D40" s="70">
        <f>'- 42 -'!E40</f>
        <v>41.062975370777608</v>
      </c>
      <c r="E40" s="70">
        <f>'- 42 -'!G40</f>
        <v>0.56529495119665996</v>
      </c>
      <c r="F40" s="70">
        <f>'- 42 -'!I40</f>
        <v>0.22619864815257629</v>
      </c>
      <c r="G40" s="70">
        <f>'- 43 -'!C40</f>
        <v>2.9426436241341469</v>
      </c>
      <c r="H40" s="70">
        <f>'- 43 -'!E40</f>
        <v>0.80277501990660294</v>
      </c>
      <c r="J40" s="131">
        <f t="shared" si="0"/>
        <v>100</v>
      </c>
      <c r="K40" s="510"/>
      <c r="L40" s="510"/>
      <c r="M40" s="510"/>
    </row>
    <row r="41" spans="1:13" ht="14.1" customHeight="1" x14ac:dyDescent="0.2">
      <c r="A41" s="284" t="s">
        <v>139</v>
      </c>
      <c r="B41" s="291">
        <f>'- 41 -'!I41</f>
        <v>57.999722041408553</v>
      </c>
      <c r="C41" s="291">
        <f>'- 42 -'!C41</f>
        <v>0</v>
      </c>
      <c r="D41" s="291">
        <f>'- 42 -'!E41</f>
        <v>40.589439007044994</v>
      </c>
      <c r="E41" s="291">
        <f>'- 42 -'!G41</f>
        <v>0.25240317050706973</v>
      </c>
      <c r="F41" s="291">
        <f>'- 42 -'!I41</f>
        <v>0.8098936188548187</v>
      </c>
      <c r="G41" s="291">
        <f>'- 43 -'!C41</f>
        <v>0.10137118875502575</v>
      </c>
      <c r="H41" s="291">
        <f>'- 43 -'!E41</f>
        <v>0.24717097342952982</v>
      </c>
      <c r="J41" s="131">
        <f t="shared" si="0"/>
        <v>99.999999999999986</v>
      </c>
      <c r="K41" s="510"/>
      <c r="L41" s="510"/>
      <c r="M41" s="510"/>
    </row>
    <row r="42" spans="1:13" ht="14.1" customHeight="1" x14ac:dyDescent="0.2">
      <c r="A42" s="19" t="s">
        <v>140</v>
      </c>
      <c r="B42" s="70">
        <f>'- 41 -'!I42</f>
        <v>70.392413182402819</v>
      </c>
      <c r="C42" s="70">
        <f>'- 42 -'!C42</f>
        <v>0</v>
      </c>
      <c r="D42" s="70">
        <f>'- 42 -'!E42</f>
        <v>26.731979545218177</v>
      </c>
      <c r="E42" s="70">
        <f>'- 42 -'!G42</f>
        <v>0.13049388369251536</v>
      </c>
      <c r="F42" s="70">
        <f>'- 42 -'!I42</f>
        <v>1.1026440899387882</v>
      </c>
      <c r="G42" s="70">
        <f>'- 43 -'!C42</f>
        <v>1.254999966330193</v>
      </c>
      <c r="H42" s="70">
        <f>'- 43 -'!E42</f>
        <v>0.38746933241751458</v>
      </c>
      <c r="J42" s="131">
        <f t="shared" si="0"/>
        <v>100</v>
      </c>
      <c r="K42" s="510"/>
      <c r="L42" s="510"/>
      <c r="M42" s="510"/>
    </row>
    <row r="43" spans="1:13" ht="14.1" customHeight="1" x14ac:dyDescent="0.2">
      <c r="A43" s="284" t="s">
        <v>141</v>
      </c>
      <c r="B43" s="291">
        <f>'- 41 -'!I43</f>
        <v>57.949807263929898</v>
      </c>
      <c r="C43" s="291">
        <f>'- 42 -'!C43</f>
        <v>3.1195716432695134E-3</v>
      </c>
      <c r="D43" s="291">
        <f>'- 42 -'!E43</f>
        <v>41.493854480477452</v>
      </c>
      <c r="E43" s="291">
        <f>'- 42 -'!G43</f>
        <v>0.28083467727555361</v>
      </c>
      <c r="F43" s="291">
        <f>'- 42 -'!I43</f>
        <v>0</v>
      </c>
      <c r="G43" s="291">
        <f>'- 43 -'!C43</f>
        <v>8.06328717465742E-2</v>
      </c>
      <c r="H43" s="291">
        <f>'- 43 -'!E43</f>
        <v>0.1917511349272587</v>
      </c>
      <c r="J43" s="131">
        <f t="shared" si="0"/>
        <v>100</v>
      </c>
      <c r="K43" s="510"/>
      <c r="L43" s="510"/>
      <c r="M43" s="510"/>
    </row>
    <row r="44" spans="1:13" ht="14.1" customHeight="1" x14ac:dyDescent="0.2">
      <c r="A44" s="19" t="s">
        <v>142</v>
      </c>
      <c r="B44" s="70">
        <f>'- 41 -'!I44</f>
        <v>78.090217848134898</v>
      </c>
      <c r="C44" s="70">
        <f>'- 42 -'!C44</f>
        <v>0</v>
      </c>
      <c r="D44" s="70">
        <f>'- 42 -'!E44</f>
        <v>21.456297518579124</v>
      </c>
      <c r="E44" s="70">
        <f>'- 42 -'!G44</f>
        <v>0.27783413938672713</v>
      </c>
      <c r="F44" s="70">
        <f>'- 42 -'!I44</f>
        <v>0</v>
      </c>
      <c r="G44" s="70">
        <f>'- 43 -'!C44</f>
        <v>9.8362880870478356E-2</v>
      </c>
      <c r="H44" s="70">
        <f>'- 43 -'!E44</f>
        <v>7.7287613028772448E-2</v>
      </c>
      <c r="J44" s="131">
        <f t="shared" si="0"/>
        <v>100</v>
      </c>
      <c r="K44" s="510"/>
      <c r="L44" s="510"/>
      <c r="M44" s="510"/>
    </row>
    <row r="45" spans="1:13" ht="14.1" customHeight="1" x14ac:dyDescent="0.2">
      <c r="A45" s="284" t="s">
        <v>143</v>
      </c>
      <c r="B45" s="291">
        <f>'- 41 -'!I45</f>
        <v>64.501466705822281</v>
      </c>
      <c r="C45" s="291">
        <f>'- 42 -'!C45</f>
        <v>0.10317860838919973</v>
      </c>
      <c r="D45" s="291">
        <f>'- 42 -'!E45</f>
        <v>33.678513216552005</v>
      </c>
      <c r="E45" s="291">
        <f>'- 42 -'!G45</f>
        <v>0.27287435323839382</v>
      </c>
      <c r="F45" s="291">
        <f>'- 42 -'!I45</f>
        <v>0</v>
      </c>
      <c r="G45" s="291">
        <f>'- 43 -'!C45</f>
        <v>1.3304513850509503</v>
      </c>
      <c r="H45" s="291">
        <f>'- 43 -'!E45</f>
        <v>0.11351573094717181</v>
      </c>
      <c r="J45" s="131">
        <f t="shared" si="0"/>
        <v>100</v>
      </c>
      <c r="K45" s="510"/>
      <c r="L45" s="510"/>
      <c r="M45" s="510"/>
    </row>
    <row r="46" spans="1:13" ht="14.1" customHeight="1" x14ac:dyDescent="0.2">
      <c r="A46" s="19" t="s">
        <v>144</v>
      </c>
      <c r="B46" s="70">
        <f>'- 41 -'!I46</f>
        <v>61.388098645766512</v>
      </c>
      <c r="C46" s="70">
        <f>'- 42 -'!C46</f>
        <v>1.1335317079714051</v>
      </c>
      <c r="D46" s="70">
        <f>'- 42 -'!E46</f>
        <v>35.88084190744015</v>
      </c>
      <c r="E46" s="70">
        <f>'- 42 -'!G46</f>
        <v>0.60833414706530253</v>
      </c>
      <c r="F46" s="70">
        <f>'- 42 -'!I46</f>
        <v>0.53821400920104634</v>
      </c>
      <c r="G46" s="70">
        <f>'- 43 -'!C46</f>
        <v>0.25346291806912274</v>
      </c>
      <c r="H46" s="70">
        <f>'- 43 -'!E46</f>
        <v>0.1975166644864649</v>
      </c>
      <c r="J46" s="131">
        <f t="shared" si="0"/>
        <v>100.00000000000001</v>
      </c>
      <c r="K46" s="510"/>
      <c r="L46" s="510"/>
      <c r="M46" s="510"/>
    </row>
    <row r="47" spans="1:13" ht="5.0999999999999996" customHeight="1" x14ac:dyDescent="0.2">
      <c r="A47" s="21"/>
      <c r="B47"/>
      <c r="C47"/>
      <c r="D47"/>
      <c r="E47"/>
      <c r="F47"/>
      <c r="G47"/>
      <c r="H47"/>
      <c r="J47" s="131"/>
      <c r="K47" s="510"/>
      <c r="L47" s="510"/>
      <c r="M47" s="510"/>
    </row>
    <row r="48" spans="1:13" ht="14.1" customHeight="1" x14ac:dyDescent="0.2">
      <c r="A48" s="286" t="s">
        <v>145</v>
      </c>
      <c r="B48" s="294">
        <f>'- 41 -'!I48</f>
        <v>60.768190852016268</v>
      </c>
      <c r="C48" s="294">
        <f>'- 42 -'!C48</f>
        <v>0.30775330277441298</v>
      </c>
      <c r="D48" s="294">
        <f>'- 42 -'!E48</f>
        <v>32.881113471747689</v>
      </c>
      <c r="E48" s="294">
        <f>'- 42 -'!G48</f>
        <v>0.55623072201057333</v>
      </c>
      <c r="F48" s="294">
        <f>'- 42 -'!I48</f>
        <v>4.0256006572627285</v>
      </c>
      <c r="G48" s="294">
        <f>'- 43 -'!C48</f>
        <v>1.1350650605082797</v>
      </c>
      <c r="H48" s="294">
        <f>'- 43 -'!E48</f>
        <v>0.32604593368004947</v>
      </c>
      <c r="J48" s="131">
        <f>SUM(B48:H48)</f>
        <v>100</v>
      </c>
      <c r="K48" s="510"/>
      <c r="L48" s="510"/>
      <c r="M48" s="510"/>
    </row>
    <row r="49" spans="1:13" ht="5.0999999999999996" customHeight="1" x14ac:dyDescent="0.2">
      <c r="A49" s="21" t="s">
        <v>7</v>
      </c>
      <c r="B49"/>
      <c r="C49"/>
      <c r="D49"/>
      <c r="E49"/>
      <c r="F49"/>
      <c r="G49"/>
      <c r="H49"/>
      <c r="J49" s="131"/>
      <c r="K49" s="510"/>
      <c r="L49" s="510"/>
      <c r="M49" s="510"/>
    </row>
    <row r="50" spans="1:13" ht="14.1" customHeight="1" x14ac:dyDescent="0.2">
      <c r="A50" s="19" t="s">
        <v>146</v>
      </c>
      <c r="B50" s="70">
        <f>'- 41 -'!I50</f>
        <v>42.739600492083923</v>
      </c>
      <c r="C50" s="70">
        <f>'- 42 -'!C50</f>
        <v>0</v>
      </c>
      <c r="D50" s="70">
        <f>'- 42 -'!E50</f>
        <v>55.604924721335266</v>
      </c>
      <c r="E50" s="70">
        <f>'- 42 -'!G50</f>
        <v>0</v>
      </c>
      <c r="F50" s="70">
        <f>'- 42 -'!I50</f>
        <v>0</v>
      </c>
      <c r="G50" s="70">
        <f>'- 43 -'!C50</f>
        <v>0.47367342179197719</v>
      </c>
      <c r="H50" s="70">
        <f>'- 43 -'!E50</f>
        <v>1.1818013647888248</v>
      </c>
      <c r="J50" s="131">
        <f>SUM(B50:H50)</f>
        <v>99.999999999999986</v>
      </c>
      <c r="K50" s="510"/>
      <c r="L50" s="510"/>
      <c r="M50" s="510"/>
    </row>
    <row r="51" spans="1:13" ht="14.1" customHeight="1" x14ac:dyDescent="0.2">
      <c r="A51" s="284" t="s">
        <v>609</v>
      </c>
      <c r="B51" s="291">
        <f>'- 41 -'!I51</f>
        <v>32.429110439344875</v>
      </c>
      <c r="C51" s="291">
        <f>'- 42 -'!C51</f>
        <v>14.300026779303824</v>
      </c>
      <c r="D51" s="291">
        <f>'- 42 -'!E51</f>
        <v>0</v>
      </c>
      <c r="E51" s="291">
        <f>'- 42 -'!G51</f>
        <v>5.206634388730266</v>
      </c>
      <c r="F51" s="291">
        <f>'- 42 -'!I51</f>
        <v>0</v>
      </c>
      <c r="G51" s="291">
        <f>'- 43 -'!C51</f>
        <v>46.798265411987991</v>
      </c>
      <c r="H51" s="291">
        <f>'- 43 -'!E51</f>
        <v>1.2659629806330464</v>
      </c>
      <c r="J51" s="131"/>
      <c r="K51" s="510"/>
      <c r="L51" s="510"/>
      <c r="M51" s="510"/>
    </row>
    <row r="52" spans="1:13" ht="50.1" customHeight="1" x14ac:dyDescent="0.2">
      <c r="A52" s="23"/>
      <c r="B52" s="23"/>
      <c r="C52" s="23"/>
      <c r="D52" s="23"/>
      <c r="E52" s="23"/>
      <c r="F52" s="23"/>
      <c r="G52" s="23"/>
      <c r="H52" s="23"/>
    </row>
    <row r="53" spans="1:13" ht="15" customHeight="1" x14ac:dyDescent="0.2">
      <c r="A53" s="619" t="e">
        <f>"(1)  The portion shown here is comprised of operating support only. The total provincial contribution to K-12 public school education, which also
       includes teachers' retirement allowances, capital support and the education property tax credit, is "&amp;ROUND(#REF!*100,1)&amp;"% in "&amp;Data!B5&amp;". See page i for more
       information."</f>
        <v>#REF!</v>
      </c>
      <c r="B53" s="619"/>
      <c r="C53" s="619"/>
      <c r="D53" s="619"/>
      <c r="E53" s="619"/>
      <c r="F53" s="619"/>
      <c r="G53" s="619"/>
      <c r="H53" s="619"/>
    </row>
    <row r="54" spans="1:13" x14ac:dyDescent="0.2">
      <c r="A54" s="620"/>
      <c r="B54" s="620"/>
      <c r="C54" s="620"/>
      <c r="D54" s="620"/>
      <c r="E54" s="620"/>
      <c r="F54" s="620"/>
      <c r="G54" s="620"/>
      <c r="H54" s="620"/>
    </row>
    <row r="55" spans="1:13" x14ac:dyDescent="0.2">
      <c r="A55" s="620"/>
      <c r="B55" s="620"/>
      <c r="C55" s="620"/>
      <c r="D55" s="620"/>
      <c r="E55" s="620"/>
      <c r="F55" s="620"/>
      <c r="G55" s="620"/>
      <c r="H55" s="620"/>
    </row>
  </sheetData>
  <mergeCells count="5">
    <mergeCell ref="B7:D7"/>
    <mergeCell ref="F8:F9"/>
    <mergeCell ref="G7:G9"/>
    <mergeCell ref="E7:E9"/>
    <mergeCell ref="A53:H55"/>
  </mergeCells>
  <phoneticPr fontId="6" type="noConversion"/>
  <conditionalFormatting sqref="J11:J50">
    <cfRule type="cellIs" dxfId="0" priority="1" stopIfTrue="1" operator="equal">
      <formula>$J$1</formula>
    </cfRule>
  </conditionalFormatting>
  <pageMargins left="0.5" right="0.5" top="0.6" bottom="0.2" header="0.3" footer="0.5"/>
  <pageSetup scale="89" orientation="portrait" r:id="rId1"/>
  <headerFooter alignWithMargins="0">
    <oddHeader>&amp;C&amp;"Arial,Regular"&amp;11&amp;A</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I62"/>
  <sheetViews>
    <sheetView showGridLines="0" showZeros="0" workbookViewId="0"/>
  </sheetViews>
  <sheetFormatPr defaultColWidth="15.83203125" defaultRowHeight="12" x14ac:dyDescent="0.2"/>
  <cols>
    <col min="1" max="1" width="26.83203125" style="2" customWidth="1"/>
    <col min="2" max="2" width="15.5" style="2" customWidth="1"/>
    <col min="3" max="3" width="15.83203125" style="2"/>
    <col min="4" max="4" width="12.5" style="2" customWidth="1"/>
    <col min="5" max="5" width="13" style="2" customWidth="1"/>
    <col min="6" max="6" width="15.5" style="2" customWidth="1"/>
    <col min="7" max="7" width="14.83203125" style="2" customWidth="1"/>
    <col min="8" max="8" width="15" style="2" bestFit="1" customWidth="1"/>
    <col min="9" max="9" width="15.1640625" style="2" customWidth="1"/>
    <col min="10" max="16384" width="15.83203125" style="2"/>
  </cols>
  <sheetData>
    <row r="1" spans="1:9" ht="15.95" customHeight="1" x14ac:dyDescent="0.2">
      <c r="A1" s="213"/>
      <c r="B1" s="219" t="str">
        <f>"ANALYSIS OF OPERATING FUND REVENUE: "&amp;FALLYR&amp;"/"&amp;SPRINGYR&amp;" ACTUAL"</f>
        <v>ANALYSIS OF OPERATING FUND REVENUE: 2016/2017 ACTUAL</v>
      </c>
      <c r="C1" s="41"/>
      <c r="D1" s="41"/>
      <c r="E1" s="41"/>
      <c r="F1" s="41"/>
      <c r="G1" s="41"/>
      <c r="H1" s="215"/>
      <c r="I1" s="215" t="s">
        <v>6</v>
      </c>
    </row>
    <row r="2" spans="1:9" ht="15.95" customHeight="1" x14ac:dyDescent="0.2">
      <c r="A2" s="205"/>
    </row>
    <row r="3" spans="1:9" ht="15.95" customHeight="1" x14ac:dyDescent="0.2">
      <c r="A3" s="538"/>
      <c r="B3" s="721" t="s">
        <v>50</v>
      </c>
      <c r="C3" s="722"/>
      <c r="D3" s="722"/>
      <c r="E3" s="722"/>
      <c r="F3" s="722"/>
      <c r="G3" s="722"/>
      <c r="H3" s="722"/>
      <c r="I3" s="723"/>
    </row>
    <row r="4" spans="1:9" ht="8.1" customHeight="1" x14ac:dyDescent="0.2"/>
    <row r="5" spans="1:9" ht="15.95" customHeight="1" x14ac:dyDescent="0.2">
      <c r="B5" s="718" t="s">
        <v>39</v>
      </c>
      <c r="C5" s="719"/>
      <c r="D5" s="719"/>
      <c r="E5" s="719"/>
      <c r="F5" s="720"/>
    </row>
    <row r="6" spans="1:9" ht="15.95" customHeight="1" x14ac:dyDescent="0.2">
      <c r="B6" s="382"/>
      <c r="C6" s="382"/>
      <c r="D6" s="449"/>
      <c r="E6" s="383"/>
      <c r="F6" s="383"/>
      <c r="G6" s="382"/>
      <c r="H6" s="562"/>
      <c r="I6" s="726" t="s">
        <v>522</v>
      </c>
    </row>
    <row r="7" spans="1:9" ht="15.95" customHeight="1" x14ac:dyDescent="0.2">
      <c r="B7" s="714" t="s">
        <v>527</v>
      </c>
      <c r="C7" s="714" t="s">
        <v>526</v>
      </c>
      <c r="D7" s="714" t="s">
        <v>525</v>
      </c>
      <c r="E7" s="384"/>
      <c r="F7" s="384"/>
      <c r="G7" s="714" t="s">
        <v>523</v>
      </c>
      <c r="H7" s="724" t="s">
        <v>521</v>
      </c>
      <c r="I7" s="727"/>
    </row>
    <row r="8" spans="1:9" ht="15.95" customHeight="1" x14ac:dyDescent="0.2">
      <c r="A8" s="67"/>
      <c r="B8" s="715"/>
      <c r="C8" s="714"/>
      <c r="D8" s="715"/>
      <c r="E8" s="714" t="s">
        <v>524</v>
      </c>
      <c r="F8" s="384"/>
      <c r="G8" s="715"/>
      <c r="H8" s="724"/>
      <c r="I8" s="727"/>
    </row>
    <row r="9" spans="1:9" ht="15.95" customHeight="1" x14ac:dyDescent="0.2">
      <c r="A9" s="35" t="s">
        <v>42</v>
      </c>
      <c r="B9" s="716"/>
      <c r="C9" s="729"/>
      <c r="D9" s="716"/>
      <c r="E9" s="729"/>
      <c r="F9" s="385" t="s">
        <v>31</v>
      </c>
      <c r="G9" s="716"/>
      <c r="H9" s="725"/>
      <c r="I9" s="728"/>
    </row>
    <row r="10" spans="1:9" ht="5.0999999999999996" customHeight="1" x14ac:dyDescent="0.2">
      <c r="A10" s="6"/>
      <c r="B10" s="207"/>
      <c r="C10" s="207"/>
      <c r="D10" s="207"/>
      <c r="E10" s="207"/>
      <c r="F10" s="207"/>
      <c r="G10" s="207"/>
      <c r="H10" s="207"/>
    </row>
    <row r="11" spans="1:9" ht="14.1" customHeight="1" x14ac:dyDescent="0.2">
      <c r="A11" s="284" t="s">
        <v>110</v>
      </c>
      <c r="B11" s="285">
        <f>'- 61 -'!$F11</f>
        <v>10052902</v>
      </c>
      <c r="C11" s="417">
        <v>1721679</v>
      </c>
      <c r="D11" s="417">
        <v>504331</v>
      </c>
      <c r="E11" s="417">
        <v>761699</v>
      </c>
      <c r="F11" s="285">
        <f>SUM(B11:E11)</f>
        <v>13040611</v>
      </c>
      <c r="G11" s="417">
        <v>1837</v>
      </c>
      <c r="H11" s="285">
        <f>SUM(F11:G11)</f>
        <v>13042448</v>
      </c>
      <c r="I11" s="291">
        <f>H11/'- 43 -'!$I11*100</f>
        <v>65.507245328612868</v>
      </c>
    </row>
    <row r="12" spans="1:9" ht="14.1" customHeight="1" x14ac:dyDescent="0.2">
      <c r="A12" s="19" t="s">
        <v>111</v>
      </c>
      <c r="B12" s="20">
        <f>'- 61 -'!$F12</f>
        <v>15436091</v>
      </c>
      <c r="C12" s="418">
        <v>2423182</v>
      </c>
      <c r="D12" s="418">
        <v>2718428</v>
      </c>
      <c r="E12" s="418">
        <v>1342663</v>
      </c>
      <c r="F12" s="20">
        <f t="shared" ref="F12:F46" si="0">SUM(B12:E12)</f>
        <v>21920364</v>
      </c>
      <c r="G12" s="418">
        <v>148684</v>
      </c>
      <c r="H12" s="20">
        <f t="shared" ref="H12:H46" si="1">SUM(F12:G12)</f>
        <v>22069048</v>
      </c>
      <c r="I12" s="70">
        <f>H12/'- 43 -'!$I12*100</f>
        <v>57.822276679922254</v>
      </c>
    </row>
    <row r="13" spans="1:9" ht="14.1" customHeight="1" x14ac:dyDescent="0.2">
      <c r="A13" s="284" t="s">
        <v>112</v>
      </c>
      <c r="B13" s="285">
        <f>'- 61 -'!$F13</f>
        <v>47820699</v>
      </c>
      <c r="C13" s="417">
        <v>7616037</v>
      </c>
      <c r="D13" s="417">
        <v>1821897</v>
      </c>
      <c r="E13" s="417">
        <v>2797768</v>
      </c>
      <c r="F13" s="285">
        <f t="shared" si="0"/>
        <v>60056401</v>
      </c>
      <c r="G13" s="417">
        <v>0</v>
      </c>
      <c r="H13" s="285">
        <f t="shared" si="1"/>
        <v>60056401</v>
      </c>
      <c r="I13" s="291">
        <f>H13/'- 43 -'!$I13*100</f>
        <v>60.891667222203772</v>
      </c>
    </row>
    <row r="14" spans="1:9" ht="14.1" customHeight="1" x14ac:dyDescent="0.2">
      <c r="A14" s="19" t="s">
        <v>359</v>
      </c>
      <c r="B14" s="20">
        <f>'- 61 -'!$F14</f>
        <v>34541695</v>
      </c>
      <c r="C14" s="418">
        <v>6415742</v>
      </c>
      <c r="D14" s="418">
        <v>1956006</v>
      </c>
      <c r="E14" s="418">
        <v>18267050</v>
      </c>
      <c r="F14" s="20">
        <f t="shared" si="0"/>
        <v>61180493</v>
      </c>
      <c r="G14" s="418">
        <v>708796</v>
      </c>
      <c r="H14" s="20">
        <f t="shared" si="1"/>
        <v>61889289</v>
      </c>
      <c r="I14" s="70">
        <f>H14/'- 43 -'!$I14*100</f>
        <v>71.515537850631233</v>
      </c>
    </row>
    <row r="15" spans="1:9" ht="14.1" customHeight="1" x14ac:dyDescent="0.2">
      <c r="A15" s="284" t="s">
        <v>113</v>
      </c>
      <c r="B15" s="285">
        <f>'- 61 -'!$F15</f>
        <v>8297685</v>
      </c>
      <c r="C15" s="417">
        <v>2718005</v>
      </c>
      <c r="D15" s="417">
        <v>1595317</v>
      </c>
      <c r="E15" s="417">
        <v>517986</v>
      </c>
      <c r="F15" s="285">
        <f t="shared" si="0"/>
        <v>13128993</v>
      </c>
      <c r="G15" s="417">
        <v>0</v>
      </c>
      <c r="H15" s="285">
        <f t="shared" si="1"/>
        <v>13128993</v>
      </c>
      <c r="I15" s="291">
        <f>H15/'- 43 -'!$I15*100</f>
        <v>62.436894902989494</v>
      </c>
    </row>
    <row r="16" spans="1:9" ht="14.1" customHeight="1" x14ac:dyDescent="0.2">
      <c r="A16" s="19" t="s">
        <v>114</v>
      </c>
      <c r="B16" s="20">
        <f>'- 61 -'!$F16</f>
        <v>8527752</v>
      </c>
      <c r="C16" s="418">
        <v>930737</v>
      </c>
      <c r="D16" s="418">
        <v>752713</v>
      </c>
      <c r="E16" s="418">
        <v>607538</v>
      </c>
      <c r="F16" s="20">
        <f t="shared" si="0"/>
        <v>10818740</v>
      </c>
      <c r="G16" s="418">
        <v>0</v>
      </c>
      <c r="H16" s="20">
        <f t="shared" si="1"/>
        <v>10818740</v>
      </c>
      <c r="I16" s="70">
        <f>H16/'- 43 -'!$I16*100</f>
        <v>72.483761779899339</v>
      </c>
    </row>
    <row r="17" spans="1:9" ht="14.1" customHeight="1" x14ac:dyDescent="0.2">
      <c r="A17" s="284" t="s">
        <v>115</v>
      </c>
      <c r="B17" s="285">
        <f>'- 61 -'!$F17</f>
        <v>7458112</v>
      </c>
      <c r="C17" s="417">
        <v>1467627</v>
      </c>
      <c r="D17" s="417">
        <v>487785</v>
      </c>
      <c r="E17" s="417">
        <v>638447</v>
      </c>
      <c r="F17" s="285">
        <f t="shared" si="0"/>
        <v>10051971</v>
      </c>
      <c r="G17" s="417">
        <v>270736</v>
      </c>
      <c r="H17" s="285">
        <f t="shared" si="1"/>
        <v>10322707</v>
      </c>
      <c r="I17" s="291">
        <f>H17/'- 43 -'!$I17*100</f>
        <v>55.156737637764849</v>
      </c>
    </row>
    <row r="18" spans="1:9" ht="14.1" customHeight="1" x14ac:dyDescent="0.2">
      <c r="A18" s="19" t="s">
        <v>116</v>
      </c>
      <c r="B18" s="20">
        <f>'- 61 -'!$F18</f>
        <v>37457183</v>
      </c>
      <c r="C18" s="418">
        <v>527518</v>
      </c>
      <c r="D18" s="418">
        <v>318474</v>
      </c>
      <c r="E18" s="418">
        <v>11320217</v>
      </c>
      <c r="F18" s="20">
        <f t="shared" si="0"/>
        <v>49623392</v>
      </c>
      <c r="G18" s="418">
        <v>529883</v>
      </c>
      <c r="H18" s="20">
        <f t="shared" si="1"/>
        <v>50153275</v>
      </c>
      <c r="I18" s="70">
        <f>H18/'- 43 -'!$I18*100</f>
        <v>37.076852383298579</v>
      </c>
    </row>
    <row r="19" spans="1:9" ht="14.1" customHeight="1" x14ac:dyDescent="0.2">
      <c r="A19" s="284" t="s">
        <v>117</v>
      </c>
      <c r="B19" s="285">
        <f>'- 61 -'!$F19</f>
        <v>28034594</v>
      </c>
      <c r="C19" s="417">
        <v>3322988</v>
      </c>
      <c r="D19" s="417">
        <v>646173</v>
      </c>
      <c r="E19" s="417">
        <v>1232400</v>
      </c>
      <c r="F19" s="285">
        <f t="shared" si="0"/>
        <v>33236155</v>
      </c>
      <c r="G19" s="417">
        <v>0</v>
      </c>
      <c r="H19" s="285">
        <f t="shared" si="1"/>
        <v>33236155</v>
      </c>
      <c r="I19" s="291">
        <f>H19/'- 43 -'!$I19*100</f>
        <v>68.17262666022576</v>
      </c>
    </row>
    <row r="20" spans="1:9" ht="14.1" customHeight="1" x14ac:dyDescent="0.2">
      <c r="A20" s="19" t="s">
        <v>118</v>
      </c>
      <c r="B20" s="20">
        <f>'- 61 -'!$F20</f>
        <v>49551391</v>
      </c>
      <c r="C20" s="418">
        <v>6386671</v>
      </c>
      <c r="D20" s="418">
        <v>1494840</v>
      </c>
      <c r="E20" s="418">
        <v>2493415</v>
      </c>
      <c r="F20" s="20">
        <f t="shared" si="0"/>
        <v>59926317</v>
      </c>
      <c r="G20" s="418">
        <v>5000</v>
      </c>
      <c r="H20" s="20">
        <f t="shared" si="1"/>
        <v>59931317</v>
      </c>
      <c r="I20" s="70">
        <f>H20/'- 43 -'!$I20*100</f>
        <v>69.498271887430349</v>
      </c>
    </row>
    <row r="21" spans="1:9" ht="14.1" customHeight="1" x14ac:dyDescent="0.2">
      <c r="A21" s="284" t="s">
        <v>119</v>
      </c>
      <c r="B21" s="285">
        <f>'- 61 -'!$F21</f>
        <v>17253399</v>
      </c>
      <c r="C21" s="417">
        <v>3679982</v>
      </c>
      <c r="D21" s="417">
        <v>1289551</v>
      </c>
      <c r="E21" s="417">
        <v>945569</v>
      </c>
      <c r="F21" s="285">
        <f t="shared" si="0"/>
        <v>23168501</v>
      </c>
      <c r="G21" s="417">
        <v>15000</v>
      </c>
      <c r="H21" s="285">
        <f t="shared" si="1"/>
        <v>23183501</v>
      </c>
      <c r="I21" s="291">
        <f>H21/'- 43 -'!$I21*100</f>
        <v>61.821663700937137</v>
      </c>
    </row>
    <row r="22" spans="1:9" ht="14.1" customHeight="1" x14ac:dyDescent="0.2">
      <c r="A22" s="19" t="s">
        <v>120</v>
      </c>
      <c r="B22" s="20">
        <f>'- 61 -'!$F22</f>
        <v>13776702</v>
      </c>
      <c r="C22" s="418">
        <v>1158902</v>
      </c>
      <c r="D22" s="418">
        <v>309407</v>
      </c>
      <c r="E22" s="418">
        <v>1500861</v>
      </c>
      <c r="F22" s="20">
        <f t="shared" si="0"/>
        <v>16745872</v>
      </c>
      <c r="G22" s="418">
        <v>0</v>
      </c>
      <c r="H22" s="20">
        <f t="shared" si="1"/>
        <v>16745872</v>
      </c>
      <c r="I22" s="70">
        <f>H22/'- 43 -'!$I22*100</f>
        <v>81.234439163739722</v>
      </c>
    </row>
    <row r="23" spans="1:9" ht="14.1" customHeight="1" x14ac:dyDescent="0.2">
      <c r="A23" s="284" t="s">
        <v>121</v>
      </c>
      <c r="B23" s="285">
        <f>'- 61 -'!$F23</f>
        <v>9752037</v>
      </c>
      <c r="C23" s="417">
        <v>1084288</v>
      </c>
      <c r="D23" s="417">
        <v>440073</v>
      </c>
      <c r="E23" s="417">
        <v>804096</v>
      </c>
      <c r="F23" s="285">
        <f t="shared" si="0"/>
        <v>12080494</v>
      </c>
      <c r="G23" s="417">
        <v>0</v>
      </c>
      <c r="H23" s="285">
        <f t="shared" si="1"/>
        <v>12080494</v>
      </c>
      <c r="I23" s="291">
        <f>H23/'- 43 -'!$I23*100</f>
        <v>68.892157330706866</v>
      </c>
    </row>
    <row r="24" spans="1:9" ht="14.1" customHeight="1" x14ac:dyDescent="0.2">
      <c r="A24" s="19" t="s">
        <v>122</v>
      </c>
      <c r="B24" s="20">
        <f>'- 61 -'!$F24</f>
        <v>24090699</v>
      </c>
      <c r="C24" s="418">
        <v>5895648</v>
      </c>
      <c r="D24" s="418">
        <v>2692903</v>
      </c>
      <c r="E24" s="418">
        <v>1810869</v>
      </c>
      <c r="F24" s="20">
        <f t="shared" si="0"/>
        <v>34490119</v>
      </c>
      <c r="G24" s="418">
        <v>87253</v>
      </c>
      <c r="H24" s="20">
        <f t="shared" si="1"/>
        <v>34577372</v>
      </c>
      <c r="I24" s="70">
        <f>H24/'- 43 -'!$I24*100</f>
        <v>58.224824243817089</v>
      </c>
    </row>
    <row r="25" spans="1:9" ht="14.1" customHeight="1" x14ac:dyDescent="0.2">
      <c r="A25" s="284" t="s">
        <v>123</v>
      </c>
      <c r="B25" s="285">
        <f>'- 61 -'!$F25</f>
        <v>74280814</v>
      </c>
      <c r="C25" s="417">
        <v>22215692</v>
      </c>
      <c r="D25" s="417">
        <v>5813707</v>
      </c>
      <c r="E25" s="417">
        <v>6641155</v>
      </c>
      <c r="F25" s="285">
        <f t="shared" si="0"/>
        <v>108951368</v>
      </c>
      <c r="G25" s="417">
        <v>0</v>
      </c>
      <c r="H25" s="285">
        <f t="shared" si="1"/>
        <v>108951368</v>
      </c>
      <c r="I25" s="291">
        <f>H25/'- 43 -'!$I25*100</f>
        <v>60.074419554268623</v>
      </c>
    </row>
    <row r="26" spans="1:9" ht="14.1" customHeight="1" x14ac:dyDescent="0.2">
      <c r="A26" s="19" t="s">
        <v>124</v>
      </c>
      <c r="B26" s="20">
        <f>'- 61 -'!$F26</f>
        <v>22351193</v>
      </c>
      <c r="C26" s="418">
        <v>3564434</v>
      </c>
      <c r="D26" s="418">
        <v>690360</v>
      </c>
      <c r="E26" s="418">
        <v>1126757</v>
      </c>
      <c r="F26" s="20">
        <f t="shared" si="0"/>
        <v>27732744</v>
      </c>
      <c r="G26" s="418">
        <v>0</v>
      </c>
      <c r="H26" s="20">
        <f t="shared" si="1"/>
        <v>27732744</v>
      </c>
      <c r="I26" s="70">
        <f>H26/'- 43 -'!$I26*100</f>
        <v>65.974319664028158</v>
      </c>
    </row>
    <row r="27" spans="1:9" ht="14.1" customHeight="1" x14ac:dyDescent="0.2">
      <c r="A27" s="284" t="s">
        <v>125</v>
      </c>
      <c r="B27" s="285">
        <f>'- 61 -'!$F27</f>
        <v>30461503</v>
      </c>
      <c r="C27" s="417">
        <v>1713825</v>
      </c>
      <c r="D27" s="417">
        <v>1060993</v>
      </c>
      <c r="E27" s="417">
        <v>1215959</v>
      </c>
      <c r="F27" s="285">
        <f t="shared" si="0"/>
        <v>34452280</v>
      </c>
      <c r="G27" s="417">
        <v>39344</v>
      </c>
      <c r="H27" s="285">
        <f t="shared" si="1"/>
        <v>34491624</v>
      </c>
      <c r="I27" s="291">
        <f>H27/'- 43 -'!$I27*100</f>
        <v>78.637128829822899</v>
      </c>
    </row>
    <row r="28" spans="1:9" ht="14.1" customHeight="1" x14ac:dyDescent="0.2">
      <c r="A28" s="19" t="s">
        <v>126</v>
      </c>
      <c r="B28" s="20">
        <f>'- 61 -'!$F28</f>
        <v>10749517</v>
      </c>
      <c r="C28" s="418">
        <v>1692650</v>
      </c>
      <c r="D28" s="418">
        <v>793141</v>
      </c>
      <c r="E28" s="418">
        <v>651307</v>
      </c>
      <c r="F28" s="20">
        <f t="shared" si="0"/>
        <v>13886615</v>
      </c>
      <c r="G28" s="418">
        <v>0</v>
      </c>
      <c r="H28" s="20">
        <f t="shared" si="1"/>
        <v>13886615</v>
      </c>
      <c r="I28" s="70">
        <f>H28/'- 43 -'!$I28*100</f>
        <v>48.495740012881569</v>
      </c>
    </row>
    <row r="29" spans="1:9" ht="14.1" customHeight="1" x14ac:dyDescent="0.2">
      <c r="A29" s="284" t="s">
        <v>127</v>
      </c>
      <c r="B29" s="285">
        <f>'- 61 -'!$F29</f>
        <v>54237622</v>
      </c>
      <c r="C29" s="417">
        <v>21432320</v>
      </c>
      <c r="D29" s="417">
        <v>4801348</v>
      </c>
      <c r="E29" s="417">
        <v>4564895</v>
      </c>
      <c r="F29" s="285">
        <f t="shared" si="0"/>
        <v>85036185</v>
      </c>
      <c r="G29" s="417">
        <v>157109</v>
      </c>
      <c r="H29" s="285">
        <f t="shared" si="1"/>
        <v>85193294</v>
      </c>
      <c r="I29" s="291">
        <f>H29/'- 43 -'!$I29*100</f>
        <v>51.699117840460296</v>
      </c>
    </row>
    <row r="30" spans="1:9" ht="14.1" customHeight="1" x14ac:dyDescent="0.2">
      <c r="A30" s="19" t="s">
        <v>128</v>
      </c>
      <c r="B30" s="20">
        <f>'- 61 -'!$F30</f>
        <v>7577278</v>
      </c>
      <c r="C30" s="418">
        <v>1045287</v>
      </c>
      <c r="D30" s="418">
        <v>331549</v>
      </c>
      <c r="E30" s="418">
        <v>344636</v>
      </c>
      <c r="F30" s="20">
        <f t="shared" si="0"/>
        <v>9298750</v>
      </c>
      <c r="G30" s="418">
        <v>0</v>
      </c>
      <c r="H30" s="20">
        <f t="shared" si="1"/>
        <v>9298750</v>
      </c>
      <c r="I30" s="70">
        <f>H30/'- 43 -'!$I30*100</f>
        <v>61.176880346541907</v>
      </c>
    </row>
    <row r="31" spans="1:9" ht="14.1" customHeight="1" x14ac:dyDescent="0.2">
      <c r="A31" s="284" t="s">
        <v>129</v>
      </c>
      <c r="B31" s="285">
        <f>'- 61 -'!$F31</f>
        <v>19110330</v>
      </c>
      <c r="C31" s="417">
        <v>3288191</v>
      </c>
      <c r="D31" s="417">
        <v>520641</v>
      </c>
      <c r="E31" s="417">
        <v>856007</v>
      </c>
      <c r="F31" s="285">
        <f t="shared" si="0"/>
        <v>23775169</v>
      </c>
      <c r="G31" s="417">
        <v>2109</v>
      </c>
      <c r="H31" s="285">
        <f t="shared" si="1"/>
        <v>23777278</v>
      </c>
      <c r="I31" s="291">
        <f>H31/'- 43 -'!$I31*100</f>
        <v>60.286405887547659</v>
      </c>
    </row>
    <row r="32" spans="1:9" ht="14.1" customHeight="1" x14ac:dyDescent="0.2">
      <c r="A32" s="19" t="s">
        <v>130</v>
      </c>
      <c r="B32" s="20">
        <f>'- 61 -'!$F32</f>
        <v>12928397</v>
      </c>
      <c r="C32" s="418">
        <v>2453205</v>
      </c>
      <c r="D32" s="418">
        <v>1121804</v>
      </c>
      <c r="E32" s="418">
        <v>977855</v>
      </c>
      <c r="F32" s="20">
        <f t="shared" si="0"/>
        <v>17481261</v>
      </c>
      <c r="G32" s="418">
        <v>11132</v>
      </c>
      <c r="H32" s="20">
        <f t="shared" si="1"/>
        <v>17492393</v>
      </c>
      <c r="I32" s="70">
        <f>H32/'- 43 -'!$I32*100</f>
        <v>56.454458248021787</v>
      </c>
    </row>
    <row r="33" spans="1:9" ht="14.1" customHeight="1" x14ac:dyDescent="0.2">
      <c r="A33" s="284" t="s">
        <v>131</v>
      </c>
      <c r="B33" s="285">
        <f>'- 61 -'!$F33</f>
        <v>14152801</v>
      </c>
      <c r="C33" s="417">
        <v>1901538</v>
      </c>
      <c r="D33" s="417">
        <v>814065</v>
      </c>
      <c r="E33" s="417">
        <v>741236</v>
      </c>
      <c r="F33" s="285">
        <f t="shared" si="0"/>
        <v>17609640</v>
      </c>
      <c r="G33" s="417">
        <v>13795</v>
      </c>
      <c r="H33" s="285">
        <f t="shared" si="1"/>
        <v>17623435</v>
      </c>
      <c r="I33" s="291">
        <f>H33/'- 43 -'!$I33*100</f>
        <v>60.667805130993337</v>
      </c>
    </row>
    <row r="34" spans="1:9" ht="14.1" customHeight="1" x14ac:dyDescent="0.2">
      <c r="A34" s="19" t="s">
        <v>132</v>
      </c>
      <c r="B34" s="20">
        <f>'- 61 -'!$F34</f>
        <v>12584923</v>
      </c>
      <c r="C34" s="418">
        <v>2222277</v>
      </c>
      <c r="D34" s="418">
        <v>696859</v>
      </c>
      <c r="E34" s="418">
        <v>814270</v>
      </c>
      <c r="F34" s="20">
        <f t="shared" si="0"/>
        <v>16318329</v>
      </c>
      <c r="G34" s="418">
        <v>0</v>
      </c>
      <c r="H34" s="20">
        <f t="shared" si="1"/>
        <v>16318329</v>
      </c>
      <c r="I34" s="70">
        <f>H34/'- 43 -'!$I34*100</f>
        <v>53.797840639489735</v>
      </c>
    </row>
    <row r="35" spans="1:9" ht="14.1" customHeight="1" x14ac:dyDescent="0.2">
      <c r="A35" s="284" t="s">
        <v>133</v>
      </c>
      <c r="B35" s="285">
        <f>'- 61 -'!$F35</f>
        <v>90611706</v>
      </c>
      <c r="C35" s="417">
        <v>23646245</v>
      </c>
      <c r="D35" s="417">
        <v>1468354</v>
      </c>
      <c r="E35" s="417">
        <v>7415207</v>
      </c>
      <c r="F35" s="285">
        <f t="shared" si="0"/>
        <v>123141512</v>
      </c>
      <c r="G35" s="417">
        <v>340845</v>
      </c>
      <c r="H35" s="285">
        <f t="shared" si="1"/>
        <v>123482357</v>
      </c>
      <c r="I35" s="291">
        <f>H35/'- 43 -'!$I35*100</f>
        <v>65.454559670117007</v>
      </c>
    </row>
    <row r="36" spans="1:9" ht="14.1" customHeight="1" x14ac:dyDescent="0.2">
      <c r="A36" s="19" t="s">
        <v>134</v>
      </c>
      <c r="B36" s="20">
        <f>'- 61 -'!$F36</f>
        <v>10203026</v>
      </c>
      <c r="C36" s="418">
        <v>2188342</v>
      </c>
      <c r="D36" s="418">
        <v>762444</v>
      </c>
      <c r="E36" s="418">
        <v>671901</v>
      </c>
      <c r="F36" s="20">
        <f t="shared" si="0"/>
        <v>13825713</v>
      </c>
      <c r="G36" s="418">
        <v>116632</v>
      </c>
      <c r="H36" s="20">
        <f t="shared" si="1"/>
        <v>13942345</v>
      </c>
      <c r="I36" s="70">
        <f>H36/'- 43 -'!$I36*100</f>
        <v>57.231571095824471</v>
      </c>
    </row>
    <row r="37" spans="1:9" ht="14.1" customHeight="1" x14ac:dyDescent="0.2">
      <c r="A37" s="284" t="s">
        <v>135</v>
      </c>
      <c r="B37" s="285">
        <f>'- 61 -'!$F37</f>
        <v>28312341</v>
      </c>
      <c r="C37" s="417">
        <v>4891370</v>
      </c>
      <c r="D37" s="417">
        <v>2046594</v>
      </c>
      <c r="E37" s="417">
        <v>1668135</v>
      </c>
      <c r="F37" s="285">
        <f t="shared" si="0"/>
        <v>36918440</v>
      </c>
      <c r="G37" s="417">
        <v>57743</v>
      </c>
      <c r="H37" s="285">
        <f t="shared" si="1"/>
        <v>36976183</v>
      </c>
      <c r="I37" s="291">
        <f>H37/'- 43 -'!$I37*100</f>
        <v>70.838157661440462</v>
      </c>
    </row>
    <row r="38" spans="1:9" ht="14.1" customHeight="1" x14ac:dyDescent="0.2">
      <c r="A38" s="19" t="s">
        <v>136</v>
      </c>
      <c r="B38" s="20">
        <f>'- 61 -'!$F38</f>
        <v>72022913</v>
      </c>
      <c r="C38" s="418">
        <v>12665724</v>
      </c>
      <c r="D38" s="418">
        <v>5352097</v>
      </c>
      <c r="E38" s="418">
        <v>4454151</v>
      </c>
      <c r="F38" s="20">
        <f t="shared" si="0"/>
        <v>94494885</v>
      </c>
      <c r="G38" s="418">
        <v>1048503</v>
      </c>
      <c r="H38" s="20">
        <f t="shared" si="1"/>
        <v>95543388</v>
      </c>
      <c r="I38" s="70">
        <f>H38/'- 43 -'!$I38*100</f>
        <v>67.81873893503824</v>
      </c>
    </row>
    <row r="39" spans="1:9" ht="14.1" customHeight="1" x14ac:dyDescent="0.2">
      <c r="A39" s="284" t="s">
        <v>137</v>
      </c>
      <c r="B39" s="285">
        <f>'- 61 -'!$F39</f>
        <v>9175589</v>
      </c>
      <c r="C39" s="417">
        <v>1756465</v>
      </c>
      <c r="D39" s="417">
        <v>758456</v>
      </c>
      <c r="E39" s="417">
        <v>636711</v>
      </c>
      <c r="F39" s="285">
        <f t="shared" si="0"/>
        <v>12327221</v>
      </c>
      <c r="G39" s="417">
        <v>0</v>
      </c>
      <c r="H39" s="285">
        <f t="shared" si="1"/>
        <v>12327221</v>
      </c>
      <c r="I39" s="291">
        <f>H39/'- 43 -'!$I39*100</f>
        <v>52.452940530954486</v>
      </c>
    </row>
    <row r="40" spans="1:9" ht="14.1" customHeight="1" x14ac:dyDescent="0.2">
      <c r="A40" s="19" t="s">
        <v>138</v>
      </c>
      <c r="B40" s="20">
        <f>'- 61 -'!$F40</f>
        <v>38986110</v>
      </c>
      <c r="C40" s="418">
        <v>12915282</v>
      </c>
      <c r="D40" s="418">
        <v>3441404</v>
      </c>
      <c r="E40" s="418">
        <v>3234355</v>
      </c>
      <c r="F40" s="20">
        <f t="shared" si="0"/>
        <v>58577151</v>
      </c>
      <c r="G40" s="418">
        <v>93312</v>
      </c>
      <c r="H40" s="20">
        <f t="shared" si="1"/>
        <v>58670463</v>
      </c>
      <c r="I40" s="70">
        <f>H40/'- 43 -'!$I40*100</f>
        <v>54.400112385832408</v>
      </c>
    </row>
    <row r="41" spans="1:9" ht="14.1" customHeight="1" x14ac:dyDescent="0.2">
      <c r="A41" s="284" t="s">
        <v>139</v>
      </c>
      <c r="B41" s="285">
        <f>'- 61 -'!$F41</f>
        <v>25683160</v>
      </c>
      <c r="C41" s="417">
        <v>7071346</v>
      </c>
      <c r="D41" s="417">
        <v>2924593</v>
      </c>
      <c r="E41" s="417">
        <v>2670272</v>
      </c>
      <c r="F41" s="285">
        <f t="shared" si="0"/>
        <v>38349371</v>
      </c>
      <c r="G41" s="417">
        <v>249143</v>
      </c>
      <c r="H41" s="285">
        <f t="shared" si="1"/>
        <v>38598514</v>
      </c>
      <c r="I41" s="291">
        <f>H41/'- 43 -'!$I41*100</f>
        <v>57.999722041408553</v>
      </c>
    </row>
    <row r="42" spans="1:9" ht="14.1" customHeight="1" x14ac:dyDescent="0.2">
      <c r="A42" s="19" t="s">
        <v>140</v>
      </c>
      <c r="B42" s="20">
        <f>'- 61 -'!$F42</f>
        <v>11777474</v>
      </c>
      <c r="C42" s="418">
        <v>1589632</v>
      </c>
      <c r="D42" s="418">
        <v>1056497</v>
      </c>
      <c r="E42" s="418">
        <v>629212</v>
      </c>
      <c r="F42" s="20">
        <f t="shared" si="0"/>
        <v>15052815</v>
      </c>
      <c r="G42" s="418">
        <v>0</v>
      </c>
      <c r="H42" s="20">
        <f t="shared" si="1"/>
        <v>15052815</v>
      </c>
      <c r="I42" s="70">
        <f>H42/'- 43 -'!$I42*100</f>
        <v>70.392413182402819</v>
      </c>
    </row>
    <row r="43" spans="1:9" ht="14.1" customHeight="1" x14ac:dyDescent="0.2">
      <c r="A43" s="284" t="s">
        <v>141</v>
      </c>
      <c r="B43" s="285">
        <f>'- 61 -'!$F43</f>
        <v>6080157</v>
      </c>
      <c r="C43" s="417">
        <v>1280016</v>
      </c>
      <c r="D43" s="417">
        <v>0</v>
      </c>
      <c r="E43" s="417">
        <v>553291</v>
      </c>
      <c r="F43" s="285">
        <f t="shared" si="0"/>
        <v>7913464</v>
      </c>
      <c r="G43" s="417">
        <v>0</v>
      </c>
      <c r="H43" s="285">
        <f t="shared" si="1"/>
        <v>7913464</v>
      </c>
      <c r="I43" s="291">
        <f>H43/'- 43 -'!$I43*100</f>
        <v>57.949807263929898</v>
      </c>
    </row>
    <row r="44" spans="1:9" ht="14.1" customHeight="1" x14ac:dyDescent="0.2">
      <c r="A44" s="19" t="s">
        <v>142</v>
      </c>
      <c r="B44" s="20">
        <f>'- 61 -'!$F44</f>
        <v>7401139</v>
      </c>
      <c r="C44" s="418">
        <v>713321</v>
      </c>
      <c r="D44" s="418">
        <v>452300</v>
      </c>
      <c r="E44" s="418">
        <v>385248</v>
      </c>
      <c r="F44" s="20">
        <f t="shared" si="0"/>
        <v>8952008</v>
      </c>
      <c r="G44" s="418">
        <v>0</v>
      </c>
      <c r="H44" s="20">
        <f t="shared" si="1"/>
        <v>8952008</v>
      </c>
      <c r="I44" s="70">
        <f>H44/'- 43 -'!$I44*100</f>
        <v>78.090217848134898</v>
      </c>
    </row>
    <row r="45" spans="1:9" ht="14.1" customHeight="1" x14ac:dyDescent="0.2">
      <c r="A45" s="284" t="s">
        <v>143</v>
      </c>
      <c r="B45" s="285">
        <f>'- 61 -'!$F45</f>
        <v>10034934</v>
      </c>
      <c r="C45" s="417">
        <v>2028363</v>
      </c>
      <c r="D45" s="417">
        <v>0</v>
      </c>
      <c r="E45" s="417">
        <v>981412</v>
      </c>
      <c r="F45" s="285">
        <f t="shared" si="0"/>
        <v>13044709</v>
      </c>
      <c r="G45" s="417">
        <v>15170</v>
      </c>
      <c r="H45" s="285">
        <f t="shared" si="1"/>
        <v>13059879</v>
      </c>
      <c r="I45" s="291">
        <f>H45/'- 43 -'!$I45*100</f>
        <v>64.501466705822281</v>
      </c>
    </row>
    <row r="46" spans="1:9" ht="14.1" customHeight="1" x14ac:dyDescent="0.2">
      <c r="A46" s="19" t="s">
        <v>144</v>
      </c>
      <c r="B46" s="20">
        <f>'- 61 -'!$F46</f>
        <v>184150494</v>
      </c>
      <c r="C46" s="418">
        <v>30681986</v>
      </c>
      <c r="D46" s="418">
        <v>9486374</v>
      </c>
      <c r="E46" s="418">
        <v>19857782</v>
      </c>
      <c r="F46" s="20">
        <f t="shared" si="0"/>
        <v>244176636</v>
      </c>
      <c r="G46" s="418">
        <v>381617</v>
      </c>
      <c r="H46" s="20">
        <f t="shared" si="1"/>
        <v>244558253</v>
      </c>
      <c r="I46" s="70">
        <f>H46/'- 43 -'!$I46*100</f>
        <v>61.388098645766512</v>
      </c>
    </row>
    <row r="47" spans="1:9" ht="5.0999999999999996" customHeight="1" x14ac:dyDescent="0.2">
      <c r="A47" s="21"/>
      <c r="B47" s="22"/>
      <c r="C47" s="22"/>
      <c r="D47" s="22"/>
      <c r="E47" s="22"/>
      <c r="F47" s="22"/>
      <c r="G47" s="22"/>
      <c r="H47" s="22"/>
      <c r="I47"/>
    </row>
    <row r="48" spans="1:9" ht="14.1" customHeight="1" x14ac:dyDescent="0.2">
      <c r="A48" s="286" t="s">
        <v>145</v>
      </c>
      <c r="B48" s="287">
        <f t="shared" ref="B48:H48" si="2">SUM(B11:B46)</f>
        <v>1064924362</v>
      </c>
      <c r="C48" s="421">
        <f>SUM(C11:C46)</f>
        <v>208306517</v>
      </c>
      <c r="D48" s="421">
        <f>SUM(D11:D46)</f>
        <v>61421478</v>
      </c>
      <c r="E48" s="421">
        <f>SUM(E11:E46)</f>
        <v>106132332</v>
      </c>
      <c r="F48" s="287">
        <f t="shared" si="2"/>
        <v>1440784689</v>
      </c>
      <c r="G48" s="421">
        <f>SUM(G11:G46)</f>
        <v>4293643</v>
      </c>
      <c r="H48" s="287">
        <f t="shared" si="2"/>
        <v>1445078332</v>
      </c>
      <c r="I48" s="294">
        <f>H48/'- 43 -'!$I48*100</f>
        <v>60.768190852016268</v>
      </c>
    </row>
    <row r="49" spans="1:9" ht="5.0999999999999996" customHeight="1" x14ac:dyDescent="0.2">
      <c r="A49" s="21" t="s">
        <v>7</v>
      </c>
      <c r="B49" s="22"/>
      <c r="C49" s="22"/>
      <c r="D49" s="22"/>
      <c r="E49" s="22"/>
      <c r="F49" s="22"/>
      <c r="G49" s="22"/>
      <c r="H49" s="22"/>
      <c r="I49"/>
    </row>
    <row r="50" spans="1:9" ht="14.1" customHeight="1" x14ac:dyDescent="0.2">
      <c r="A50" s="19" t="s">
        <v>146</v>
      </c>
      <c r="B50" s="20">
        <f>'- 61 -'!$F50</f>
        <v>934182</v>
      </c>
      <c r="C50" s="418">
        <v>387454</v>
      </c>
      <c r="D50" s="418">
        <v>24000</v>
      </c>
      <c r="E50" s="418">
        <v>107610</v>
      </c>
      <c r="F50" s="20">
        <f>SUM(B50:E50)</f>
        <v>1453246</v>
      </c>
      <c r="G50" s="418">
        <v>0</v>
      </c>
      <c r="H50" s="20">
        <f>SUM(F50:G50)</f>
        <v>1453246</v>
      </c>
      <c r="I50" s="70">
        <f>H50/'- 43 -'!$I50*100</f>
        <v>42.739600492083923</v>
      </c>
    </row>
    <row r="51" spans="1:9" ht="14.1" customHeight="1" x14ac:dyDescent="0.2">
      <c r="A51" s="284" t="s">
        <v>609</v>
      </c>
      <c r="B51" s="285">
        <f>'- 61 -'!$F51</f>
        <v>0</v>
      </c>
      <c r="C51" s="417">
        <v>0</v>
      </c>
      <c r="D51" s="417">
        <v>0</v>
      </c>
      <c r="E51" s="417">
        <v>9963351</v>
      </c>
      <c r="F51" s="285">
        <f>SUM(B51:E51)</f>
        <v>9963351</v>
      </c>
      <c r="G51" s="417">
        <v>182211</v>
      </c>
      <c r="H51" s="285">
        <f>SUM(F51:G51)</f>
        <v>10145562</v>
      </c>
      <c r="I51" s="291">
        <f>H51/'- 43 -'!$I51*100</f>
        <v>32.429110439344875</v>
      </c>
    </row>
    <row r="52" spans="1:9" ht="50.1" customHeight="1" x14ac:dyDescent="0.2">
      <c r="A52" s="23"/>
      <c r="B52" s="23"/>
      <c r="C52" s="23"/>
      <c r="D52" s="23"/>
      <c r="E52" s="23"/>
      <c r="F52" s="23"/>
      <c r="G52" s="23"/>
      <c r="H52" s="23"/>
      <c r="I52" s="23"/>
    </row>
    <row r="53" spans="1:9" ht="15" customHeight="1" x14ac:dyDescent="0.2">
      <c r="A53" s="38" t="s">
        <v>349</v>
      </c>
      <c r="C53" s="38"/>
      <c r="D53" s="38"/>
      <c r="E53" s="221"/>
      <c r="F53" s="221"/>
      <c r="G53" s="221"/>
      <c r="H53" s="221"/>
    </row>
    <row r="54" spans="1:9" ht="12" customHeight="1" x14ac:dyDescent="0.2">
      <c r="A54" s="620" t="s">
        <v>611</v>
      </c>
      <c r="B54" s="620"/>
      <c r="C54" s="620"/>
      <c r="D54" s="620"/>
      <c r="E54" s="620"/>
      <c r="F54" s="620"/>
      <c r="G54" s="620"/>
      <c r="H54" s="620"/>
      <c r="I54" s="620"/>
    </row>
    <row r="55" spans="1:9" ht="12" customHeight="1" x14ac:dyDescent="0.2">
      <c r="A55" s="620"/>
      <c r="B55" s="620"/>
      <c r="C55" s="620"/>
      <c r="D55" s="620"/>
      <c r="E55" s="620"/>
      <c r="F55" s="620"/>
      <c r="G55" s="620"/>
      <c r="H55" s="620"/>
      <c r="I55" s="620"/>
    </row>
    <row r="56" spans="1:9" ht="12" customHeight="1" x14ac:dyDescent="0.2">
      <c r="A56" s="620"/>
      <c r="B56" s="620"/>
      <c r="C56" s="620"/>
      <c r="D56" s="620"/>
      <c r="E56" s="620"/>
      <c r="F56" s="620"/>
      <c r="G56" s="620"/>
      <c r="H56" s="620"/>
      <c r="I56" s="620"/>
    </row>
    <row r="57" spans="1:9" ht="12" customHeight="1" x14ac:dyDescent="0.2">
      <c r="A57" s="620"/>
      <c r="B57" s="620"/>
      <c r="C57" s="620"/>
      <c r="D57" s="620"/>
      <c r="E57" s="620"/>
      <c r="F57" s="620"/>
      <c r="G57" s="620"/>
      <c r="H57" s="620"/>
      <c r="I57" s="620"/>
    </row>
    <row r="58" spans="1:9" ht="12" customHeight="1" x14ac:dyDescent="0.2">
      <c r="A58" s="717" t="s">
        <v>528</v>
      </c>
      <c r="B58" s="717"/>
      <c r="C58" s="717"/>
      <c r="D58" s="717"/>
      <c r="E58" s="717"/>
      <c r="F58" s="717"/>
      <c r="G58" s="717"/>
      <c r="H58" s="717"/>
      <c r="I58" s="717"/>
    </row>
    <row r="59" spans="1:9" ht="12" customHeight="1" x14ac:dyDescent="0.2">
      <c r="A59" s="717"/>
      <c r="B59" s="717"/>
      <c r="C59" s="717"/>
      <c r="D59" s="717"/>
      <c r="E59" s="717"/>
      <c r="F59" s="717"/>
      <c r="G59" s="717"/>
      <c r="H59" s="717"/>
      <c r="I59" s="717"/>
    </row>
    <row r="60" spans="1:9" ht="12" customHeight="1" x14ac:dyDescent="0.2">
      <c r="A60" s="133" t="s">
        <v>390</v>
      </c>
    </row>
    <row r="61" spans="1:9" x14ac:dyDescent="0.2">
      <c r="A61" s="2" t="s">
        <v>350</v>
      </c>
    </row>
    <row r="62" spans="1:9" x14ac:dyDescent="0.2">
      <c r="A62" s="2" t="e">
        <f>"(6) Total provincial contribution to public education is "&amp;ROUND(#REF!*100,1)&amp;"%. See page i for more details."</f>
        <v>#REF!</v>
      </c>
    </row>
  </sheetData>
  <mergeCells count="11">
    <mergeCell ref="B7:B9"/>
    <mergeCell ref="A58:I59"/>
    <mergeCell ref="A54:I57"/>
    <mergeCell ref="B5:F5"/>
    <mergeCell ref="B3:I3"/>
    <mergeCell ref="H7:H9"/>
    <mergeCell ref="I6:I9"/>
    <mergeCell ref="G7:G9"/>
    <mergeCell ref="E8:E9"/>
    <mergeCell ref="D7:D9"/>
    <mergeCell ref="C7:C9"/>
  </mergeCells>
  <phoneticPr fontId="6" type="noConversion"/>
  <pageMargins left="0.5" right="0.5" top="0.6" bottom="0.2" header="0.3" footer="0.5"/>
  <pageSetup scale="81" orientation="portrait" r:id="rId1"/>
  <headerFooter alignWithMargins="0">
    <oddHeader>&amp;C&amp;"Arial,Regular"&amp;12&amp;A</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I54"/>
  <sheetViews>
    <sheetView showGridLines="0" showZeros="0" workbookViewId="0"/>
  </sheetViews>
  <sheetFormatPr defaultColWidth="15.83203125" defaultRowHeight="12" x14ac:dyDescent="0.2"/>
  <cols>
    <col min="1" max="1" width="34.83203125" style="2" customWidth="1"/>
    <col min="2" max="2" width="15.83203125" style="2" customWidth="1"/>
    <col min="3" max="3" width="8.83203125" style="2" customWidth="1"/>
    <col min="4" max="4" width="15.83203125" style="2"/>
    <col min="5" max="5" width="8.83203125" style="2" customWidth="1"/>
    <col min="6" max="6" width="15.83203125" style="2"/>
    <col min="7" max="7" width="8.83203125" style="2" customWidth="1"/>
    <col min="8" max="8" width="14.83203125" style="2" customWidth="1"/>
    <col min="9" max="9" width="8.83203125" style="2" customWidth="1"/>
    <col min="10" max="16384" width="15.83203125" style="2"/>
  </cols>
  <sheetData>
    <row r="1" spans="1:9" ht="6.95" customHeight="1" x14ac:dyDescent="0.2">
      <c r="A1" s="7"/>
    </row>
    <row r="2" spans="1:9" ht="15.95" customHeight="1" x14ac:dyDescent="0.2">
      <c r="A2" s="213"/>
      <c r="B2" s="204" t="str">
        <f>REVYEAR</f>
        <v>ANALYSIS OF OPERATING FUND REVENUE: 2016/2017 ACTUAL</v>
      </c>
      <c r="C2" s="41"/>
      <c r="D2" s="41"/>
      <c r="E2" s="41"/>
      <c r="F2" s="41"/>
      <c r="G2" s="217"/>
      <c r="H2" s="218"/>
      <c r="I2" s="215" t="s">
        <v>8</v>
      </c>
    </row>
    <row r="3" spans="1:9" ht="15.95" customHeight="1" x14ac:dyDescent="0.2">
      <c r="A3" s="537"/>
    </row>
    <row r="4" spans="1:9" ht="15.95" customHeight="1" x14ac:dyDescent="0.2">
      <c r="B4" s="8"/>
      <c r="C4" s="8"/>
      <c r="D4" s="8"/>
      <c r="E4" s="8"/>
      <c r="F4" s="8"/>
      <c r="G4" s="8"/>
      <c r="H4" s="8"/>
      <c r="I4" s="43"/>
    </row>
    <row r="5" spans="1:9" ht="15.95" customHeight="1" x14ac:dyDescent="0.2">
      <c r="B5" s="8"/>
      <c r="C5" s="8"/>
      <c r="D5" s="8"/>
      <c r="E5" s="8"/>
      <c r="F5" s="8"/>
      <c r="G5" s="8"/>
      <c r="H5" s="8"/>
      <c r="I5" s="8"/>
    </row>
    <row r="6" spans="1:9" ht="15.95" customHeight="1" x14ac:dyDescent="0.2">
      <c r="B6" s="8"/>
      <c r="C6" s="8"/>
      <c r="D6" s="8"/>
      <c r="E6" s="8"/>
      <c r="F6" s="8"/>
      <c r="G6" s="8"/>
      <c r="H6" s="8"/>
      <c r="I6" s="8"/>
    </row>
    <row r="7" spans="1:9" ht="15.95" customHeight="1" x14ac:dyDescent="0.2">
      <c r="B7" s="670" t="s">
        <v>529</v>
      </c>
      <c r="C7" s="671"/>
      <c r="D7" s="690" t="s">
        <v>530</v>
      </c>
      <c r="E7" s="644"/>
      <c r="F7" s="647" t="s">
        <v>520</v>
      </c>
      <c r="G7" s="644"/>
      <c r="H7" s="311"/>
      <c r="I7" s="310"/>
    </row>
    <row r="8" spans="1:9" ht="15.95" customHeight="1" x14ac:dyDescent="0.2">
      <c r="A8" s="403"/>
      <c r="B8" s="672"/>
      <c r="C8" s="673"/>
      <c r="D8" s="677"/>
      <c r="E8" s="646"/>
      <c r="F8" s="645"/>
      <c r="G8" s="646"/>
      <c r="H8" s="648" t="s">
        <v>61</v>
      </c>
      <c r="I8" s="649"/>
    </row>
    <row r="9" spans="1:9" ht="15.95" customHeight="1" x14ac:dyDescent="0.2">
      <c r="A9" s="35" t="s">
        <v>42</v>
      </c>
      <c r="B9" s="563" t="s">
        <v>62</v>
      </c>
      <c r="C9" s="115" t="s">
        <v>44</v>
      </c>
      <c r="D9" s="206" t="s">
        <v>62</v>
      </c>
      <c r="E9" s="206" t="s">
        <v>44</v>
      </c>
      <c r="F9" s="206" t="s">
        <v>62</v>
      </c>
      <c r="G9" s="206" t="s">
        <v>44</v>
      </c>
      <c r="H9" s="216" t="s">
        <v>62</v>
      </c>
      <c r="I9" s="216" t="s">
        <v>44</v>
      </c>
    </row>
    <row r="10" spans="1:9" ht="5.0999999999999996" customHeight="1" x14ac:dyDescent="0.2">
      <c r="A10" s="6"/>
      <c r="B10" s="207"/>
      <c r="C10" s="207"/>
      <c r="D10" s="207"/>
      <c r="E10" s="207"/>
      <c r="F10" s="207"/>
      <c r="G10" s="207"/>
      <c r="H10" s="207"/>
      <c r="I10" s="207"/>
    </row>
    <row r="11" spans="1:9" ht="14.1" customHeight="1" x14ac:dyDescent="0.2">
      <c r="A11" s="284" t="s">
        <v>110</v>
      </c>
      <c r="B11" s="417">
        <v>0</v>
      </c>
      <c r="C11" s="291">
        <f>B11/'- 43 -'!$I11*100</f>
        <v>0</v>
      </c>
      <c r="D11" s="417">
        <v>6729125</v>
      </c>
      <c r="E11" s="291">
        <f>D11/'- 43 -'!$I11*100</f>
        <v>33.797830148289812</v>
      </c>
      <c r="F11" s="417">
        <v>28600</v>
      </c>
      <c r="G11" s="291">
        <f>F11/'- 43 -'!$I11*100</f>
        <v>0.14364689944696948</v>
      </c>
      <c r="H11" s="417">
        <v>0</v>
      </c>
      <c r="I11" s="291">
        <f>H11/'- 43 -'!$I11*100</f>
        <v>0</v>
      </c>
    </row>
    <row r="12" spans="1:9" ht="14.1" customHeight="1" x14ac:dyDescent="0.2">
      <c r="A12" s="19" t="s">
        <v>111</v>
      </c>
      <c r="B12" s="418">
        <v>16047</v>
      </c>
      <c r="C12" s="70">
        <f>B12/'- 43 -'!$I12*100</f>
        <v>4.2044136832848994E-2</v>
      </c>
      <c r="D12" s="418">
        <v>13501471</v>
      </c>
      <c r="E12" s="70">
        <f>D12/'- 43 -'!$I12*100</f>
        <v>35.374692725664772</v>
      </c>
      <c r="F12" s="418">
        <v>741709</v>
      </c>
      <c r="G12" s="70">
        <f>F12/'- 43 -'!$I12*100</f>
        <v>1.9433236546491928</v>
      </c>
      <c r="H12" s="418">
        <v>1402907</v>
      </c>
      <c r="I12" s="70">
        <f>H12/'- 43 -'!$I12*100</f>
        <v>3.6757034879891375</v>
      </c>
    </row>
    <row r="13" spans="1:9" ht="14.1" customHeight="1" x14ac:dyDescent="0.2">
      <c r="A13" s="284" t="s">
        <v>112</v>
      </c>
      <c r="B13" s="417">
        <v>0</v>
      </c>
      <c r="C13" s="291">
        <f>B13/'- 43 -'!$I13*100</f>
        <v>0</v>
      </c>
      <c r="D13" s="417">
        <v>36901565</v>
      </c>
      <c r="E13" s="291">
        <f>D13/'- 43 -'!$I13*100</f>
        <v>37.414793070242787</v>
      </c>
      <c r="F13" s="417">
        <v>450034</v>
      </c>
      <c r="G13" s="291">
        <f>F13/'- 43 -'!$I13*100</f>
        <v>0.45629308633857785</v>
      </c>
      <c r="H13" s="417">
        <v>249210</v>
      </c>
      <c r="I13" s="291">
        <f>H13/'- 43 -'!$I13*100</f>
        <v>0.2526760201372274</v>
      </c>
    </row>
    <row r="14" spans="1:9" ht="14.1" customHeight="1" x14ac:dyDescent="0.2">
      <c r="A14" s="19" t="s">
        <v>359</v>
      </c>
      <c r="B14" s="418">
        <v>49603</v>
      </c>
      <c r="C14" s="70">
        <f>B14/'- 43 -'!$I14*100</f>
        <v>5.7318241675144474E-2</v>
      </c>
      <c r="D14" s="418">
        <v>22515975</v>
      </c>
      <c r="E14" s="70">
        <f>D14/'- 43 -'!$I14*100</f>
        <v>26.018105691218494</v>
      </c>
      <c r="F14" s="418">
        <v>1794065</v>
      </c>
      <c r="G14" s="70">
        <f>F14/'- 43 -'!$I14*100</f>
        <v>2.0731135465781927</v>
      </c>
      <c r="H14" s="418">
        <v>0</v>
      </c>
      <c r="I14" s="70">
        <f>H14/'- 43 -'!$I14*100</f>
        <v>0</v>
      </c>
    </row>
    <row r="15" spans="1:9" ht="14.1" customHeight="1" x14ac:dyDescent="0.2">
      <c r="A15" s="284" t="s">
        <v>113</v>
      </c>
      <c r="B15" s="417">
        <v>0</v>
      </c>
      <c r="C15" s="291">
        <f>B15/'- 43 -'!$I15*100</f>
        <v>0</v>
      </c>
      <c r="D15" s="417">
        <v>7563416</v>
      </c>
      <c r="E15" s="291">
        <f>D15/'- 43 -'!$I15*100</f>
        <v>35.968958921646866</v>
      </c>
      <c r="F15" s="417">
        <v>52931</v>
      </c>
      <c r="G15" s="291">
        <f>F15/'- 43 -'!$I15*100</f>
        <v>0.25172130749937466</v>
      </c>
      <c r="H15" s="417">
        <v>154000</v>
      </c>
      <c r="I15" s="291">
        <f>H15/'- 43 -'!$I15*100</f>
        <v>0.73237009228814287</v>
      </c>
    </row>
    <row r="16" spans="1:9" ht="14.1" customHeight="1" x14ac:dyDescent="0.2">
      <c r="A16" s="19" t="s">
        <v>114</v>
      </c>
      <c r="B16" s="418">
        <v>21075</v>
      </c>
      <c r="C16" s="70">
        <f>B16/'- 43 -'!$I16*100</f>
        <v>0.14119900094755752</v>
      </c>
      <c r="D16" s="418">
        <v>3496475</v>
      </c>
      <c r="E16" s="70">
        <f>D16/'- 43 -'!$I16*100</f>
        <v>23.425801985201005</v>
      </c>
      <c r="F16" s="418">
        <v>277954</v>
      </c>
      <c r="G16" s="70">
        <f>F16/'- 43 -'!$I16*100</f>
        <v>1.8622456516905057</v>
      </c>
      <c r="H16" s="418">
        <v>28293</v>
      </c>
      <c r="I16" s="70">
        <f>H16/'- 43 -'!$I16*100</f>
        <v>0.18955840255322631</v>
      </c>
    </row>
    <row r="17" spans="1:9" ht="14.1" customHeight="1" x14ac:dyDescent="0.2">
      <c r="A17" s="284" t="s">
        <v>115</v>
      </c>
      <c r="B17" s="417">
        <v>0</v>
      </c>
      <c r="C17" s="291">
        <f>B17/'- 43 -'!$I17*100</f>
        <v>0</v>
      </c>
      <c r="D17" s="417">
        <v>7354000</v>
      </c>
      <c r="E17" s="291">
        <f>D17/'- 43 -'!$I17*100</f>
        <v>39.294213096247205</v>
      </c>
      <c r="F17" s="417">
        <v>23050</v>
      </c>
      <c r="G17" s="291">
        <f>F17/'- 43 -'!$I17*100</f>
        <v>0.12316176392011123</v>
      </c>
      <c r="H17" s="417">
        <v>980969</v>
      </c>
      <c r="I17" s="291">
        <f>H17/'- 43 -'!$I17*100</f>
        <v>5.2415562859413276</v>
      </c>
    </row>
    <row r="18" spans="1:9" ht="14.1" customHeight="1" x14ac:dyDescent="0.2">
      <c r="A18" s="19" t="s">
        <v>116</v>
      </c>
      <c r="B18" s="418">
        <v>230497</v>
      </c>
      <c r="C18" s="70">
        <f>B18/'- 43 -'!$I18*100</f>
        <v>0.17039970458146897</v>
      </c>
      <c r="D18" s="418">
        <v>3223295</v>
      </c>
      <c r="E18" s="70">
        <f>D18/'- 43 -'!$I18*100</f>
        <v>2.3828879151525877</v>
      </c>
      <c r="F18" s="418">
        <v>18200</v>
      </c>
      <c r="G18" s="70">
        <f>F18/'- 43 -'!$I18*100</f>
        <v>1.3454728796395332E-2</v>
      </c>
      <c r="H18" s="418">
        <v>75790889</v>
      </c>
      <c r="I18" s="70">
        <f>H18/'- 43 -'!$I18*100</f>
        <v>56.029992128170456</v>
      </c>
    </row>
    <row r="19" spans="1:9" ht="14.1" customHeight="1" x14ac:dyDescent="0.2">
      <c r="A19" s="284" t="s">
        <v>117</v>
      </c>
      <c r="B19" s="417">
        <v>0</v>
      </c>
      <c r="C19" s="291">
        <f>B19/'- 43 -'!$I19*100</f>
        <v>0</v>
      </c>
      <c r="D19" s="417">
        <v>14514207</v>
      </c>
      <c r="E19" s="291">
        <f>D19/'- 43 -'!$I19*100</f>
        <v>29.770941165734584</v>
      </c>
      <c r="F19" s="417">
        <v>348852</v>
      </c>
      <c r="G19" s="291">
        <f>F19/'- 43 -'!$I19*100</f>
        <v>0.71555079568238489</v>
      </c>
      <c r="H19" s="417">
        <v>0</v>
      </c>
      <c r="I19" s="291">
        <f>H19/'- 43 -'!$I19*100</f>
        <v>0</v>
      </c>
    </row>
    <row r="20" spans="1:9" ht="14.1" customHeight="1" x14ac:dyDescent="0.2">
      <c r="A20" s="19" t="s">
        <v>118</v>
      </c>
      <c r="B20" s="418">
        <v>0</v>
      </c>
      <c r="C20" s="70">
        <f>B20/'- 43 -'!$I20*100</f>
        <v>0</v>
      </c>
      <c r="D20" s="418">
        <v>25544931</v>
      </c>
      <c r="E20" s="70">
        <f>D20/'- 43 -'!$I20*100</f>
        <v>29.622718953158461</v>
      </c>
      <c r="F20" s="418">
        <v>103850</v>
      </c>
      <c r="G20" s="70">
        <f>F20/'- 43 -'!$I20*100</f>
        <v>0.12042778128018847</v>
      </c>
      <c r="H20" s="418">
        <v>0</v>
      </c>
      <c r="I20" s="70">
        <f>H20/'- 43 -'!$I20*100</f>
        <v>0</v>
      </c>
    </row>
    <row r="21" spans="1:9" ht="14.1" customHeight="1" x14ac:dyDescent="0.2">
      <c r="A21" s="284" t="s">
        <v>119</v>
      </c>
      <c r="B21" s="417">
        <v>0</v>
      </c>
      <c r="C21" s="291">
        <f>B21/'- 43 -'!$I21*100</f>
        <v>0</v>
      </c>
      <c r="D21" s="417">
        <v>13882968</v>
      </c>
      <c r="E21" s="291">
        <f>D21/'- 43 -'!$I21*100</f>
        <v>37.020645797495028</v>
      </c>
      <c r="F21" s="417">
        <v>68668</v>
      </c>
      <c r="G21" s="291">
        <f>F21/'- 43 -'!$I21*100</f>
        <v>0.18311168804987438</v>
      </c>
      <c r="H21" s="417">
        <v>0</v>
      </c>
      <c r="I21" s="291">
        <f>H21/'- 43 -'!$I21*100</f>
        <v>0</v>
      </c>
    </row>
    <row r="22" spans="1:9" ht="14.1" customHeight="1" x14ac:dyDescent="0.2">
      <c r="A22" s="19" t="s">
        <v>120</v>
      </c>
      <c r="B22" s="418">
        <v>0</v>
      </c>
      <c r="C22" s="70">
        <f>B22/'- 43 -'!$I22*100</f>
        <v>0</v>
      </c>
      <c r="D22" s="418">
        <v>3398014</v>
      </c>
      <c r="E22" s="70">
        <f>D22/'- 43 -'!$I22*100</f>
        <v>16.483809356749884</v>
      </c>
      <c r="F22" s="418">
        <v>14918</v>
      </c>
      <c r="G22" s="70">
        <f>F22/'- 43 -'!$I22*100</f>
        <v>7.2367408722858337E-2</v>
      </c>
      <c r="H22" s="418">
        <v>23100</v>
      </c>
      <c r="I22" s="70">
        <f>H22/'- 43 -'!$I22*100</f>
        <v>0.11205839532765972</v>
      </c>
    </row>
    <row r="23" spans="1:9" ht="14.1" customHeight="1" x14ac:dyDescent="0.2">
      <c r="A23" s="284" t="s">
        <v>121</v>
      </c>
      <c r="B23" s="417">
        <v>210319</v>
      </c>
      <c r="C23" s="291">
        <f>B23/'- 43 -'!$I23*100</f>
        <v>1.1993987694242421</v>
      </c>
      <c r="D23" s="417">
        <v>3531212</v>
      </c>
      <c r="E23" s="291">
        <f>D23/'- 43 -'!$I23*100</f>
        <v>20.13765436016773</v>
      </c>
      <c r="F23" s="417">
        <v>95733</v>
      </c>
      <c r="G23" s="291">
        <f>F23/'- 43 -'!$I23*100</f>
        <v>0.54594231806584737</v>
      </c>
      <c r="H23" s="417">
        <v>1104415</v>
      </c>
      <c r="I23" s="291">
        <f>H23/'- 43 -'!$I23*100</f>
        <v>6.2982136275546869</v>
      </c>
    </row>
    <row r="24" spans="1:9" ht="14.1" customHeight="1" x14ac:dyDescent="0.2">
      <c r="A24" s="19" t="s">
        <v>122</v>
      </c>
      <c r="B24" s="418">
        <v>11132</v>
      </c>
      <c r="C24" s="70">
        <f>B24/'- 43 -'!$I24*100</f>
        <v>1.874517078632152E-2</v>
      </c>
      <c r="D24" s="418">
        <v>23303569</v>
      </c>
      <c r="E24" s="70">
        <f>D24/'- 43 -'!$I24*100</f>
        <v>39.240871436923094</v>
      </c>
      <c r="F24" s="418">
        <v>176231</v>
      </c>
      <c r="G24" s="70">
        <f>F24/'- 43 -'!$I24*100</f>
        <v>0.29675531735934496</v>
      </c>
      <c r="H24" s="418">
        <v>455455</v>
      </c>
      <c r="I24" s="70">
        <f>H24/'- 43 -'!$I24*100</f>
        <v>0.76694051028423182</v>
      </c>
    </row>
    <row r="25" spans="1:9" ht="14.1" customHeight="1" x14ac:dyDescent="0.2">
      <c r="A25" s="284" t="s">
        <v>123</v>
      </c>
      <c r="B25" s="417">
        <v>223089</v>
      </c>
      <c r="C25" s="291">
        <f>B25/'- 43 -'!$I25*100</f>
        <v>0.12300848011327617</v>
      </c>
      <c r="D25" s="417">
        <v>66093992</v>
      </c>
      <c r="E25" s="291">
        <f>D25/'- 43 -'!$I25*100</f>
        <v>36.443399273559137</v>
      </c>
      <c r="F25" s="417">
        <v>578333</v>
      </c>
      <c r="G25" s="291">
        <f>F25/'- 43 -'!$I25*100</f>
        <v>0.3188855718092391</v>
      </c>
      <c r="H25" s="417">
        <v>42900</v>
      </c>
      <c r="I25" s="291">
        <f>H25/'- 43 -'!$I25*100</f>
        <v>2.3654522620387142E-2</v>
      </c>
    </row>
    <row r="26" spans="1:9" ht="14.1" customHeight="1" x14ac:dyDescent="0.2">
      <c r="A26" s="19" t="s">
        <v>124</v>
      </c>
      <c r="B26" s="418">
        <v>15953</v>
      </c>
      <c r="C26" s="70">
        <f>B26/'- 43 -'!$I26*100</f>
        <v>3.7951106518714528E-2</v>
      </c>
      <c r="D26" s="418">
        <v>12095975</v>
      </c>
      <c r="E26" s="70">
        <f>D26/'- 43 -'!$I26*100</f>
        <v>28.775505276293355</v>
      </c>
      <c r="F26" s="418">
        <v>482593</v>
      </c>
      <c r="G26" s="70">
        <f>F26/'- 43 -'!$I26*100</f>
        <v>1.1480560614421111</v>
      </c>
      <c r="H26" s="418">
        <v>992194</v>
      </c>
      <c r="I26" s="70">
        <f>H26/'- 43 -'!$I26*100</f>
        <v>2.3603623256584614</v>
      </c>
    </row>
    <row r="27" spans="1:9" ht="14.1" customHeight="1" x14ac:dyDescent="0.2">
      <c r="A27" s="284" t="s">
        <v>125</v>
      </c>
      <c r="B27" s="417">
        <v>2299</v>
      </c>
      <c r="C27" s="291">
        <f>B27/'- 43 -'!$I27*100</f>
        <v>5.2414684556390517E-3</v>
      </c>
      <c r="D27" s="417">
        <v>8467770</v>
      </c>
      <c r="E27" s="291">
        <f>D27/'- 43 -'!$I27*100</f>
        <v>19.305589101612306</v>
      </c>
      <c r="F27" s="417">
        <v>139256</v>
      </c>
      <c r="G27" s="291">
        <f>F27/'- 43 -'!$I27*100</f>
        <v>0.31748844334861753</v>
      </c>
      <c r="H27" s="417">
        <v>416540</v>
      </c>
      <c r="I27" s="291">
        <f>H27/'- 43 -'!$I27*100</f>
        <v>0.94966562440708602</v>
      </c>
    </row>
    <row r="28" spans="1:9" ht="14.1" customHeight="1" x14ac:dyDescent="0.2">
      <c r="A28" s="19" t="s">
        <v>126</v>
      </c>
      <c r="B28" s="418">
        <v>0</v>
      </c>
      <c r="C28" s="70">
        <f>B28/'- 43 -'!$I28*100</f>
        <v>0</v>
      </c>
      <c r="D28" s="418">
        <v>7398714</v>
      </c>
      <c r="E28" s="70">
        <f>D28/'- 43 -'!$I28*100</f>
        <v>25.838270202901647</v>
      </c>
      <c r="F28" s="418">
        <v>16500</v>
      </c>
      <c r="G28" s="70">
        <f>F28/'- 43 -'!$I28*100</f>
        <v>5.762237307022236E-2</v>
      </c>
      <c r="H28" s="418">
        <v>7231881</v>
      </c>
      <c r="I28" s="70">
        <f>H28/'- 43 -'!$I28*100</f>
        <v>25.255645150391075</v>
      </c>
    </row>
    <row r="29" spans="1:9" ht="14.1" customHeight="1" x14ac:dyDescent="0.2">
      <c r="A29" s="284" t="s">
        <v>127</v>
      </c>
      <c r="B29" s="417">
        <v>0</v>
      </c>
      <c r="C29" s="291">
        <f>B29/'- 43 -'!$I29*100</f>
        <v>0</v>
      </c>
      <c r="D29" s="417">
        <v>74446732</v>
      </c>
      <c r="E29" s="291">
        <f>D29/'- 43 -'!$I29*100</f>
        <v>45.177621263302328</v>
      </c>
      <c r="F29" s="417">
        <v>614177</v>
      </c>
      <c r="G29" s="291">
        <f>F29/'- 43 -'!$I29*100</f>
        <v>0.37271019357345647</v>
      </c>
      <c r="H29" s="417">
        <v>22000</v>
      </c>
      <c r="I29" s="291">
        <f>H29/'- 43 -'!$I29*100</f>
        <v>1.3350588280928855E-2</v>
      </c>
    </row>
    <row r="30" spans="1:9" ht="14.1" customHeight="1" x14ac:dyDescent="0.2">
      <c r="A30" s="19" t="s">
        <v>128</v>
      </c>
      <c r="B30" s="418">
        <v>0</v>
      </c>
      <c r="C30" s="70">
        <f>B30/'- 43 -'!$I30*100</f>
        <v>0</v>
      </c>
      <c r="D30" s="418">
        <v>5834685</v>
      </c>
      <c r="E30" s="70">
        <f>D30/'- 43 -'!$I30*100</f>
        <v>38.386646173384904</v>
      </c>
      <c r="F30" s="418">
        <v>38800</v>
      </c>
      <c r="G30" s="70">
        <f>F30/'- 43 -'!$I30*100</f>
        <v>0.25526688613478432</v>
      </c>
      <c r="H30" s="418">
        <v>0</v>
      </c>
      <c r="I30" s="70">
        <f>H30/'- 43 -'!$I30*100</f>
        <v>0</v>
      </c>
    </row>
    <row r="31" spans="1:9" ht="14.1" customHeight="1" x14ac:dyDescent="0.2">
      <c r="A31" s="284" t="s">
        <v>129</v>
      </c>
      <c r="B31" s="417">
        <v>26000</v>
      </c>
      <c r="C31" s="291">
        <f>B31/'- 43 -'!$I31*100</f>
        <v>6.5922035023363024E-2</v>
      </c>
      <c r="D31" s="417">
        <v>13910468</v>
      </c>
      <c r="E31" s="291">
        <f>D31/'- 43 -'!$I31*100</f>
        <v>35.269475334129638</v>
      </c>
      <c r="F31" s="417">
        <v>153480</v>
      </c>
      <c r="G31" s="291">
        <f>F31/'- 43 -'!$I31*100</f>
        <v>0.38914284366868296</v>
      </c>
      <c r="H31" s="417">
        <v>1380409</v>
      </c>
      <c r="I31" s="291">
        <f>H31/'- 43 -'!$I31*100</f>
        <v>3.4999757863294434</v>
      </c>
    </row>
    <row r="32" spans="1:9" ht="14.1" customHeight="1" x14ac:dyDescent="0.2">
      <c r="A32" s="19" t="s">
        <v>130</v>
      </c>
      <c r="B32" s="418">
        <v>0</v>
      </c>
      <c r="C32" s="70">
        <f>B32/'- 43 -'!$I32*100</f>
        <v>0</v>
      </c>
      <c r="D32" s="418">
        <v>13286939</v>
      </c>
      <c r="E32" s="70">
        <f>D32/'- 43 -'!$I32*100</f>
        <v>42.881894033567185</v>
      </c>
      <c r="F32" s="418">
        <v>91790</v>
      </c>
      <c r="G32" s="70">
        <f>F32/'- 43 -'!$I32*100</f>
        <v>0.29624046993375464</v>
      </c>
      <c r="H32" s="418">
        <v>0</v>
      </c>
      <c r="I32" s="70">
        <f>H32/'- 43 -'!$I32*100</f>
        <v>0</v>
      </c>
    </row>
    <row r="33" spans="1:9" ht="14.1" customHeight="1" x14ac:dyDescent="0.2">
      <c r="A33" s="284" t="s">
        <v>131</v>
      </c>
      <c r="B33" s="417">
        <v>68945</v>
      </c>
      <c r="C33" s="291">
        <f>B33/'- 43 -'!$I33*100</f>
        <v>0.23733975951659458</v>
      </c>
      <c r="D33" s="417">
        <v>10901950</v>
      </c>
      <c r="E33" s="291">
        <f>D33/'- 43 -'!$I33*100</f>
        <v>37.529424777169304</v>
      </c>
      <c r="F33" s="417">
        <v>43550</v>
      </c>
      <c r="G33" s="291">
        <f>F33/'- 43 -'!$I33*100</f>
        <v>0.14991872546156634</v>
      </c>
      <c r="H33" s="417">
        <v>214214</v>
      </c>
      <c r="I33" s="291">
        <f>H33/'- 43 -'!$I33*100</f>
        <v>0.73742112183751962</v>
      </c>
    </row>
    <row r="34" spans="1:9" ht="14.1" customHeight="1" x14ac:dyDescent="0.2">
      <c r="A34" s="19" t="s">
        <v>132</v>
      </c>
      <c r="B34" s="418">
        <v>1104</v>
      </c>
      <c r="C34" s="70">
        <f>B34/'- 43 -'!$I34*100</f>
        <v>3.6396383518187839E-3</v>
      </c>
      <c r="D34" s="418">
        <v>12716232</v>
      </c>
      <c r="E34" s="70">
        <f>D34/'- 43 -'!$I34*100</f>
        <v>41.922541374841735</v>
      </c>
      <c r="F34" s="418">
        <v>1022295</v>
      </c>
      <c r="G34" s="70">
        <f>F34/'- 43 -'!$I34*100</f>
        <v>3.3702754428193691</v>
      </c>
      <c r="H34" s="418">
        <v>0</v>
      </c>
      <c r="I34" s="70">
        <f>H34/'- 43 -'!$I34*100</f>
        <v>0</v>
      </c>
    </row>
    <row r="35" spans="1:9" ht="14.1" customHeight="1" x14ac:dyDescent="0.2">
      <c r="A35" s="284" t="s">
        <v>133</v>
      </c>
      <c r="B35" s="417">
        <v>515270</v>
      </c>
      <c r="C35" s="291">
        <f>B35/'- 43 -'!$I35*100</f>
        <v>0.2731302817715181</v>
      </c>
      <c r="D35" s="417">
        <v>61571604</v>
      </c>
      <c r="E35" s="291">
        <f>D35/'- 43 -'!$I35*100</f>
        <v>32.637393113599337</v>
      </c>
      <c r="F35" s="417">
        <v>765253</v>
      </c>
      <c r="G35" s="291">
        <f>F35/'- 43 -'!$I35*100</f>
        <v>0.40563931049061569</v>
      </c>
      <c r="H35" s="417">
        <v>116600</v>
      </c>
      <c r="I35" s="291">
        <f>H35/'- 43 -'!$I35*100</f>
        <v>6.1806413830727609E-2</v>
      </c>
    </row>
    <row r="36" spans="1:9" ht="14.1" customHeight="1" x14ac:dyDescent="0.2">
      <c r="A36" s="19" t="s">
        <v>134</v>
      </c>
      <c r="B36" s="418">
        <v>46460</v>
      </c>
      <c r="C36" s="70">
        <f>B36/'- 43 -'!$I36*100</f>
        <v>0.19071245139264625</v>
      </c>
      <c r="D36" s="418">
        <v>8675887</v>
      </c>
      <c r="E36" s="70">
        <f>D36/'- 43 -'!$I36*100</f>
        <v>35.613423972785014</v>
      </c>
      <c r="F36" s="418">
        <v>91996</v>
      </c>
      <c r="G36" s="70">
        <f>F36/'- 43 -'!$I36*100</f>
        <v>0.37763199910283873</v>
      </c>
      <c r="H36" s="418">
        <v>1284654</v>
      </c>
      <c r="I36" s="70">
        <f>H36/'- 43 -'!$I36*100</f>
        <v>5.2733429516007018</v>
      </c>
    </row>
    <row r="37" spans="1:9" ht="14.1" customHeight="1" x14ac:dyDescent="0.2">
      <c r="A37" s="284" t="s">
        <v>135</v>
      </c>
      <c r="B37" s="417">
        <v>112864</v>
      </c>
      <c r="C37" s="291">
        <f>B37/'- 43 -'!$I37*100</f>
        <v>0.2162223674169077</v>
      </c>
      <c r="D37" s="417">
        <v>14592037</v>
      </c>
      <c r="E37" s="291">
        <f>D37/'- 43 -'!$I37*100</f>
        <v>27.95510335957534</v>
      </c>
      <c r="F37" s="417">
        <v>303538</v>
      </c>
      <c r="G37" s="291">
        <f>F37/'- 43 -'!$I37*100</f>
        <v>0.58151142047945603</v>
      </c>
      <c r="H37" s="417">
        <v>0</v>
      </c>
      <c r="I37" s="291">
        <f>H37/'- 43 -'!$I37*100</f>
        <v>0</v>
      </c>
    </row>
    <row r="38" spans="1:9" ht="14.1" customHeight="1" x14ac:dyDescent="0.2">
      <c r="A38" s="19" t="s">
        <v>136</v>
      </c>
      <c r="B38" s="418">
        <v>1230684</v>
      </c>
      <c r="C38" s="70">
        <f>B38/'- 43 -'!$I38*100</f>
        <v>0.87356580768863468</v>
      </c>
      <c r="D38" s="418">
        <v>40610082</v>
      </c>
      <c r="E38" s="70">
        <f>D38/'- 43 -'!$I38*100</f>
        <v>28.825904198503988</v>
      </c>
      <c r="F38" s="418">
        <v>1232576</v>
      </c>
      <c r="G38" s="70">
        <f>F38/'- 43 -'!$I38*100</f>
        <v>0.87490878972801023</v>
      </c>
      <c r="H38" s="418">
        <v>676000</v>
      </c>
      <c r="I38" s="70">
        <f>H38/'- 43 -'!$I38*100</f>
        <v>0.4798392487409579</v>
      </c>
    </row>
    <row r="39" spans="1:9" ht="14.1" customHeight="1" x14ac:dyDescent="0.2">
      <c r="A39" s="284" t="s">
        <v>137</v>
      </c>
      <c r="B39" s="417">
        <v>0</v>
      </c>
      <c r="C39" s="291">
        <f>B39/'- 43 -'!$I39*100</f>
        <v>0</v>
      </c>
      <c r="D39" s="417">
        <v>10953273</v>
      </c>
      <c r="E39" s="291">
        <f>D39/'- 43 -'!$I39*100</f>
        <v>46.606723225640998</v>
      </c>
      <c r="F39" s="417">
        <v>103850</v>
      </c>
      <c r="G39" s="291">
        <f>F39/'- 43 -'!$I39*100</f>
        <v>0.44188693251622763</v>
      </c>
      <c r="H39" s="417">
        <v>0</v>
      </c>
      <c r="I39" s="291">
        <f>H39/'- 43 -'!$I39*100</f>
        <v>0</v>
      </c>
    </row>
    <row r="40" spans="1:9" ht="14.1" customHeight="1" x14ac:dyDescent="0.2">
      <c r="A40" s="19" t="s">
        <v>138</v>
      </c>
      <c r="B40" s="418">
        <v>0</v>
      </c>
      <c r="C40" s="70">
        <f>B40/'- 43 -'!$I40*100</f>
        <v>0</v>
      </c>
      <c r="D40" s="418">
        <v>44286375</v>
      </c>
      <c r="E40" s="70">
        <f>D40/'- 43 -'!$I40*100</f>
        <v>41.062975370777608</v>
      </c>
      <c r="F40" s="418">
        <v>609670</v>
      </c>
      <c r="G40" s="70">
        <f>F40/'- 43 -'!$I40*100</f>
        <v>0.56529495119665996</v>
      </c>
      <c r="H40" s="418">
        <v>243955</v>
      </c>
      <c r="I40" s="70">
        <f>H40/'- 43 -'!$I40*100</f>
        <v>0.22619864815257629</v>
      </c>
    </row>
    <row r="41" spans="1:9" ht="14.1" customHeight="1" x14ac:dyDescent="0.2">
      <c r="A41" s="284" t="s">
        <v>139</v>
      </c>
      <c r="B41" s="417">
        <v>0</v>
      </c>
      <c r="C41" s="291">
        <f>B41/'- 43 -'!$I41*100</f>
        <v>0</v>
      </c>
      <c r="D41" s="417">
        <v>27012061</v>
      </c>
      <c r="E41" s="291">
        <f>D41/'- 43 -'!$I41*100</f>
        <v>40.589439007044994</v>
      </c>
      <c r="F41" s="417">
        <v>167973</v>
      </c>
      <c r="G41" s="291">
        <f>F41/'- 43 -'!$I41*100</f>
        <v>0.25240317050706973</v>
      </c>
      <c r="H41" s="417">
        <v>538980</v>
      </c>
      <c r="I41" s="291">
        <f>H41/'- 43 -'!$I41*100</f>
        <v>0.8098936188548187</v>
      </c>
    </row>
    <row r="42" spans="1:9" ht="14.1" customHeight="1" x14ac:dyDescent="0.2">
      <c r="A42" s="19" t="s">
        <v>140</v>
      </c>
      <c r="B42" s="418">
        <v>0</v>
      </c>
      <c r="C42" s="70">
        <f>B42/'- 43 -'!$I42*100</f>
        <v>0</v>
      </c>
      <c r="D42" s="418">
        <v>5716405</v>
      </c>
      <c r="E42" s="70">
        <f>D42/'- 43 -'!$I42*100</f>
        <v>26.731979545218177</v>
      </c>
      <c r="F42" s="418">
        <v>27905</v>
      </c>
      <c r="G42" s="70">
        <f>F42/'- 43 -'!$I42*100</f>
        <v>0.13049388369251536</v>
      </c>
      <c r="H42" s="418">
        <v>235791</v>
      </c>
      <c r="I42" s="70">
        <f>H42/'- 43 -'!$I42*100</f>
        <v>1.1026440899387882</v>
      </c>
    </row>
    <row r="43" spans="1:9" ht="14.1" customHeight="1" x14ac:dyDescent="0.2">
      <c r="A43" s="284" t="s">
        <v>141</v>
      </c>
      <c r="B43" s="417">
        <v>426</v>
      </c>
      <c r="C43" s="291">
        <f>B43/'- 43 -'!$I43*100</f>
        <v>3.1195716432695134E-3</v>
      </c>
      <c r="D43" s="417">
        <v>5666285</v>
      </c>
      <c r="E43" s="291">
        <f>D43/'- 43 -'!$I43*100</f>
        <v>41.493854480477452</v>
      </c>
      <c r="F43" s="417">
        <v>38350</v>
      </c>
      <c r="G43" s="291">
        <f>F43/'- 43 -'!$I43*100</f>
        <v>0.28083467727555361</v>
      </c>
      <c r="H43" s="417">
        <v>0</v>
      </c>
      <c r="I43" s="291">
        <f>H43/'- 43 -'!$I43*100</f>
        <v>0</v>
      </c>
    </row>
    <row r="44" spans="1:9" ht="14.1" customHeight="1" x14ac:dyDescent="0.2">
      <c r="A44" s="19" t="s">
        <v>142</v>
      </c>
      <c r="B44" s="418">
        <v>0</v>
      </c>
      <c r="C44" s="70">
        <f>B44/'- 43 -'!$I44*100</f>
        <v>0</v>
      </c>
      <c r="D44" s="418">
        <v>2459680</v>
      </c>
      <c r="E44" s="70">
        <f>D44/'- 43 -'!$I44*100</f>
        <v>21.456297518579124</v>
      </c>
      <c r="F44" s="418">
        <v>31850</v>
      </c>
      <c r="G44" s="70">
        <f>F44/'- 43 -'!$I44*100</f>
        <v>0.27783413938672713</v>
      </c>
      <c r="H44" s="418">
        <v>0</v>
      </c>
      <c r="I44" s="70">
        <f>H44/'- 43 -'!$I44*100</f>
        <v>0</v>
      </c>
    </row>
    <row r="45" spans="1:9" ht="14.1" customHeight="1" x14ac:dyDescent="0.2">
      <c r="A45" s="284" t="s">
        <v>143</v>
      </c>
      <c r="B45" s="417">
        <v>20891</v>
      </c>
      <c r="C45" s="291">
        <f>B45/'- 43 -'!$I45*100</f>
        <v>0.10317860838919973</v>
      </c>
      <c r="D45" s="417">
        <v>6819028</v>
      </c>
      <c r="E45" s="291">
        <f>D45/'- 43 -'!$I45*100</f>
        <v>33.678513216552005</v>
      </c>
      <c r="F45" s="417">
        <v>55250</v>
      </c>
      <c r="G45" s="291">
        <f>F45/'- 43 -'!$I45*100</f>
        <v>0.27287435323839382</v>
      </c>
      <c r="H45" s="417">
        <v>0</v>
      </c>
      <c r="I45" s="291">
        <f>H45/'- 43 -'!$I45*100</f>
        <v>0</v>
      </c>
    </row>
    <row r="46" spans="1:9" ht="14.1" customHeight="1" x14ac:dyDescent="0.2">
      <c r="A46" s="19" t="s">
        <v>144</v>
      </c>
      <c r="B46" s="418">
        <v>4515770</v>
      </c>
      <c r="C46" s="70">
        <f>B46/'- 43 -'!$I46*100</f>
        <v>1.1335317079714051</v>
      </c>
      <c r="D46" s="418">
        <v>142942300</v>
      </c>
      <c r="E46" s="70">
        <f>D46/'- 43 -'!$I46*100</f>
        <v>35.88084190744015</v>
      </c>
      <c r="F46" s="418">
        <v>2423485</v>
      </c>
      <c r="G46" s="70">
        <f>F46/'- 43 -'!$I46*100</f>
        <v>0.60833414706530253</v>
      </c>
      <c r="H46" s="418">
        <v>2144140</v>
      </c>
      <c r="I46" s="70">
        <f>H46/'- 43 -'!$I46*100</f>
        <v>0.53821400920104634</v>
      </c>
    </row>
    <row r="47" spans="1:9" ht="5.0999999999999996" customHeight="1" x14ac:dyDescent="0.2">
      <c r="A47" s="21"/>
      <c r="B47" s="22"/>
      <c r="C47"/>
      <c r="D47" s="22"/>
      <c r="E47"/>
      <c r="F47" s="22"/>
      <c r="G47"/>
      <c r="H47" s="22"/>
      <c r="I47"/>
    </row>
    <row r="48" spans="1:9" ht="14.1" customHeight="1" x14ac:dyDescent="0.2">
      <c r="A48" s="286" t="s">
        <v>145</v>
      </c>
      <c r="B48" s="421">
        <f>SUM(B11:B46)</f>
        <v>7318428</v>
      </c>
      <c r="C48" s="294">
        <f>B48/'- 43 -'!$I48*100</f>
        <v>0.30775330277441298</v>
      </c>
      <c r="D48" s="421">
        <f>SUM(D11:D46)</f>
        <v>781918697</v>
      </c>
      <c r="E48" s="294">
        <f>D48/'- 43 -'!$I48*100</f>
        <v>32.881113471747689</v>
      </c>
      <c r="F48" s="421">
        <f>SUM(F11:F46)</f>
        <v>13227265</v>
      </c>
      <c r="G48" s="294">
        <f>F48/'- 43 -'!$I48*100</f>
        <v>0.55623072201057333</v>
      </c>
      <c r="H48" s="421">
        <f>SUM(H11:H46)</f>
        <v>95729496</v>
      </c>
      <c r="I48" s="294">
        <f>H48/'- 43 -'!$I48*100</f>
        <v>4.0256006572627285</v>
      </c>
    </row>
    <row r="49" spans="1:9" ht="5.0999999999999996" customHeight="1" x14ac:dyDescent="0.2">
      <c r="A49" s="21" t="s">
        <v>7</v>
      </c>
      <c r="B49" s="22"/>
      <c r="C49"/>
      <c r="D49" s="22"/>
      <c r="E49"/>
      <c r="F49" s="22"/>
      <c r="G49"/>
      <c r="H49" s="22"/>
      <c r="I49"/>
    </row>
    <row r="50" spans="1:9" ht="14.1" customHeight="1" x14ac:dyDescent="0.2">
      <c r="A50" s="19" t="s">
        <v>146</v>
      </c>
      <c r="B50" s="418">
        <v>0</v>
      </c>
      <c r="C50" s="70">
        <f>B50/'- 43 -'!$I50*100</f>
        <v>0</v>
      </c>
      <c r="D50" s="418">
        <v>1890697</v>
      </c>
      <c r="E50" s="70">
        <f>D50/'- 43 -'!$I50*100</f>
        <v>55.604924721335266</v>
      </c>
      <c r="F50" s="418">
        <v>0</v>
      </c>
      <c r="G50" s="70">
        <f>F50/'- 43 -'!$I50*100</f>
        <v>0</v>
      </c>
      <c r="H50" s="418">
        <v>0</v>
      </c>
      <c r="I50" s="70">
        <f>H50/'- 43 -'!$I50*100</f>
        <v>0</v>
      </c>
    </row>
    <row r="51" spans="1:9" ht="14.1" customHeight="1" x14ac:dyDescent="0.2">
      <c r="A51" s="284" t="s">
        <v>609</v>
      </c>
      <c r="B51" s="417">
        <v>4473814</v>
      </c>
      <c r="C51" s="291">
        <f>B51/'- 43 -'!$I51*100</f>
        <v>14.300026779303824</v>
      </c>
      <c r="D51" s="417">
        <v>0</v>
      </c>
      <c r="E51" s="291">
        <f>D51/'- 43 -'!$I51*100</f>
        <v>0</v>
      </c>
      <c r="F51" s="417">
        <v>1628914</v>
      </c>
      <c r="G51" s="291">
        <f>F51/'- 43 -'!$I51*100</f>
        <v>5.206634388730266</v>
      </c>
      <c r="H51" s="417">
        <v>0</v>
      </c>
      <c r="I51" s="291">
        <f>H51/'- 43 -'!$I51*100</f>
        <v>0</v>
      </c>
    </row>
    <row r="52" spans="1:9" ht="50.1" customHeight="1" x14ac:dyDescent="0.2">
      <c r="A52" s="23"/>
      <c r="B52" s="23"/>
      <c r="C52" s="23"/>
      <c r="D52" s="23"/>
      <c r="E52" s="23"/>
      <c r="F52" s="23"/>
      <c r="G52" s="23"/>
      <c r="H52" s="23"/>
      <c r="I52" s="23"/>
    </row>
    <row r="53" spans="1:9" ht="15" customHeight="1" x14ac:dyDescent="0.2">
      <c r="A53" s="730" t="str">
        <f>"(1)  Municipal Government revenue is net of  "&amp;TEXT('- 41 -'!C48,"$0,000,000")&amp; " in Education Property Tax Credit (EPTC) revenue paid directly to school divisions. See
       page 41 for EPTC revenue."</f>
        <v>(1)  Municipal Government revenue is net of  $208,306,517 in Education Property Tax Credit (EPTC) revenue paid directly to school divisions. See
       page 41 for EPTC revenue.</v>
      </c>
      <c r="B53" s="730"/>
      <c r="C53" s="730"/>
      <c r="D53" s="730"/>
      <c r="E53" s="730"/>
      <c r="F53" s="730"/>
      <c r="G53" s="730"/>
      <c r="H53" s="730"/>
      <c r="I53" s="730"/>
    </row>
    <row r="54" spans="1:9" x14ac:dyDescent="0.2">
      <c r="A54" s="731"/>
      <c r="B54" s="731"/>
      <c r="C54" s="731"/>
      <c r="D54" s="731"/>
      <c r="E54" s="731"/>
      <c r="F54" s="731"/>
      <c r="G54" s="731"/>
      <c r="H54" s="731"/>
      <c r="I54" s="731"/>
    </row>
  </sheetData>
  <mergeCells count="5">
    <mergeCell ref="A53:I54"/>
    <mergeCell ref="B7:C8"/>
    <mergeCell ref="D7:E8"/>
    <mergeCell ref="F7:G8"/>
    <mergeCell ref="H8:I8"/>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I52"/>
  <sheetViews>
    <sheetView showGridLines="0" showZeros="0" workbookViewId="0"/>
  </sheetViews>
  <sheetFormatPr defaultColWidth="15.83203125" defaultRowHeight="12" x14ac:dyDescent="0.2"/>
  <cols>
    <col min="1" max="1" width="35.83203125" style="2" customWidth="1"/>
    <col min="2" max="2" width="15.83203125" style="2"/>
    <col min="3" max="3" width="8.83203125" style="2" customWidth="1"/>
    <col min="4" max="4" width="13.83203125" style="2" customWidth="1"/>
    <col min="5" max="5" width="8.83203125" style="2" customWidth="1"/>
    <col min="6" max="6" width="15.83203125" style="2"/>
    <col min="7" max="7" width="8.83203125" style="2" customWidth="1"/>
    <col min="8" max="8" width="4.83203125" style="2" customWidth="1"/>
    <col min="9" max="9" width="19.83203125" style="2" customWidth="1"/>
    <col min="10" max="16384" width="15.83203125" style="2"/>
  </cols>
  <sheetData>
    <row r="1" spans="1:9" ht="6.95" customHeight="1" x14ac:dyDescent="0.2">
      <c r="A1" s="7"/>
    </row>
    <row r="2" spans="1:9" ht="15.95" customHeight="1" x14ac:dyDescent="0.2">
      <c r="A2" s="213"/>
      <c r="B2" s="204" t="str">
        <f>REVYEAR</f>
        <v>ANALYSIS OF OPERATING FUND REVENUE: 2016/2017 ACTUAL</v>
      </c>
      <c r="C2" s="41"/>
      <c r="D2" s="41"/>
      <c r="E2" s="41"/>
      <c r="F2" s="41"/>
      <c r="G2" s="214"/>
      <c r="H2" s="42"/>
      <c r="I2" s="215" t="s">
        <v>9</v>
      </c>
    </row>
    <row r="3" spans="1:9" ht="15.95" customHeight="1" x14ac:dyDescent="0.2">
      <c r="A3" s="537"/>
    </row>
    <row r="4" spans="1:9" ht="15.95" customHeight="1" x14ac:dyDescent="0.2">
      <c r="B4" s="43"/>
      <c r="C4" s="8"/>
      <c r="D4" s="8"/>
      <c r="E4" s="8"/>
      <c r="F4" s="8"/>
      <c r="G4" s="8"/>
      <c r="H4" s="8"/>
      <c r="I4" s="8"/>
    </row>
    <row r="5" spans="1:9" ht="15.95" customHeight="1" x14ac:dyDescent="0.2">
      <c r="B5" s="8"/>
      <c r="C5" s="8"/>
      <c r="D5" s="8"/>
      <c r="E5" s="8"/>
      <c r="F5" s="8"/>
      <c r="G5" s="8"/>
      <c r="H5" s="8"/>
      <c r="I5" s="8"/>
    </row>
    <row r="6" spans="1:9" ht="15.95" customHeight="1" x14ac:dyDescent="0.2">
      <c r="B6" s="670" t="s">
        <v>531</v>
      </c>
      <c r="C6" s="671"/>
      <c r="D6" s="311"/>
      <c r="E6" s="311"/>
      <c r="F6" s="643" t="s">
        <v>532</v>
      </c>
      <c r="G6" s="644"/>
      <c r="H6" s="8"/>
      <c r="I6" s="634" t="s">
        <v>533</v>
      </c>
    </row>
    <row r="7" spans="1:9" ht="15.95" customHeight="1" x14ac:dyDescent="0.2">
      <c r="B7" s="684"/>
      <c r="C7" s="685"/>
      <c r="D7" s="373"/>
      <c r="E7" s="373"/>
      <c r="F7" s="688"/>
      <c r="G7" s="687"/>
      <c r="H7" s="8"/>
      <c r="I7" s="732"/>
    </row>
    <row r="8" spans="1:9" ht="15.95" customHeight="1" x14ac:dyDescent="0.2">
      <c r="A8" s="403"/>
      <c r="B8" s="672"/>
      <c r="C8" s="673"/>
      <c r="D8" s="689" t="s">
        <v>24</v>
      </c>
      <c r="E8" s="649"/>
      <c r="F8" s="645"/>
      <c r="G8" s="646"/>
      <c r="H8" s="8"/>
      <c r="I8" s="733"/>
    </row>
    <row r="9" spans="1:9" ht="15.95" customHeight="1" x14ac:dyDescent="0.2">
      <c r="A9" s="35" t="s">
        <v>42</v>
      </c>
      <c r="B9" s="563" t="s">
        <v>62</v>
      </c>
      <c r="C9" s="115" t="s">
        <v>44</v>
      </c>
      <c r="D9" s="216" t="s">
        <v>62</v>
      </c>
      <c r="E9" s="216" t="s">
        <v>44</v>
      </c>
      <c r="F9" s="206" t="s">
        <v>62</v>
      </c>
      <c r="G9" s="216" t="s">
        <v>44</v>
      </c>
      <c r="H9" s="8"/>
      <c r="I9" s="216" t="s">
        <v>62</v>
      </c>
    </row>
    <row r="10" spans="1:9" ht="5.0999999999999996" customHeight="1" x14ac:dyDescent="0.2">
      <c r="A10" s="6"/>
      <c r="B10" s="207"/>
      <c r="C10" s="207"/>
      <c r="D10" s="207"/>
      <c r="E10" s="207"/>
      <c r="F10" s="207"/>
      <c r="G10" s="7"/>
      <c r="H10" s="7"/>
      <c r="I10" s="207"/>
    </row>
    <row r="11" spans="1:9" ht="14.1" customHeight="1" x14ac:dyDescent="0.2">
      <c r="A11" s="284" t="s">
        <v>110</v>
      </c>
      <c r="B11" s="417">
        <v>15536</v>
      </c>
      <c r="C11" s="291">
        <f>B11/I11*100</f>
        <v>7.8031406636647482E-2</v>
      </c>
      <c r="D11" s="417">
        <v>94223</v>
      </c>
      <c r="E11" s="291">
        <f>D11/I11*100</f>
        <v>0.47324621701369946</v>
      </c>
      <c r="F11" s="285">
        <f>SUM('- 42 -'!$B11,'- 42 -'!$D11,'- 42 -'!$F11,'- 42 -'!$H11,B11,D11)</f>
        <v>6867484</v>
      </c>
      <c r="G11" s="291">
        <f>F11/I11*100</f>
        <v>34.492754671387125</v>
      </c>
      <c r="I11" s="285">
        <f>SUM('- 41 -'!$H11,F11)</f>
        <v>19909932</v>
      </c>
    </row>
    <row r="12" spans="1:9" ht="14.1" customHeight="1" x14ac:dyDescent="0.2">
      <c r="A12" s="19" t="s">
        <v>111</v>
      </c>
      <c r="B12" s="418">
        <v>149339</v>
      </c>
      <c r="C12" s="70">
        <f t="shared" ref="C12:C46" si="0">B12/I12*100</f>
        <v>0.39127745687548054</v>
      </c>
      <c r="D12" s="418">
        <v>286513</v>
      </c>
      <c r="E12" s="70">
        <f t="shared" ref="E12:E46" si="1">D12/I12*100</f>
        <v>0.75068185806630927</v>
      </c>
      <c r="F12" s="20">
        <f>SUM('- 42 -'!$B12,'- 42 -'!$D12,'- 42 -'!$F12,'- 42 -'!$H12,B12,D12)</f>
        <v>16097986</v>
      </c>
      <c r="G12" s="70">
        <f t="shared" ref="G12:G46" si="2">F12/I12*100</f>
        <v>42.177723320077746</v>
      </c>
      <c r="I12" s="20">
        <f>SUM('- 41 -'!$H12,F12)</f>
        <v>38167034</v>
      </c>
    </row>
    <row r="13" spans="1:9" ht="14.1" customHeight="1" x14ac:dyDescent="0.2">
      <c r="A13" s="284" t="s">
        <v>112</v>
      </c>
      <c r="B13" s="417">
        <v>879559</v>
      </c>
      <c r="C13" s="291">
        <f t="shared" si="0"/>
        <v>0.89179193289145531</v>
      </c>
      <c r="D13" s="417">
        <v>91506</v>
      </c>
      <c r="E13" s="291">
        <f t="shared" si="1"/>
        <v>9.2778668186176833E-2</v>
      </c>
      <c r="F13" s="285">
        <f>SUM('- 42 -'!$B13,'- 42 -'!$D13,'- 42 -'!$F13,'- 42 -'!$H13,B13,D13)</f>
        <v>38571874</v>
      </c>
      <c r="G13" s="291">
        <f t="shared" si="2"/>
        <v>39.108332777796221</v>
      </c>
      <c r="I13" s="285">
        <f>SUM('- 41 -'!$H13,F13)</f>
        <v>98628275</v>
      </c>
    </row>
    <row r="14" spans="1:9" ht="14.1" customHeight="1" x14ac:dyDescent="0.2">
      <c r="A14" s="19" t="s">
        <v>359</v>
      </c>
      <c r="B14" s="418">
        <v>173222</v>
      </c>
      <c r="C14" s="70">
        <f t="shared" si="0"/>
        <v>0.20016491864306346</v>
      </c>
      <c r="D14" s="418">
        <v>117486</v>
      </c>
      <c r="E14" s="70">
        <f t="shared" si="1"/>
        <v>0.13575975125387627</v>
      </c>
      <c r="F14" s="20">
        <f>SUM('- 42 -'!$B14,'- 42 -'!$D14,'- 42 -'!$F14,'- 42 -'!$H14,B14,D14)</f>
        <v>24650351</v>
      </c>
      <c r="G14" s="70">
        <f t="shared" si="2"/>
        <v>28.484462149368774</v>
      </c>
      <c r="I14" s="20">
        <f>SUM('- 41 -'!$H14,F14)</f>
        <v>86539640</v>
      </c>
    </row>
    <row r="15" spans="1:9" ht="14.1" customHeight="1" x14ac:dyDescent="0.2">
      <c r="A15" s="284" t="s">
        <v>113</v>
      </c>
      <c r="B15" s="417">
        <v>85615</v>
      </c>
      <c r="C15" s="291">
        <f t="shared" si="0"/>
        <v>0.40715497046265819</v>
      </c>
      <c r="D15" s="417">
        <v>42665</v>
      </c>
      <c r="E15" s="291">
        <f t="shared" si="1"/>
        <v>0.20289980511346506</v>
      </c>
      <c r="F15" s="285">
        <f>SUM('- 42 -'!$B15,'- 42 -'!$D15,'- 42 -'!$F15,'- 42 -'!$H15,B15,D15)</f>
        <v>7898627</v>
      </c>
      <c r="G15" s="291">
        <f t="shared" si="2"/>
        <v>37.563105097010499</v>
      </c>
      <c r="I15" s="285">
        <f>SUM('- 41 -'!$H15,F15)</f>
        <v>21027620</v>
      </c>
    </row>
    <row r="16" spans="1:9" ht="14.1" customHeight="1" x14ac:dyDescent="0.2">
      <c r="A16" s="19" t="s">
        <v>114</v>
      </c>
      <c r="B16" s="418">
        <v>218416</v>
      </c>
      <c r="C16" s="70">
        <f t="shared" si="0"/>
        <v>1.4633509367004376</v>
      </c>
      <c r="D16" s="418">
        <v>64790</v>
      </c>
      <c r="E16" s="70">
        <f t="shared" si="1"/>
        <v>0.43408224300793602</v>
      </c>
      <c r="F16" s="20">
        <f>SUM('- 42 -'!$B16,'- 42 -'!$D16,'- 42 -'!$F16,'- 42 -'!$H16,B16,D16)</f>
        <v>4107003</v>
      </c>
      <c r="G16" s="70">
        <f t="shared" si="2"/>
        <v>27.516238220100668</v>
      </c>
      <c r="I16" s="20">
        <f>SUM('- 41 -'!$H16,F16)</f>
        <v>14925743</v>
      </c>
    </row>
    <row r="17" spans="1:9" ht="14.1" customHeight="1" x14ac:dyDescent="0.2">
      <c r="A17" s="284" t="s">
        <v>115</v>
      </c>
      <c r="B17" s="417">
        <v>0</v>
      </c>
      <c r="C17" s="291">
        <f t="shared" si="0"/>
        <v>0</v>
      </c>
      <c r="D17" s="417">
        <v>34498</v>
      </c>
      <c r="E17" s="291">
        <f t="shared" si="1"/>
        <v>0.18433121612650749</v>
      </c>
      <c r="F17" s="285">
        <f>SUM('- 42 -'!$B17,'- 42 -'!$D17,'- 42 -'!$F17,'- 42 -'!$H17,B17,D17)</f>
        <v>8392517</v>
      </c>
      <c r="G17" s="291">
        <f t="shared" si="2"/>
        <v>44.843262362235151</v>
      </c>
      <c r="I17" s="285">
        <f>SUM('- 41 -'!$H17,F17)</f>
        <v>18715224</v>
      </c>
    </row>
    <row r="18" spans="1:9" ht="14.1" customHeight="1" x14ac:dyDescent="0.2">
      <c r="A18" s="19" t="s">
        <v>116</v>
      </c>
      <c r="B18" s="418">
        <v>4992518</v>
      </c>
      <c r="C18" s="70">
        <f t="shared" si="0"/>
        <v>3.6908228407209913</v>
      </c>
      <c r="D18" s="418">
        <v>859753</v>
      </c>
      <c r="E18" s="70">
        <f t="shared" si="1"/>
        <v>0.63559029927952071</v>
      </c>
      <c r="F18" s="20">
        <f>SUM('- 42 -'!$B18,'- 42 -'!$D18,'- 42 -'!$F18,'- 42 -'!$H18,B18,D18)</f>
        <v>85115152</v>
      </c>
      <c r="G18" s="70">
        <f t="shared" si="2"/>
        <v>62.923147616701428</v>
      </c>
      <c r="I18" s="20">
        <f>SUM('- 41 -'!$H18,F18)</f>
        <v>135268427</v>
      </c>
    </row>
    <row r="19" spans="1:9" ht="14.1" customHeight="1" x14ac:dyDescent="0.2">
      <c r="A19" s="284" t="s">
        <v>117</v>
      </c>
      <c r="B19" s="417">
        <v>20200</v>
      </c>
      <c r="C19" s="291">
        <f t="shared" si="0"/>
        <v>4.1433404632291559E-2</v>
      </c>
      <c r="D19" s="417">
        <v>633519</v>
      </c>
      <c r="E19" s="291">
        <f t="shared" si="1"/>
        <v>1.299447973724986</v>
      </c>
      <c r="F19" s="285">
        <f>SUM('- 42 -'!$B19,'- 42 -'!$D19,'- 42 -'!$F19,'- 42 -'!$H19,B19,D19)</f>
        <v>15516778</v>
      </c>
      <c r="G19" s="291">
        <f t="shared" si="2"/>
        <v>31.827373339774244</v>
      </c>
      <c r="I19" s="285">
        <f>SUM('- 41 -'!$H19,F19)</f>
        <v>48752933</v>
      </c>
    </row>
    <row r="20" spans="1:9" ht="14.1" customHeight="1" x14ac:dyDescent="0.2">
      <c r="A20" s="19" t="s">
        <v>118</v>
      </c>
      <c r="B20" s="418">
        <v>480797</v>
      </c>
      <c r="C20" s="70">
        <f t="shared" si="0"/>
        <v>0.55754757781579956</v>
      </c>
      <c r="D20" s="418">
        <v>173360</v>
      </c>
      <c r="E20" s="70">
        <f t="shared" si="1"/>
        <v>0.20103380031519955</v>
      </c>
      <c r="F20" s="20">
        <f>SUM('- 42 -'!$B20,'- 42 -'!$D20,'- 42 -'!$F20,'- 42 -'!$H20,B20,D20)</f>
        <v>26302938</v>
      </c>
      <c r="G20" s="70">
        <f t="shared" si="2"/>
        <v>30.501728112569655</v>
      </c>
      <c r="I20" s="20">
        <f>SUM('- 41 -'!$H20,F20)</f>
        <v>86234255</v>
      </c>
    </row>
    <row r="21" spans="1:9" ht="14.1" customHeight="1" x14ac:dyDescent="0.2">
      <c r="A21" s="284" t="s">
        <v>119</v>
      </c>
      <c r="B21" s="417">
        <v>171225</v>
      </c>
      <c r="C21" s="291">
        <f t="shared" si="0"/>
        <v>0.45659257276081638</v>
      </c>
      <c r="D21" s="417">
        <v>194248</v>
      </c>
      <c r="E21" s="291">
        <f t="shared" si="1"/>
        <v>0.51798624075715038</v>
      </c>
      <c r="F21" s="285">
        <f>SUM('- 42 -'!$B21,'- 42 -'!$D21,'- 42 -'!$F21,'- 42 -'!$H21,B21,D21)</f>
        <v>14317109</v>
      </c>
      <c r="G21" s="291">
        <f t="shared" si="2"/>
        <v>38.17833629906287</v>
      </c>
      <c r="I21" s="285">
        <f>SUM('- 41 -'!$H21,F21)</f>
        <v>37500610</v>
      </c>
    </row>
    <row r="22" spans="1:9" ht="14.1" customHeight="1" x14ac:dyDescent="0.2">
      <c r="A22" s="19" t="s">
        <v>120</v>
      </c>
      <c r="B22" s="418">
        <v>272041</v>
      </c>
      <c r="C22" s="70">
        <f t="shared" si="0"/>
        <v>1.319674368975406</v>
      </c>
      <c r="D22" s="418">
        <v>160307</v>
      </c>
      <c r="E22" s="70">
        <f t="shared" si="1"/>
        <v>0.77765130648446523</v>
      </c>
      <c r="F22" s="20">
        <f>SUM('- 42 -'!$B22,'- 42 -'!$D22,'- 42 -'!$F22,'- 42 -'!$H22,B22,D22)</f>
        <v>3868380</v>
      </c>
      <c r="G22" s="70">
        <f t="shared" si="2"/>
        <v>18.765560836260274</v>
      </c>
      <c r="I22" s="20">
        <f>SUM('- 41 -'!$H22,F22)</f>
        <v>20614252</v>
      </c>
    </row>
    <row r="23" spans="1:9" ht="14.1" customHeight="1" x14ac:dyDescent="0.2">
      <c r="A23" s="284" t="s">
        <v>121</v>
      </c>
      <c r="B23" s="417">
        <v>251561</v>
      </c>
      <c r="C23" s="291">
        <f t="shared" si="0"/>
        <v>1.4345919951841333</v>
      </c>
      <c r="D23" s="417">
        <v>261635</v>
      </c>
      <c r="E23" s="291">
        <f t="shared" si="1"/>
        <v>1.4920415988964932</v>
      </c>
      <c r="F23" s="285">
        <f>SUM('- 42 -'!$B23,'- 42 -'!$D23,'- 42 -'!$F23,'- 42 -'!$H23,B23,D23)</f>
        <v>5454875</v>
      </c>
      <c r="G23" s="291">
        <f t="shared" si="2"/>
        <v>31.107842669293127</v>
      </c>
      <c r="I23" s="285">
        <f>SUM('- 41 -'!$H23,F23)</f>
        <v>17535369</v>
      </c>
    </row>
    <row r="24" spans="1:9" ht="14.1" customHeight="1" x14ac:dyDescent="0.2">
      <c r="A24" s="19" t="s">
        <v>122</v>
      </c>
      <c r="B24" s="418">
        <v>603387</v>
      </c>
      <c r="C24" s="70">
        <f t="shared" si="0"/>
        <v>1.0160431517468724</v>
      </c>
      <c r="D24" s="418">
        <v>258816</v>
      </c>
      <c r="E24" s="70">
        <f t="shared" si="1"/>
        <v>0.43582016908305704</v>
      </c>
      <c r="F24" s="20">
        <f>SUM('- 42 -'!$B24,'- 42 -'!$D24,'- 42 -'!$F24,'- 42 -'!$H24,B24,D24)</f>
        <v>24808590</v>
      </c>
      <c r="G24" s="70">
        <f t="shared" si="2"/>
        <v>41.775175756182918</v>
      </c>
      <c r="I24" s="20">
        <f>SUM('- 41 -'!$H24,F24)</f>
        <v>59385962</v>
      </c>
    </row>
    <row r="25" spans="1:9" ht="14.1" customHeight="1" x14ac:dyDescent="0.2">
      <c r="A25" s="284" t="s">
        <v>123</v>
      </c>
      <c r="B25" s="417">
        <v>5176566</v>
      </c>
      <c r="C25" s="291">
        <f t="shared" si="0"/>
        <v>2.8542936490192772</v>
      </c>
      <c r="D25" s="417">
        <v>294419</v>
      </c>
      <c r="E25" s="291">
        <f t="shared" si="1"/>
        <v>0.1623389486100644</v>
      </c>
      <c r="F25" s="285">
        <f>SUM('- 42 -'!$B25,'- 42 -'!$D25,'- 42 -'!$F25,'- 42 -'!$H25,B25,D25)</f>
        <v>72409299</v>
      </c>
      <c r="G25" s="291">
        <f t="shared" si="2"/>
        <v>39.925580445731377</v>
      </c>
      <c r="I25" s="285">
        <f>SUM('- 41 -'!$H25,F25)</f>
        <v>181360667</v>
      </c>
    </row>
    <row r="26" spans="1:9" ht="14.1" customHeight="1" x14ac:dyDescent="0.2">
      <c r="A26" s="19" t="s">
        <v>124</v>
      </c>
      <c r="B26" s="418">
        <v>634440</v>
      </c>
      <c r="C26" s="70">
        <f t="shared" si="0"/>
        <v>1.5092897899914277</v>
      </c>
      <c r="D26" s="418">
        <v>81766</v>
      </c>
      <c r="E26" s="70">
        <f t="shared" si="1"/>
        <v>0.19451577606777484</v>
      </c>
      <c r="F26" s="20">
        <f>SUM('- 42 -'!$B26,'- 42 -'!$D26,'- 42 -'!$F26,'- 42 -'!$H26,B26,D26)</f>
        <v>14302921</v>
      </c>
      <c r="G26" s="70">
        <f t="shared" si="2"/>
        <v>34.025680335971849</v>
      </c>
      <c r="I26" s="20">
        <f>SUM('- 41 -'!$H26,F26)</f>
        <v>42035665</v>
      </c>
    </row>
    <row r="27" spans="1:9" ht="14.1" customHeight="1" x14ac:dyDescent="0.2">
      <c r="A27" s="284" t="s">
        <v>125</v>
      </c>
      <c r="B27" s="417">
        <v>157584</v>
      </c>
      <c r="C27" s="291">
        <f t="shared" si="0"/>
        <v>0.35927427799626982</v>
      </c>
      <c r="D27" s="417">
        <v>186681</v>
      </c>
      <c r="E27" s="291">
        <f t="shared" si="1"/>
        <v>0.4256122543571787</v>
      </c>
      <c r="F27" s="285">
        <f>SUM('- 42 -'!$B27,'- 42 -'!$D27,'- 42 -'!$F27,'- 42 -'!$H27,B27,D27)</f>
        <v>9370130</v>
      </c>
      <c r="G27" s="291">
        <f t="shared" si="2"/>
        <v>21.362871170177097</v>
      </c>
      <c r="I27" s="285">
        <f>SUM('- 41 -'!$H27,F27)</f>
        <v>43861754</v>
      </c>
    </row>
    <row r="28" spans="1:9" ht="14.1" customHeight="1" x14ac:dyDescent="0.2">
      <c r="A28" s="19" t="s">
        <v>126</v>
      </c>
      <c r="B28" s="418">
        <v>75600</v>
      </c>
      <c r="C28" s="70">
        <f t="shared" si="0"/>
        <v>0.26401523661265514</v>
      </c>
      <c r="D28" s="418">
        <v>25401</v>
      </c>
      <c r="E28" s="70">
        <f t="shared" si="1"/>
        <v>8.8707024142831409E-2</v>
      </c>
      <c r="F28" s="20">
        <f>SUM('- 42 -'!$B28,'- 42 -'!$D28,'- 42 -'!$F28,'- 42 -'!$H28,B28,D28)</f>
        <v>14748096</v>
      </c>
      <c r="G28" s="70">
        <f t="shared" si="2"/>
        <v>51.504259987118431</v>
      </c>
      <c r="I28" s="20">
        <f>SUM('- 41 -'!$H28,F28)</f>
        <v>28634711</v>
      </c>
    </row>
    <row r="29" spans="1:9" ht="14.1" customHeight="1" x14ac:dyDescent="0.2">
      <c r="A29" s="284" t="s">
        <v>127</v>
      </c>
      <c r="B29" s="417">
        <v>3914433</v>
      </c>
      <c r="C29" s="291">
        <f t="shared" si="0"/>
        <v>2.3754537880127811</v>
      </c>
      <c r="D29" s="417">
        <v>596110</v>
      </c>
      <c r="E29" s="291">
        <f t="shared" si="1"/>
        <v>0.36174632637020454</v>
      </c>
      <c r="F29" s="285">
        <f>SUM('- 42 -'!$B29,'- 42 -'!$D29,'- 42 -'!$F29,'- 42 -'!$H29,B29,D29)</f>
        <v>79593452</v>
      </c>
      <c r="G29" s="291">
        <f t="shared" si="2"/>
        <v>48.300882159539697</v>
      </c>
      <c r="I29" s="285">
        <f>SUM('- 41 -'!$H29,F29)</f>
        <v>164786746</v>
      </c>
    </row>
    <row r="30" spans="1:9" ht="14.1" customHeight="1" x14ac:dyDescent="0.2">
      <c r="A30" s="19" t="s">
        <v>128</v>
      </c>
      <c r="B30" s="418">
        <v>300</v>
      </c>
      <c r="C30" s="70">
        <f t="shared" si="0"/>
        <v>1.9737130371246213E-3</v>
      </c>
      <c r="D30" s="418">
        <v>27243</v>
      </c>
      <c r="E30" s="70">
        <f t="shared" si="1"/>
        <v>0.17923288090128686</v>
      </c>
      <c r="F30" s="20">
        <f>SUM('- 42 -'!$B30,'- 42 -'!$D30,'- 42 -'!$F30,'- 42 -'!$H30,B30,D30)</f>
        <v>5901028</v>
      </c>
      <c r="G30" s="70">
        <f t="shared" si="2"/>
        <v>38.8231196534581</v>
      </c>
      <c r="I30" s="20">
        <f>SUM('- 41 -'!$H30,F30)</f>
        <v>15199778</v>
      </c>
    </row>
    <row r="31" spans="1:9" ht="14.1" customHeight="1" x14ac:dyDescent="0.2">
      <c r="A31" s="284" t="s">
        <v>129</v>
      </c>
      <c r="B31" s="417">
        <v>48800</v>
      </c>
      <c r="C31" s="291">
        <f t="shared" si="0"/>
        <v>0.12373058881308137</v>
      </c>
      <c r="D31" s="417">
        <v>144095</v>
      </c>
      <c r="E31" s="291">
        <f t="shared" si="1"/>
        <v>0.3653475244881344</v>
      </c>
      <c r="F31" s="285">
        <f>SUM('- 42 -'!$B31,'- 42 -'!$D31,'- 42 -'!$F31,'- 42 -'!$H31,B31,D31)</f>
        <v>15663252</v>
      </c>
      <c r="G31" s="291">
        <f t="shared" si="2"/>
        <v>39.713594112452341</v>
      </c>
      <c r="I31" s="285">
        <f>SUM('- 41 -'!$H31,F31)</f>
        <v>39440530</v>
      </c>
    </row>
    <row r="32" spans="1:9" ht="14.1" customHeight="1" x14ac:dyDescent="0.2">
      <c r="A32" s="19" t="s">
        <v>130</v>
      </c>
      <c r="B32" s="418">
        <v>3533</v>
      </c>
      <c r="C32" s="70">
        <f t="shared" si="0"/>
        <v>1.1402305047128828E-2</v>
      </c>
      <c r="D32" s="418">
        <v>110308</v>
      </c>
      <c r="E32" s="70">
        <f t="shared" si="1"/>
        <v>0.35600494343014061</v>
      </c>
      <c r="F32" s="20">
        <f>SUM('- 42 -'!$B32,'- 42 -'!$D32,'- 42 -'!$F32,'- 42 -'!$H32,B32,D32)</f>
        <v>13492570</v>
      </c>
      <c r="G32" s="70">
        <f t="shared" si="2"/>
        <v>43.545541751978213</v>
      </c>
      <c r="I32" s="20">
        <f>SUM('- 41 -'!$H32,F32)</f>
        <v>30984963</v>
      </c>
    </row>
    <row r="33" spans="1:9" ht="14.1" customHeight="1" x14ac:dyDescent="0.2">
      <c r="A33" s="284" t="s">
        <v>131</v>
      </c>
      <c r="B33" s="417">
        <v>83194</v>
      </c>
      <c r="C33" s="291">
        <f t="shared" si="0"/>
        <v>0.28639123871525951</v>
      </c>
      <c r="D33" s="417">
        <v>113785</v>
      </c>
      <c r="E33" s="291">
        <f t="shared" si="1"/>
        <v>0.39169924630641401</v>
      </c>
      <c r="F33" s="285">
        <f>SUM('- 42 -'!$B33,'- 42 -'!$D33,'- 42 -'!$F33,'- 42 -'!$H33,B33,D33)</f>
        <v>11425638</v>
      </c>
      <c r="G33" s="291">
        <f t="shared" si="2"/>
        <v>39.332194869006663</v>
      </c>
      <c r="I33" s="285">
        <f>SUM('- 41 -'!$H33,F33)</f>
        <v>29049073</v>
      </c>
    </row>
    <row r="34" spans="1:9" ht="14.1" customHeight="1" x14ac:dyDescent="0.2">
      <c r="A34" s="19" t="s">
        <v>132</v>
      </c>
      <c r="B34" s="418">
        <v>152030</v>
      </c>
      <c r="C34" s="70">
        <f t="shared" si="0"/>
        <v>0.50120853136504506</v>
      </c>
      <c r="D34" s="418">
        <v>122694</v>
      </c>
      <c r="E34" s="70">
        <f t="shared" si="1"/>
        <v>0.40449437313229514</v>
      </c>
      <c r="F34" s="20">
        <f>SUM('- 42 -'!$B34,'- 42 -'!$D34,'- 42 -'!$F34,'- 42 -'!$H34,B34,D34)</f>
        <v>14014355</v>
      </c>
      <c r="G34" s="70">
        <f t="shared" si="2"/>
        <v>46.202159360510265</v>
      </c>
      <c r="I34" s="20">
        <f>SUM('- 41 -'!$H34,F34)</f>
        <v>30332684</v>
      </c>
    </row>
    <row r="35" spans="1:9" ht="14.1" customHeight="1" x14ac:dyDescent="0.2">
      <c r="A35" s="284" t="s">
        <v>133</v>
      </c>
      <c r="B35" s="417">
        <v>1974778</v>
      </c>
      <c r="C35" s="291">
        <f t="shared" si="0"/>
        <v>1.0467748395524579</v>
      </c>
      <c r="D35" s="417">
        <v>227698</v>
      </c>
      <c r="E35" s="291">
        <f t="shared" si="1"/>
        <v>0.12069637063832774</v>
      </c>
      <c r="F35" s="285">
        <f>SUM('- 42 -'!$B35,'- 42 -'!$D35,'- 42 -'!$F35,'- 42 -'!$H35,B35,D35)</f>
        <v>65171203</v>
      </c>
      <c r="G35" s="291">
        <f t="shared" si="2"/>
        <v>34.545440329882986</v>
      </c>
      <c r="I35" s="285">
        <f>SUM('- 41 -'!$H35,F35)</f>
        <v>188653560</v>
      </c>
    </row>
    <row r="36" spans="1:9" ht="14.1" customHeight="1" x14ac:dyDescent="0.2">
      <c r="A36" s="19" t="s">
        <v>134</v>
      </c>
      <c r="B36" s="418">
        <v>102968</v>
      </c>
      <c r="C36" s="70">
        <f t="shared" si="0"/>
        <v>0.42267067789492041</v>
      </c>
      <c r="D36" s="418">
        <v>216973</v>
      </c>
      <c r="E36" s="70">
        <f t="shared" si="1"/>
        <v>0.89064685139941124</v>
      </c>
      <c r="F36" s="20">
        <f>SUM('- 42 -'!$B36,'- 42 -'!$D36,'- 42 -'!$F36,'- 42 -'!$H36,B36,D36)</f>
        <v>10418938</v>
      </c>
      <c r="G36" s="70">
        <f t="shared" si="2"/>
        <v>42.768428904175529</v>
      </c>
      <c r="I36" s="20">
        <f>SUM('- 41 -'!$H36,F36)</f>
        <v>24361283</v>
      </c>
    </row>
    <row r="37" spans="1:9" ht="14.1" customHeight="1" x14ac:dyDescent="0.2">
      <c r="A37" s="284" t="s">
        <v>135</v>
      </c>
      <c r="B37" s="417">
        <v>158901</v>
      </c>
      <c r="C37" s="291">
        <f t="shared" si="0"/>
        <v>0.30441903888674909</v>
      </c>
      <c r="D37" s="417">
        <v>54592</v>
      </c>
      <c r="E37" s="291">
        <f t="shared" si="1"/>
        <v>0.10458615220109002</v>
      </c>
      <c r="F37" s="285">
        <f>SUM('- 42 -'!$B37,'- 42 -'!$D37,'- 42 -'!$F37,'- 42 -'!$H37,B37,D37)</f>
        <v>15221932</v>
      </c>
      <c r="G37" s="291">
        <f t="shared" si="2"/>
        <v>29.161842338559545</v>
      </c>
      <c r="I37" s="285">
        <f>SUM('- 41 -'!$H37,F37)</f>
        <v>52198115</v>
      </c>
    </row>
    <row r="38" spans="1:9" ht="14.1" customHeight="1" x14ac:dyDescent="0.2">
      <c r="A38" s="19" t="s">
        <v>136</v>
      </c>
      <c r="B38" s="418">
        <v>1384618</v>
      </c>
      <c r="C38" s="70">
        <f t="shared" si="0"/>
        <v>0.98283145105504088</v>
      </c>
      <c r="D38" s="418">
        <v>203166</v>
      </c>
      <c r="E38" s="70">
        <f t="shared" si="1"/>
        <v>0.1442115692451264</v>
      </c>
      <c r="F38" s="20">
        <f>SUM('- 42 -'!$B38,'- 42 -'!$D38,'- 42 -'!$F38,'- 42 -'!$H38,B38,D38)</f>
        <v>45337126</v>
      </c>
      <c r="G38" s="70">
        <f t="shared" si="2"/>
        <v>32.18126106496176</v>
      </c>
      <c r="I38" s="20">
        <f>SUM('- 41 -'!$H38,F38)</f>
        <v>140880514</v>
      </c>
    </row>
    <row r="39" spans="1:9" ht="14.1" customHeight="1" x14ac:dyDescent="0.2">
      <c r="A39" s="284" t="s">
        <v>137</v>
      </c>
      <c r="B39" s="417">
        <v>0</v>
      </c>
      <c r="C39" s="291">
        <f t="shared" si="0"/>
        <v>0</v>
      </c>
      <c r="D39" s="417">
        <v>117143</v>
      </c>
      <c r="E39" s="291">
        <f t="shared" si="1"/>
        <v>0.49844931088828548</v>
      </c>
      <c r="F39" s="285">
        <f>SUM('- 42 -'!$B39,'- 42 -'!$D39,'- 42 -'!$F39,'- 42 -'!$H39,B39,D39)</f>
        <v>11174266</v>
      </c>
      <c r="G39" s="291">
        <f t="shared" si="2"/>
        <v>47.547059469045507</v>
      </c>
      <c r="I39" s="285">
        <f>SUM('- 41 -'!$H39,F39)</f>
        <v>23501487</v>
      </c>
    </row>
    <row r="40" spans="1:9" ht="14.1" customHeight="1" x14ac:dyDescent="0.2">
      <c r="A40" s="19" t="s">
        <v>138</v>
      </c>
      <c r="B40" s="418">
        <v>3173638</v>
      </c>
      <c r="C40" s="70">
        <f t="shared" si="0"/>
        <v>2.9426436241341469</v>
      </c>
      <c r="D40" s="418">
        <v>865792</v>
      </c>
      <c r="E40" s="70">
        <f t="shared" si="1"/>
        <v>0.80277501990660294</v>
      </c>
      <c r="F40" s="20">
        <f>SUM('- 42 -'!$B40,'- 42 -'!$D40,'- 42 -'!$F40,'- 42 -'!$H40,B40,D40)</f>
        <v>49179430</v>
      </c>
      <c r="G40" s="70">
        <f t="shared" si="2"/>
        <v>45.599887614167592</v>
      </c>
      <c r="I40" s="20">
        <f>SUM('- 41 -'!$H40,F40)</f>
        <v>107849893</v>
      </c>
    </row>
    <row r="41" spans="1:9" ht="14.1" customHeight="1" x14ac:dyDescent="0.2">
      <c r="A41" s="284" t="s">
        <v>139</v>
      </c>
      <c r="B41" s="417">
        <v>67462</v>
      </c>
      <c r="C41" s="291">
        <f t="shared" si="0"/>
        <v>0.10137118875502575</v>
      </c>
      <c r="D41" s="417">
        <v>164491</v>
      </c>
      <c r="E41" s="291">
        <f t="shared" si="1"/>
        <v>0.24717097342952982</v>
      </c>
      <c r="F41" s="285">
        <f>SUM('- 42 -'!$B41,'- 42 -'!$D41,'- 42 -'!$F41,'- 42 -'!$H41,B41,D41)</f>
        <v>27950967</v>
      </c>
      <c r="G41" s="291">
        <f t="shared" si="2"/>
        <v>42.00027795859144</v>
      </c>
      <c r="I41" s="285">
        <f>SUM('- 41 -'!$H41,F41)</f>
        <v>66549481</v>
      </c>
    </row>
    <row r="42" spans="1:9" ht="14.1" customHeight="1" x14ac:dyDescent="0.2">
      <c r="A42" s="19" t="s">
        <v>140</v>
      </c>
      <c r="B42" s="418">
        <v>268371</v>
      </c>
      <c r="C42" s="70">
        <f t="shared" si="0"/>
        <v>1.254999966330193</v>
      </c>
      <c r="D42" s="418">
        <v>82857</v>
      </c>
      <c r="E42" s="70">
        <f t="shared" si="1"/>
        <v>0.38746933241751458</v>
      </c>
      <c r="F42" s="20">
        <f>SUM('- 42 -'!$B42,'- 42 -'!$D42,'- 42 -'!$F42,'- 42 -'!$H42,B42,D42)</f>
        <v>6331329</v>
      </c>
      <c r="G42" s="70">
        <f t="shared" si="2"/>
        <v>29.607586817597188</v>
      </c>
      <c r="I42" s="20">
        <f>SUM('- 41 -'!$H42,F42)</f>
        <v>21384144</v>
      </c>
    </row>
    <row r="43" spans="1:9" ht="14.1" customHeight="1" x14ac:dyDescent="0.2">
      <c r="A43" s="284" t="s">
        <v>141</v>
      </c>
      <c r="B43" s="417">
        <v>11011</v>
      </c>
      <c r="C43" s="291">
        <f t="shared" si="0"/>
        <v>8.06328717465742E-2</v>
      </c>
      <c r="D43" s="417">
        <v>26185</v>
      </c>
      <c r="E43" s="291">
        <f t="shared" si="1"/>
        <v>0.1917511349272587</v>
      </c>
      <c r="F43" s="285">
        <f>SUM('- 42 -'!$B43,'- 42 -'!$D43,'- 42 -'!$F43,'- 42 -'!$H43,B43,D43)</f>
        <v>5742257</v>
      </c>
      <c r="G43" s="291">
        <f t="shared" si="2"/>
        <v>42.050192736070109</v>
      </c>
      <c r="I43" s="285">
        <f>SUM('- 41 -'!$H43,F43)</f>
        <v>13655721</v>
      </c>
    </row>
    <row r="44" spans="1:9" ht="14.1" customHeight="1" x14ac:dyDescent="0.2">
      <c r="A44" s="19" t="s">
        <v>142</v>
      </c>
      <c r="B44" s="418">
        <v>11276</v>
      </c>
      <c r="C44" s="70">
        <f t="shared" si="0"/>
        <v>9.8362880870478356E-2</v>
      </c>
      <c r="D44" s="418">
        <v>8860</v>
      </c>
      <c r="E44" s="70">
        <f t="shared" si="1"/>
        <v>7.7287613028772448E-2</v>
      </c>
      <c r="F44" s="20">
        <f>SUM('- 42 -'!$B44,'- 42 -'!$D44,'- 42 -'!$F44,'- 42 -'!$H44,B44,D44)</f>
        <v>2511666</v>
      </c>
      <c r="G44" s="70">
        <f t="shared" si="2"/>
        <v>21.909782151865102</v>
      </c>
      <c r="I44" s="20">
        <f>SUM('- 41 -'!$H44,F44)</f>
        <v>11463674</v>
      </c>
    </row>
    <row r="45" spans="1:9" ht="14.1" customHeight="1" x14ac:dyDescent="0.2">
      <c r="A45" s="284" t="s">
        <v>143</v>
      </c>
      <c r="B45" s="417">
        <v>269382</v>
      </c>
      <c r="C45" s="291">
        <f t="shared" si="0"/>
        <v>1.3304513850509503</v>
      </c>
      <c r="D45" s="417">
        <v>22984</v>
      </c>
      <c r="E45" s="291">
        <f t="shared" si="1"/>
        <v>0.11351573094717181</v>
      </c>
      <c r="F45" s="285">
        <f>SUM('- 42 -'!$B45,'- 42 -'!$D45,'- 42 -'!$F45,'- 42 -'!$H45,B45,D45)</f>
        <v>7187535</v>
      </c>
      <c r="G45" s="291">
        <f t="shared" si="2"/>
        <v>35.498533294177712</v>
      </c>
      <c r="I45" s="285">
        <f>SUM('- 41 -'!$H45,F45)</f>
        <v>20247414</v>
      </c>
    </row>
    <row r="46" spans="1:9" ht="14.1" customHeight="1" x14ac:dyDescent="0.2">
      <c r="A46" s="19" t="s">
        <v>144</v>
      </c>
      <c r="B46" s="418">
        <v>1009747</v>
      </c>
      <c r="C46" s="70">
        <f t="shared" si="0"/>
        <v>0.25346291806912274</v>
      </c>
      <c r="D46" s="418">
        <v>786868</v>
      </c>
      <c r="E46" s="70">
        <f t="shared" si="1"/>
        <v>0.1975166644864649</v>
      </c>
      <c r="F46" s="20">
        <f>SUM('- 42 -'!$B46,'- 42 -'!$D46,'- 42 -'!$F46,'- 42 -'!$H46,B46,D46)</f>
        <v>153822310</v>
      </c>
      <c r="G46" s="70">
        <f t="shared" si="2"/>
        <v>38.611901354233488</v>
      </c>
      <c r="I46" s="20">
        <f>SUM('- 41 -'!$H46,F46)</f>
        <v>398380563</v>
      </c>
    </row>
    <row r="47" spans="1:9" ht="5.0999999999999996" customHeight="1" x14ac:dyDescent="0.2">
      <c r="A47" s="21"/>
      <c r="B47" s="22"/>
      <c r="C47"/>
      <c r="D47" s="22"/>
      <c r="E47"/>
      <c r="F47" s="22"/>
      <c r="G47"/>
      <c r="I47" s="22"/>
    </row>
    <row r="48" spans="1:9" ht="14.1" customHeight="1" x14ac:dyDescent="0.2">
      <c r="A48" s="286" t="s">
        <v>145</v>
      </c>
      <c r="B48" s="421">
        <f>SUM(B11:B46)</f>
        <v>26992048</v>
      </c>
      <c r="C48" s="294">
        <f>B48/I48*100</f>
        <v>1.1350650605082797</v>
      </c>
      <c r="D48" s="421">
        <f>SUM(D11:D46)</f>
        <v>7753430</v>
      </c>
      <c r="E48" s="294">
        <f>D48/I48*100</f>
        <v>0.32604593368004947</v>
      </c>
      <c r="F48" s="287">
        <f>SUM(F11:F46)</f>
        <v>932939364</v>
      </c>
      <c r="G48" s="294">
        <f>F48/I48*100</f>
        <v>39.231809147983732</v>
      </c>
      <c r="I48" s="287">
        <f>SUM(I11:I46)</f>
        <v>2378017696</v>
      </c>
    </row>
    <row r="49" spans="1:9" ht="5.0999999999999996" customHeight="1" x14ac:dyDescent="0.2">
      <c r="A49" s="21" t="s">
        <v>7</v>
      </c>
      <c r="B49" s="22"/>
      <c r="C49"/>
      <c r="D49" s="22"/>
      <c r="E49"/>
      <c r="F49" s="22"/>
      <c r="G49"/>
      <c r="I49" s="22"/>
    </row>
    <row r="50" spans="1:9" ht="14.1" customHeight="1" x14ac:dyDescent="0.2">
      <c r="A50" s="19" t="s">
        <v>146</v>
      </c>
      <c r="B50" s="418">
        <v>16106</v>
      </c>
      <c r="C50" s="70">
        <f>B50/I50*100</f>
        <v>0.47367342179197719</v>
      </c>
      <c r="D50" s="418">
        <v>40184</v>
      </c>
      <c r="E50" s="70">
        <f>D50/I50*100</f>
        <v>1.1818013647888248</v>
      </c>
      <c r="F50" s="20">
        <f>SUM('- 42 -'!$B50,'- 42 -'!$D50,'- 42 -'!$F50,'- 42 -'!$H50,B50,D50)</f>
        <v>1946987</v>
      </c>
      <c r="G50" s="70">
        <f>F50/I50*100</f>
        <v>57.26039950791607</v>
      </c>
      <c r="I50" s="20">
        <f>SUM('- 41 -'!$H50,F50)</f>
        <v>3400233</v>
      </c>
    </row>
    <row r="51" spans="1:9" ht="14.1" customHeight="1" x14ac:dyDescent="0.2">
      <c r="A51" s="284" t="s">
        <v>609</v>
      </c>
      <c r="B51" s="417">
        <v>14641003</v>
      </c>
      <c r="C51" s="291">
        <f>B51/I51*100</f>
        <v>46.798265411987991</v>
      </c>
      <c r="D51" s="417">
        <v>396061</v>
      </c>
      <c r="E51" s="291">
        <f>D51/I51*100</f>
        <v>1.2659629806330464</v>
      </c>
      <c r="F51" s="285">
        <f>SUM('- 42 -'!$B51,'- 42 -'!$D51,'- 42 -'!$F51,'- 42 -'!$H51,B51,D51)</f>
        <v>21139792</v>
      </c>
      <c r="G51" s="291">
        <f>F51/I51*100</f>
        <v>67.570889560655118</v>
      </c>
      <c r="I51" s="285">
        <f>SUM('- 41 -'!$H51,F51)</f>
        <v>31285354</v>
      </c>
    </row>
    <row r="52" spans="1:9" ht="50.1" customHeight="1" x14ac:dyDescent="0.2"/>
  </sheetData>
  <mergeCells count="4">
    <mergeCell ref="B6:C8"/>
    <mergeCell ref="D8:E8"/>
    <mergeCell ref="F6:G8"/>
    <mergeCell ref="I6:I8"/>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58"/>
  <sheetViews>
    <sheetView showGridLines="0" showZeros="0" workbookViewId="0"/>
  </sheetViews>
  <sheetFormatPr defaultColWidth="15.83203125" defaultRowHeight="12" x14ac:dyDescent="0.2"/>
  <cols>
    <col min="1" max="1" width="37.33203125" style="2" customWidth="1"/>
    <col min="2" max="2" width="23.6640625" style="2" customWidth="1"/>
    <col min="3" max="3" width="25.1640625" style="2" customWidth="1"/>
    <col min="4" max="4" width="22.6640625" style="2" customWidth="1"/>
    <col min="5" max="5" width="17.1640625" style="2" customWidth="1"/>
    <col min="6" max="16384" width="15.83203125" style="2"/>
  </cols>
  <sheetData>
    <row r="1" spans="1:5" ht="6.95" customHeight="1" x14ac:dyDescent="0.2">
      <c r="A1" s="7"/>
    </row>
    <row r="2" spans="1:5" ht="14.1" customHeight="1" x14ac:dyDescent="0.2">
      <c r="A2" s="63"/>
      <c r="B2" s="447" t="s">
        <v>223</v>
      </c>
      <c r="C2" s="208"/>
      <c r="D2" s="208"/>
      <c r="E2" s="209"/>
    </row>
    <row r="3" spans="1:5" ht="14.1" customHeight="1" x14ac:dyDescent="0.2">
      <c r="A3" s="542"/>
      <c r="B3" s="23"/>
      <c r="C3" s="448" t="str">
        <f>"FOR THE YEAR ENDED JUNE 30, "&amp;SPRINGYR</f>
        <v>FOR THE YEAR ENDED JUNE 30, 2017</v>
      </c>
      <c r="D3" s="211"/>
      <c r="E3" s="212"/>
    </row>
    <row r="7" spans="1:5" ht="13.5" x14ac:dyDescent="0.2">
      <c r="B7" s="691" t="s">
        <v>384</v>
      </c>
      <c r="C7" s="692"/>
      <c r="D7" s="734"/>
      <c r="E7" s="639" t="str">
        <f>"% OF "&amp;FALLYR&amp;"/"&amp;SPRINGYR&amp;" OPERATING"</f>
        <v>% OF 2016/2017 OPERATING</v>
      </c>
    </row>
    <row r="8" spans="1:5" x14ac:dyDescent="0.2">
      <c r="A8" s="67"/>
      <c r="B8" s="338"/>
      <c r="C8" s="375"/>
      <c r="D8" s="375"/>
      <c r="E8" s="735"/>
    </row>
    <row r="9" spans="1:5" ht="14.25" x14ac:dyDescent="0.2">
      <c r="A9" s="35" t="s">
        <v>42</v>
      </c>
      <c r="B9" s="445" t="s">
        <v>380</v>
      </c>
      <c r="C9" s="445" t="s">
        <v>276</v>
      </c>
      <c r="D9" s="505" t="s">
        <v>31</v>
      </c>
      <c r="E9" s="425" t="s">
        <v>381</v>
      </c>
    </row>
    <row r="10" spans="1:5" ht="5.0999999999999996" customHeight="1" x14ac:dyDescent="0.2">
      <c r="A10" s="6"/>
      <c r="B10" s="7"/>
      <c r="C10" s="7"/>
      <c r="D10" s="7"/>
      <c r="E10" s="7"/>
    </row>
    <row r="11" spans="1:5" ht="14.1" customHeight="1" x14ac:dyDescent="0.2">
      <c r="A11" s="284" t="s">
        <v>110</v>
      </c>
      <c r="B11" s="417">
        <v>22387</v>
      </c>
      <c r="C11" s="417">
        <v>708008</v>
      </c>
      <c r="D11" s="285">
        <f>+B11+C11</f>
        <v>730395</v>
      </c>
      <c r="E11" s="291">
        <f>D11/'- 3 -'!$B11*100</f>
        <v>3.8092996468081224</v>
      </c>
    </row>
    <row r="12" spans="1:5" ht="14.1" customHeight="1" x14ac:dyDescent="0.2">
      <c r="A12" s="19" t="s">
        <v>111</v>
      </c>
      <c r="B12" s="418">
        <v>315259</v>
      </c>
      <c r="C12" s="418">
        <v>939069</v>
      </c>
      <c r="D12" s="20">
        <f t="shared" ref="D12:D46" si="0">+B12+C12</f>
        <v>1254328</v>
      </c>
      <c r="E12" s="70">
        <f>D12/'- 3 -'!$B12*100</f>
        <v>3.7044667612525499</v>
      </c>
    </row>
    <row r="13" spans="1:5" ht="14.1" customHeight="1" x14ac:dyDescent="0.2">
      <c r="A13" s="284" t="s">
        <v>112</v>
      </c>
      <c r="B13" s="417">
        <v>436000</v>
      </c>
      <c r="C13" s="417">
        <v>3206793</v>
      </c>
      <c r="D13" s="285">
        <f t="shared" si="0"/>
        <v>3642793</v>
      </c>
      <c r="E13" s="291">
        <f>D13/'- 3 -'!$B13*100</f>
        <v>3.7940103389167574</v>
      </c>
    </row>
    <row r="14" spans="1:5" ht="14.1" customHeight="1" x14ac:dyDescent="0.2">
      <c r="A14" s="19" t="s">
        <v>359</v>
      </c>
      <c r="B14" s="418">
        <v>1060475</v>
      </c>
      <c r="C14" s="418">
        <v>2139624</v>
      </c>
      <c r="D14" s="20">
        <f t="shared" si="0"/>
        <v>3200099</v>
      </c>
      <c r="E14" s="70">
        <f>D14/'- 3 -'!$B14*100</f>
        <v>3.8208502217648386</v>
      </c>
    </row>
    <row r="15" spans="1:5" ht="14.1" customHeight="1" x14ac:dyDescent="0.2">
      <c r="A15" s="284" t="s">
        <v>113</v>
      </c>
      <c r="B15" s="417">
        <v>848903</v>
      </c>
      <c r="C15" s="417">
        <v>646114</v>
      </c>
      <c r="D15" s="285">
        <f t="shared" si="0"/>
        <v>1495017</v>
      </c>
      <c r="E15" s="291">
        <f>D15/'- 3 -'!$B15*100</f>
        <v>7.6288233365246452</v>
      </c>
    </row>
    <row r="16" spans="1:5" ht="14.1" customHeight="1" x14ac:dyDescent="0.2">
      <c r="A16" s="19" t="s">
        <v>114</v>
      </c>
      <c r="B16" s="418">
        <v>86238</v>
      </c>
      <c r="C16" s="418">
        <v>442676</v>
      </c>
      <c r="D16" s="20">
        <f t="shared" si="0"/>
        <v>528914</v>
      </c>
      <c r="E16" s="70">
        <f>D16/'- 3 -'!$B16*100</f>
        <v>3.648539284670691</v>
      </c>
    </row>
    <row r="17" spans="1:5" ht="14.1" customHeight="1" x14ac:dyDescent="0.2">
      <c r="A17" s="284" t="s">
        <v>115</v>
      </c>
      <c r="B17" s="417">
        <v>1880</v>
      </c>
      <c r="C17" s="417">
        <v>724014</v>
      </c>
      <c r="D17" s="285">
        <f t="shared" si="0"/>
        <v>725894</v>
      </c>
      <c r="E17" s="291">
        <f>D17/'- 3 -'!$B17*100</f>
        <v>4.0297489976894951</v>
      </c>
    </row>
    <row r="18" spans="1:5" ht="14.1" customHeight="1" x14ac:dyDescent="0.2">
      <c r="A18" s="19" t="s">
        <v>116</v>
      </c>
      <c r="B18" s="418">
        <v>0</v>
      </c>
      <c r="C18" s="418">
        <v>5632959</v>
      </c>
      <c r="D18" s="20">
        <f t="shared" si="0"/>
        <v>5632959</v>
      </c>
      <c r="E18" s="70">
        <f>D18/'- 3 -'!$B18*100</f>
        <v>4.2257483042270456</v>
      </c>
    </row>
    <row r="19" spans="1:5" ht="14.1" customHeight="1" x14ac:dyDescent="0.2">
      <c r="A19" s="284" t="s">
        <v>117</v>
      </c>
      <c r="B19" s="417">
        <v>362709</v>
      </c>
      <c r="C19" s="417">
        <v>1489757.4900000021</v>
      </c>
      <c r="D19" s="285">
        <f t="shared" si="0"/>
        <v>1852466.4900000021</v>
      </c>
      <c r="E19" s="291">
        <f>D19/'- 3 -'!$B19*100</f>
        <v>3.9707050115950042</v>
      </c>
    </row>
    <row r="20" spans="1:5" ht="14.1" customHeight="1" x14ac:dyDescent="0.2">
      <c r="A20" s="19" t="s">
        <v>118</v>
      </c>
      <c r="B20" s="418">
        <v>0</v>
      </c>
      <c r="C20" s="418">
        <v>3358592</v>
      </c>
      <c r="D20" s="20">
        <f t="shared" si="0"/>
        <v>3358592</v>
      </c>
      <c r="E20" s="70">
        <f>D20/'- 3 -'!$B20*100</f>
        <v>4.0046108578749173</v>
      </c>
    </row>
    <row r="21" spans="1:5" ht="14.1" customHeight="1" x14ac:dyDescent="0.2">
      <c r="A21" s="284" t="s">
        <v>119</v>
      </c>
      <c r="B21" s="417">
        <v>0</v>
      </c>
      <c r="C21" s="417">
        <v>1361906</v>
      </c>
      <c r="D21" s="285">
        <f t="shared" si="0"/>
        <v>1361906</v>
      </c>
      <c r="E21" s="291">
        <f>D21/'- 3 -'!$B21*100</f>
        <v>3.7510069477189218</v>
      </c>
    </row>
    <row r="22" spans="1:5" ht="14.1" customHeight="1" x14ac:dyDescent="0.2">
      <c r="A22" s="19" t="s">
        <v>120</v>
      </c>
      <c r="B22" s="418">
        <v>787260</v>
      </c>
      <c r="C22" s="418">
        <v>1086348</v>
      </c>
      <c r="D22" s="20">
        <f t="shared" si="0"/>
        <v>1873608</v>
      </c>
      <c r="E22" s="70">
        <f>D22/'- 3 -'!$B22*100</f>
        <v>9.3254729461898229</v>
      </c>
    </row>
    <row r="23" spans="1:5" ht="14.1" customHeight="1" x14ac:dyDescent="0.2">
      <c r="A23" s="284" t="s">
        <v>121</v>
      </c>
      <c r="B23" s="417">
        <v>0</v>
      </c>
      <c r="C23" s="417">
        <v>782646</v>
      </c>
      <c r="D23" s="285">
        <f t="shared" si="0"/>
        <v>782646</v>
      </c>
      <c r="E23" s="291">
        <f>D23/'- 3 -'!$B23*100</f>
        <v>4.501281979021325</v>
      </c>
    </row>
    <row r="24" spans="1:5" ht="14.1" customHeight="1" x14ac:dyDescent="0.2">
      <c r="A24" s="19" t="s">
        <v>122</v>
      </c>
      <c r="B24" s="418">
        <v>0</v>
      </c>
      <c r="C24" s="418">
        <v>2272478</v>
      </c>
      <c r="D24" s="20">
        <f t="shared" si="0"/>
        <v>2272478</v>
      </c>
      <c r="E24" s="70">
        <f>D24/'- 3 -'!$B24*100</f>
        <v>3.9523080415403165</v>
      </c>
    </row>
    <row r="25" spans="1:5" ht="14.1" customHeight="1" x14ac:dyDescent="0.2">
      <c r="A25" s="284" t="s">
        <v>123</v>
      </c>
      <c r="B25" s="417">
        <v>915116</v>
      </c>
      <c r="C25" s="417">
        <v>5882667</v>
      </c>
      <c r="D25" s="285">
        <f t="shared" si="0"/>
        <v>6797783</v>
      </c>
      <c r="E25" s="291">
        <f>D25/'- 3 -'!$B25*100</f>
        <v>3.8080568720246397</v>
      </c>
    </row>
    <row r="26" spans="1:5" ht="14.1" customHeight="1" x14ac:dyDescent="0.2">
      <c r="A26" s="19" t="s">
        <v>124</v>
      </c>
      <c r="B26" s="418">
        <v>0</v>
      </c>
      <c r="C26" s="418">
        <v>1627647</v>
      </c>
      <c r="D26" s="20">
        <f t="shared" si="0"/>
        <v>1627647</v>
      </c>
      <c r="E26" s="70">
        <f>D26/'- 3 -'!$B26*100</f>
        <v>3.9707381927315195</v>
      </c>
    </row>
    <row r="27" spans="1:5" ht="14.1" customHeight="1" x14ac:dyDescent="0.2">
      <c r="A27" s="284" t="s">
        <v>125</v>
      </c>
      <c r="B27" s="417">
        <v>406338</v>
      </c>
      <c r="C27" s="417">
        <v>3243742</v>
      </c>
      <c r="D27" s="285">
        <f t="shared" si="0"/>
        <v>3650080</v>
      </c>
      <c r="E27" s="291">
        <f>D27/'- 3 -'!$B27*100</f>
        <v>8.8053060914230787</v>
      </c>
    </row>
    <row r="28" spans="1:5" ht="14.1" customHeight="1" x14ac:dyDescent="0.2">
      <c r="A28" s="19" t="s">
        <v>126</v>
      </c>
      <c r="B28" s="418">
        <v>66711</v>
      </c>
      <c r="C28" s="418">
        <v>625180</v>
      </c>
      <c r="D28" s="20">
        <f t="shared" si="0"/>
        <v>691891</v>
      </c>
      <c r="E28" s="70">
        <f>D28/'- 3 -'!$B28*100</f>
        <v>2.4399642495977303</v>
      </c>
    </row>
    <row r="29" spans="1:5" ht="14.1" customHeight="1" x14ac:dyDescent="0.2">
      <c r="A29" s="284" t="s">
        <v>127</v>
      </c>
      <c r="B29" s="417">
        <v>2025033</v>
      </c>
      <c r="C29" s="417">
        <v>4162779</v>
      </c>
      <c r="D29" s="285">
        <f t="shared" si="0"/>
        <v>6187812</v>
      </c>
      <c r="E29" s="291">
        <f>D29/'- 3 -'!$B29*100</f>
        <v>3.8390820111214037</v>
      </c>
    </row>
    <row r="30" spans="1:5" ht="14.1" customHeight="1" x14ac:dyDescent="0.2">
      <c r="A30" s="19" t="s">
        <v>128</v>
      </c>
      <c r="B30" s="418">
        <v>46910</v>
      </c>
      <c r="C30" s="418">
        <v>496602</v>
      </c>
      <c r="D30" s="20">
        <f t="shared" si="0"/>
        <v>543512</v>
      </c>
      <c r="E30" s="70">
        <f>D30/'- 3 -'!$B30*100</f>
        <v>3.8429554878207872</v>
      </c>
    </row>
    <row r="31" spans="1:5" ht="14.1" customHeight="1" x14ac:dyDescent="0.2">
      <c r="A31" s="284" t="s">
        <v>129</v>
      </c>
      <c r="B31" s="417">
        <v>0</v>
      </c>
      <c r="C31" s="417">
        <v>1489650</v>
      </c>
      <c r="D31" s="285">
        <f t="shared" si="0"/>
        <v>1489650</v>
      </c>
      <c r="E31" s="291">
        <f>D31/'- 3 -'!$B31*100</f>
        <v>3.9658748139727438</v>
      </c>
    </row>
    <row r="32" spans="1:5" ht="14.1" customHeight="1" x14ac:dyDescent="0.2">
      <c r="A32" s="19" t="s">
        <v>130</v>
      </c>
      <c r="B32" s="418">
        <v>0</v>
      </c>
      <c r="C32" s="418">
        <v>3045115</v>
      </c>
      <c r="D32" s="20">
        <f t="shared" si="0"/>
        <v>3045115</v>
      </c>
      <c r="E32" s="70">
        <f>D32/'- 3 -'!$B32*100</f>
        <v>10.303091984933625</v>
      </c>
    </row>
    <row r="33" spans="1:5" ht="14.1" customHeight="1" x14ac:dyDescent="0.2">
      <c r="A33" s="284" t="s">
        <v>131</v>
      </c>
      <c r="B33" s="417">
        <v>39922</v>
      </c>
      <c r="C33" s="417">
        <v>1122747</v>
      </c>
      <c r="D33" s="285">
        <f t="shared" si="0"/>
        <v>1162669</v>
      </c>
      <c r="E33" s="291">
        <f>D33/'- 3 -'!$B33*100</f>
        <v>4.1661312697074155</v>
      </c>
    </row>
    <row r="34" spans="1:5" ht="14.1" customHeight="1" x14ac:dyDescent="0.2">
      <c r="A34" s="19" t="s">
        <v>132</v>
      </c>
      <c r="B34" s="418">
        <v>648701</v>
      </c>
      <c r="C34" s="418">
        <v>234795</v>
      </c>
      <c r="D34" s="20">
        <f t="shared" si="0"/>
        <v>883496</v>
      </c>
      <c r="E34" s="70">
        <f>D34/'- 3 -'!$B34*100</f>
        <v>2.9929348801496074</v>
      </c>
    </row>
    <row r="35" spans="1:5" ht="14.1" customHeight="1" x14ac:dyDescent="0.2">
      <c r="A35" s="284" t="s">
        <v>133</v>
      </c>
      <c r="B35" s="417">
        <v>2146875</v>
      </c>
      <c r="C35" s="417">
        <v>3156366</v>
      </c>
      <c r="D35" s="285">
        <f t="shared" si="0"/>
        <v>5303241</v>
      </c>
      <c r="E35" s="291">
        <f>D35/'- 3 -'!$B35*100</f>
        <v>2.8688906084379711</v>
      </c>
    </row>
    <row r="36" spans="1:5" ht="14.1" customHeight="1" x14ac:dyDescent="0.2">
      <c r="A36" s="19" t="s">
        <v>134</v>
      </c>
      <c r="B36" s="418">
        <v>0</v>
      </c>
      <c r="C36" s="418">
        <v>840723</v>
      </c>
      <c r="D36" s="20">
        <f t="shared" si="0"/>
        <v>840723</v>
      </c>
      <c r="E36" s="70">
        <f>D36/'- 3 -'!$B36*100</f>
        <v>3.5354185887114529</v>
      </c>
    </row>
    <row r="37" spans="1:5" ht="14.1" customHeight="1" x14ac:dyDescent="0.2">
      <c r="A37" s="284" t="s">
        <v>135</v>
      </c>
      <c r="B37" s="417">
        <v>368585</v>
      </c>
      <c r="C37" s="417">
        <v>1538581</v>
      </c>
      <c r="D37" s="285">
        <f t="shared" si="0"/>
        <v>1907166</v>
      </c>
      <c r="E37" s="291">
        <f>D37/'- 3 -'!$B37*100</f>
        <v>3.7581844981072079</v>
      </c>
    </row>
    <row r="38" spans="1:5" ht="14.1" customHeight="1" x14ac:dyDescent="0.2">
      <c r="A38" s="19" t="s">
        <v>136</v>
      </c>
      <c r="B38" s="418">
        <v>4856500</v>
      </c>
      <c r="C38" s="418">
        <v>866393</v>
      </c>
      <c r="D38" s="20">
        <f t="shared" si="0"/>
        <v>5722893</v>
      </c>
      <c r="E38" s="70">
        <f>D38/'- 3 -'!$B38*100</f>
        <v>4.181715118644922</v>
      </c>
    </row>
    <row r="39" spans="1:5" ht="14.1" customHeight="1" x14ac:dyDescent="0.2">
      <c r="A39" s="284" t="s">
        <v>137</v>
      </c>
      <c r="B39" s="417">
        <v>0</v>
      </c>
      <c r="C39" s="417">
        <v>867704</v>
      </c>
      <c r="D39" s="285">
        <f t="shared" si="0"/>
        <v>867704</v>
      </c>
      <c r="E39" s="291">
        <f>D39/'- 3 -'!$B39*100</f>
        <v>3.9985810333111558</v>
      </c>
    </row>
    <row r="40" spans="1:5" ht="14.1" customHeight="1" x14ac:dyDescent="0.2">
      <c r="A40" s="19" t="s">
        <v>138</v>
      </c>
      <c r="B40" s="418">
        <v>489721</v>
      </c>
      <c r="C40" s="418">
        <v>4229583</v>
      </c>
      <c r="D40" s="20">
        <f t="shared" si="0"/>
        <v>4719304</v>
      </c>
      <c r="E40" s="70">
        <f>D40/'- 3 -'!$B40*100</f>
        <v>4.5046315921678595</v>
      </c>
    </row>
    <row r="41" spans="1:5" ht="14.1" customHeight="1" x14ac:dyDescent="0.2">
      <c r="A41" s="284" t="s">
        <v>139</v>
      </c>
      <c r="B41" s="417">
        <v>800000</v>
      </c>
      <c r="C41" s="417">
        <v>1958746</v>
      </c>
      <c r="D41" s="285">
        <f t="shared" si="0"/>
        <v>2758746</v>
      </c>
      <c r="E41" s="291">
        <f>D41/'- 3 -'!$B41*100</f>
        <v>4.3501419382216984</v>
      </c>
    </row>
    <row r="42" spans="1:5" ht="14.1" customHeight="1" x14ac:dyDescent="0.2">
      <c r="A42" s="19" t="s">
        <v>140</v>
      </c>
      <c r="B42" s="418">
        <v>0</v>
      </c>
      <c r="C42" s="418">
        <v>646669</v>
      </c>
      <c r="D42" s="20">
        <f t="shared" si="0"/>
        <v>646669</v>
      </c>
      <c r="E42" s="70">
        <f>D42/'- 3 -'!$B42*100</f>
        <v>3.1822410723943122</v>
      </c>
    </row>
    <row r="43" spans="1:5" ht="14.1" customHeight="1" x14ac:dyDescent="0.2">
      <c r="A43" s="284" t="s">
        <v>141</v>
      </c>
      <c r="B43" s="417">
        <v>237429</v>
      </c>
      <c r="C43" s="417">
        <v>604024</v>
      </c>
      <c r="D43" s="285">
        <f t="shared" si="0"/>
        <v>841453</v>
      </c>
      <c r="E43" s="291">
        <f>D43/'- 3 -'!$B43*100</f>
        <v>6.3377199985779811</v>
      </c>
    </row>
    <row r="44" spans="1:5" ht="14.1" customHeight="1" x14ac:dyDescent="0.2">
      <c r="A44" s="19" t="s">
        <v>142</v>
      </c>
      <c r="B44" s="418">
        <v>0</v>
      </c>
      <c r="C44" s="418">
        <v>430946</v>
      </c>
      <c r="D44" s="20">
        <f t="shared" si="0"/>
        <v>430946</v>
      </c>
      <c r="E44" s="70">
        <f>D44/'- 3 -'!$B44*100</f>
        <v>3.9226737746047777</v>
      </c>
    </row>
    <row r="45" spans="1:5" ht="14.1" customHeight="1" x14ac:dyDescent="0.2">
      <c r="A45" s="284" t="s">
        <v>143</v>
      </c>
      <c r="B45" s="417">
        <v>0</v>
      </c>
      <c r="C45" s="417">
        <v>573374</v>
      </c>
      <c r="D45" s="285">
        <f t="shared" si="0"/>
        <v>573374</v>
      </c>
      <c r="E45" s="291">
        <f>D45/'- 3 -'!$B45*100</f>
        <v>2.9393650294026727</v>
      </c>
    </row>
    <row r="46" spans="1:5" ht="14.1" customHeight="1" x14ac:dyDescent="0.2">
      <c r="A46" s="19" t="s">
        <v>144</v>
      </c>
      <c r="B46" s="418">
        <v>1652612</v>
      </c>
      <c r="C46" s="418">
        <v>8896075</v>
      </c>
      <c r="D46" s="20">
        <f t="shared" si="0"/>
        <v>10548687</v>
      </c>
      <c r="E46" s="70">
        <f>D46/'- 3 -'!$B46*100</f>
        <v>2.6797363812087771</v>
      </c>
    </row>
    <row r="47" spans="1:5" ht="5.0999999999999996" customHeight="1" x14ac:dyDescent="0.2">
      <c r="A47" s="21"/>
      <c r="B47" s="22"/>
      <c r="C47" s="22"/>
      <c r="D47" s="22"/>
      <c r="E47"/>
    </row>
    <row r="48" spans="1:5" ht="14.1" customHeight="1" x14ac:dyDescent="0.2">
      <c r="A48" s="286" t="s">
        <v>145</v>
      </c>
      <c r="B48" s="421">
        <f>SUM(B11:B46)</f>
        <v>18621564</v>
      </c>
      <c r="C48" s="421">
        <f>SUM(C11:C46)</f>
        <v>71331092.49000001</v>
      </c>
      <c r="D48" s="287">
        <f>SUM(D11:D46)</f>
        <v>89952656.49000001</v>
      </c>
      <c r="E48" s="294">
        <f>D48/'- 3 -'!$B48*100</f>
        <v>3.8889216137658562</v>
      </c>
    </row>
    <row r="49" spans="1:5" ht="5.0999999999999996" customHeight="1" x14ac:dyDescent="0.2">
      <c r="A49" s="21" t="s">
        <v>7</v>
      </c>
      <c r="B49" s="22"/>
      <c r="C49" s="22"/>
      <c r="D49" s="22"/>
      <c r="E49"/>
    </row>
    <row r="50" spans="1:5" ht="14.1" customHeight="1" x14ac:dyDescent="0.2">
      <c r="A50" s="19" t="s">
        <v>146</v>
      </c>
      <c r="B50" s="418">
        <v>0</v>
      </c>
      <c r="C50" s="418">
        <v>400817</v>
      </c>
      <c r="D50" s="20">
        <f t="shared" ref="D50:D51" si="1">+B50+C50</f>
        <v>400817</v>
      </c>
      <c r="E50" s="70">
        <f>D50/'- 3 -'!$B50*100</f>
        <v>12.499820681336077</v>
      </c>
    </row>
    <row r="51" spans="1:5" ht="14.1" customHeight="1" x14ac:dyDescent="0.2">
      <c r="A51" s="284" t="s">
        <v>609</v>
      </c>
      <c r="B51" s="417">
        <v>2035868</v>
      </c>
      <c r="C51" s="417">
        <v>901729</v>
      </c>
      <c r="D51" s="285">
        <f t="shared" si="1"/>
        <v>2937597</v>
      </c>
      <c r="E51" s="291">
        <f>D51/'- 3 -'!$B51*100</f>
        <v>10.019751646612931</v>
      </c>
    </row>
    <row r="52" spans="1:5" ht="50.1" customHeight="1" x14ac:dyDescent="0.2">
      <c r="A52" s="23"/>
      <c r="B52" s="23"/>
      <c r="C52" s="23"/>
      <c r="D52" s="23"/>
      <c r="E52" s="23"/>
    </row>
    <row r="53" spans="1:5" x14ac:dyDescent="0.2">
      <c r="A53" s="38" t="s">
        <v>382</v>
      </c>
      <c r="B53" s="184"/>
      <c r="C53" s="184"/>
      <c r="D53" s="184"/>
      <c r="E53" s="184"/>
    </row>
    <row r="54" spans="1:5" x14ac:dyDescent="0.2">
      <c r="A54" s="620" t="s">
        <v>535</v>
      </c>
      <c r="B54" s="620"/>
      <c r="C54" s="620"/>
      <c r="D54" s="620"/>
      <c r="E54" s="620"/>
    </row>
    <row r="55" spans="1:5" ht="12" customHeight="1" x14ac:dyDescent="0.2">
      <c r="A55" s="620"/>
      <c r="B55" s="620"/>
      <c r="C55" s="620"/>
      <c r="D55" s="620"/>
      <c r="E55" s="620"/>
    </row>
    <row r="56" spans="1:5" ht="12" customHeight="1" x14ac:dyDescent="0.2">
      <c r="A56" s="620" t="s">
        <v>534</v>
      </c>
      <c r="B56" s="620"/>
      <c r="C56" s="620"/>
      <c r="D56" s="620"/>
      <c r="E56" s="620"/>
    </row>
    <row r="57" spans="1:5" ht="12" customHeight="1" x14ac:dyDescent="0.2">
      <c r="A57" s="620"/>
      <c r="B57" s="620"/>
      <c r="C57" s="620"/>
      <c r="D57" s="620"/>
      <c r="E57" s="620"/>
    </row>
    <row r="58" spans="1:5" ht="15" x14ac:dyDescent="0.25">
      <c r="A58" s="525"/>
    </row>
  </sheetData>
  <mergeCells count="4">
    <mergeCell ref="B7:D7"/>
    <mergeCell ref="E7:E8"/>
    <mergeCell ref="A56:E57"/>
    <mergeCell ref="A54:E55"/>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4"/>
  <sheetViews>
    <sheetView showGridLines="0" showZeros="0" workbookViewId="0"/>
  </sheetViews>
  <sheetFormatPr defaultColWidth="12.83203125" defaultRowHeight="12" x14ac:dyDescent="0.2"/>
  <cols>
    <col min="1" max="1" width="29.83203125" style="2" customWidth="1"/>
    <col min="2" max="8" width="14.83203125" style="2" customWidth="1"/>
    <col min="9" max="16384" width="12.83203125" style="2"/>
  </cols>
  <sheetData>
    <row r="1" spans="1:8" ht="6.95" customHeight="1" x14ac:dyDescent="0.2">
      <c r="A1" s="7"/>
      <c r="B1" s="89"/>
      <c r="C1" s="89"/>
      <c r="D1" s="89"/>
      <c r="E1" s="89"/>
      <c r="F1" s="89"/>
      <c r="G1" s="89"/>
      <c r="H1" s="89"/>
    </row>
    <row r="2" spans="1:8" ht="15.95" customHeight="1" x14ac:dyDescent="0.2">
      <c r="A2" s="63"/>
      <c r="B2" s="90" t="s">
        <v>81</v>
      </c>
      <c r="C2" s="91"/>
      <c r="D2" s="91"/>
      <c r="E2" s="91"/>
      <c r="F2" s="91"/>
      <c r="G2" s="91"/>
      <c r="H2" s="92" t="s">
        <v>82</v>
      </c>
    </row>
    <row r="3" spans="1:8" ht="15.95" customHeight="1" x14ac:dyDescent="0.2">
      <c r="A3" s="542"/>
      <c r="B3" s="93" t="str">
        <f>"ACTUAL SEPTEMBER 30, "&amp;FALLYR</f>
        <v>ACTUAL SEPTEMBER 30, 2016</v>
      </c>
      <c r="C3" s="94"/>
      <c r="D3" s="95"/>
      <c r="E3" s="94"/>
      <c r="F3" s="95"/>
      <c r="G3" s="94"/>
      <c r="H3" s="96"/>
    </row>
    <row r="4" spans="1:8" ht="15.95" customHeight="1" x14ac:dyDescent="0.2">
      <c r="B4" s="89"/>
      <c r="C4" s="89"/>
      <c r="D4" s="89"/>
      <c r="E4" s="89"/>
      <c r="F4" s="89"/>
      <c r="G4" s="97"/>
      <c r="H4" s="89"/>
    </row>
    <row r="5" spans="1:8" ht="15.95" customHeight="1" x14ac:dyDescent="0.2">
      <c r="B5" s="89"/>
      <c r="C5" s="89"/>
      <c r="D5" s="89"/>
      <c r="E5" s="89"/>
      <c r="F5" s="89"/>
      <c r="G5" s="89"/>
      <c r="H5" s="89"/>
    </row>
    <row r="6" spans="1:8" ht="15.95" customHeight="1" x14ac:dyDescent="0.2">
      <c r="B6" s="288" t="s">
        <v>26</v>
      </c>
      <c r="C6" s="289"/>
      <c r="D6" s="289"/>
      <c r="E6" s="289"/>
      <c r="F6" s="289"/>
      <c r="G6" s="289"/>
      <c r="H6" s="290"/>
    </row>
    <row r="7" spans="1:8" ht="15.95" customHeight="1" x14ac:dyDescent="0.2">
      <c r="B7" s="98" t="s">
        <v>236</v>
      </c>
      <c r="C7" s="99"/>
      <c r="D7" s="99"/>
      <c r="E7" s="100" t="s">
        <v>237</v>
      </c>
      <c r="F7" s="99"/>
      <c r="G7" s="99"/>
      <c r="H7" s="101"/>
    </row>
    <row r="8" spans="1:8" ht="15.95" customHeight="1" x14ac:dyDescent="0.2">
      <c r="A8" s="102"/>
      <c r="B8" s="609" t="s">
        <v>20</v>
      </c>
      <c r="C8" s="103" t="s">
        <v>7</v>
      </c>
      <c r="D8" s="611" t="s">
        <v>22</v>
      </c>
      <c r="E8" s="613" t="s">
        <v>20</v>
      </c>
      <c r="F8" s="103" t="s">
        <v>7</v>
      </c>
      <c r="G8" s="615" t="s">
        <v>22</v>
      </c>
      <c r="H8" s="615" t="s">
        <v>453</v>
      </c>
    </row>
    <row r="9" spans="1:8" ht="15.95" customHeight="1" x14ac:dyDescent="0.2">
      <c r="A9" s="104" t="s">
        <v>42</v>
      </c>
      <c r="B9" s="610"/>
      <c r="C9" s="105" t="s">
        <v>21</v>
      </c>
      <c r="D9" s="612"/>
      <c r="E9" s="614"/>
      <c r="F9" s="105" t="s">
        <v>21</v>
      </c>
      <c r="G9" s="616"/>
      <c r="H9" s="616"/>
    </row>
    <row r="10" spans="1:8" ht="5.0999999999999996" customHeight="1" x14ac:dyDescent="0.2">
      <c r="A10" s="6"/>
      <c r="B10" s="85"/>
      <c r="C10" s="85"/>
      <c r="D10" s="85"/>
      <c r="E10" s="85"/>
      <c r="F10" s="85"/>
      <c r="G10" s="85"/>
      <c r="H10" s="85"/>
    </row>
    <row r="11" spans="1:8" ht="14.1" customHeight="1" x14ac:dyDescent="0.2">
      <c r="A11" s="284" t="s">
        <v>110</v>
      </c>
      <c r="B11" s="291">
        <v>1766</v>
      </c>
      <c r="C11" s="291">
        <v>0</v>
      </c>
      <c r="D11" s="292">
        <v>0</v>
      </c>
      <c r="E11" s="293">
        <v>0</v>
      </c>
      <c r="F11" s="291">
        <v>0</v>
      </c>
      <c r="G11" s="291">
        <v>0</v>
      </c>
      <c r="H11" s="291">
        <v>0</v>
      </c>
    </row>
    <row r="12" spans="1:8" ht="14.1" customHeight="1" x14ac:dyDescent="0.2">
      <c r="A12" s="19" t="s">
        <v>111</v>
      </c>
      <c r="B12" s="70">
        <v>1895.88</v>
      </c>
      <c r="C12" s="70">
        <v>0</v>
      </c>
      <c r="D12" s="106">
        <v>0</v>
      </c>
      <c r="E12" s="107">
        <v>0</v>
      </c>
      <c r="F12" s="70">
        <v>0</v>
      </c>
      <c r="G12" s="70">
        <v>0</v>
      </c>
      <c r="H12" s="70">
        <v>0</v>
      </c>
    </row>
    <row r="13" spans="1:8" ht="14.1" customHeight="1" x14ac:dyDescent="0.2">
      <c r="A13" s="284" t="s">
        <v>112</v>
      </c>
      <c r="B13" s="291">
        <v>6175.1</v>
      </c>
      <c r="C13" s="291">
        <v>0</v>
      </c>
      <c r="D13" s="292">
        <v>346</v>
      </c>
      <c r="E13" s="293">
        <v>1012</v>
      </c>
      <c r="F13" s="291">
        <v>0</v>
      </c>
      <c r="G13" s="291">
        <v>401.5</v>
      </c>
      <c r="H13" s="291">
        <v>0</v>
      </c>
    </row>
    <row r="14" spans="1:8" ht="14.1" customHeight="1" x14ac:dyDescent="0.2">
      <c r="A14" s="19" t="s">
        <v>359</v>
      </c>
      <c r="B14" s="70">
        <v>0</v>
      </c>
      <c r="C14" s="70">
        <v>5467</v>
      </c>
      <c r="D14" s="106">
        <v>0</v>
      </c>
      <c r="E14" s="107">
        <v>0</v>
      </c>
      <c r="F14" s="70">
        <v>0</v>
      </c>
      <c r="G14" s="70">
        <v>0</v>
      </c>
      <c r="H14" s="70">
        <v>0</v>
      </c>
    </row>
    <row r="15" spans="1:8" ht="14.1" customHeight="1" x14ac:dyDescent="0.2">
      <c r="A15" s="284" t="s">
        <v>113</v>
      </c>
      <c r="B15" s="291">
        <v>1374.2</v>
      </c>
      <c r="C15" s="291">
        <v>0</v>
      </c>
      <c r="D15" s="292">
        <v>0</v>
      </c>
      <c r="E15" s="293">
        <v>0</v>
      </c>
      <c r="F15" s="291">
        <v>0</v>
      </c>
      <c r="G15" s="291">
        <v>0</v>
      </c>
      <c r="H15" s="291">
        <v>0</v>
      </c>
    </row>
    <row r="16" spans="1:8" ht="14.1" customHeight="1" x14ac:dyDescent="0.2">
      <c r="A16" s="19" t="s">
        <v>114</v>
      </c>
      <c r="B16" s="70">
        <v>532.29999999999995</v>
      </c>
      <c r="C16" s="70">
        <v>0</v>
      </c>
      <c r="D16" s="106">
        <v>0</v>
      </c>
      <c r="E16" s="107">
        <v>258.5</v>
      </c>
      <c r="F16" s="70">
        <v>0</v>
      </c>
      <c r="G16" s="70">
        <v>106.5</v>
      </c>
      <c r="H16" s="70">
        <v>0</v>
      </c>
    </row>
    <row r="17" spans="1:8" ht="14.1" customHeight="1" x14ac:dyDescent="0.2">
      <c r="A17" s="284" t="s">
        <v>115</v>
      </c>
      <c r="B17" s="291">
        <v>1376.5</v>
      </c>
      <c r="C17" s="291">
        <v>0</v>
      </c>
      <c r="D17" s="292">
        <v>0</v>
      </c>
      <c r="E17" s="293">
        <v>0</v>
      </c>
      <c r="F17" s="291">
        <v>0</v>
      </c>
      <c r="G17" s="291">
        <v>0</v>
      </c>
      <c r="H17" s="291">
        <v>0</v>
      </c>
    </row>
    <row r="18" spans="1:8" ht="14.1" customHeight="1" x14ac:dyDescent="0.2">
      <c r="A18" s="19" t="s">
        <v>116</v>
      </c>
      <c r="B18" s="70">
        <v>6060.9</v>
      </c>
      <c r="C18" s="70">
        <v>0</v>
      </c>
      <c r="D18" s="106">
        <v>0</v>
      </c>
      <c r="E18" s="107">
        <v>0</v>
      </c>
      <c r="F18" s="70">
        <v>0</v>
      </c>
      <c r="G18" s="70">
        <v>0</v>
      </c>
      <c r="H18" s="70">
        <v>0</v>
      </c>
    </row>
    <row r="19" spans="1:8" ht="14.1" customHeight="1" x14ac:dyDescent="0.2">
      <c r="A19" s="284" t="s">
        <v>117</v>
      </c>
      <c r="B19" s="291">
        <v>4264.8999999999996</v>
      </c>
      <c r="C19" s="291">
        <v>0</v>
      </c>
      <c r="D19" s="292">
        <v>0</v>
      </c>
      <c r="E19" s="293">
        <v>0</v>
      </c>
      <c r="F19" s="291">
        <v>0</v>
      </c>
      <c r="G19" s="291">
        <v>0</v>
      </c>
      <c r="H19" s="291">
        <v>0</v>
      </c>
    </row>
    <row r="20" spans="1:8" ht="14.1" customHeight="1" x14ac:dyDescent="0.2">
      <c r="A20" s="19" t="s">
        <v>118</v>
      </c>
      <c r="B20" s="70">
        <v>7160.93</v>
      </c>
      <c r="C20" s="70">
        <v>0</v>
      </c>
      <c r="D20" s="106">
        <v>0</v>
      </c>
      <c r="E20" s="107">
        <v>0</v>
      </c>
      <c r="F20" s="70">
        <v>0</v>
      </c>
      <c r="G20" s="70">
        <v>0</v>
      </c>
      <c r="H20" s="70">
        <v>0</v>
      </c>
    </row>
    <row r="21" spans="1:8" ht="14.1" customHeight="1" x14ac:dyDescent="0.2">
      <c r="A21" s="284" t="s">
        <v>119</v>
      </c>
      <c r="B21" s="291">
        <v>2051.1</v>
      </c>
      <c r="C21" s="291">
        <v>0</v>
      </c>
      <c r="D21" s="292">
        <v>0</v>
      </c>
      <c r="E21" s="293">
        <v>449</v>
      </c>
      <c r="F21" s="291">
        <v>0</v>
      </c>
      <c r="G21" s="291">
        <v>242</v>
      </c>
      <c r="H21" s="291">
        <v>0</v>
      </c>
    </row>
    <row r="22" spans="1:8" ht="14.1" customHeight="1" x14ac:dyDescent="0.2">
      <c r="A22" s="19" t="s">
        <v>120</v>
      </c>
      <c r="B22" s="70">
        <v>851.6</v>
      </c>
      <c r="C22" s="70">
        <v>0</v>
      </c>
      <c r="D22" s="106">
        <v>0</v>
      </c>
      <c r="E22" s="107">
        <v>548.5</v>
      </c>
      <c r="F22" s="70">
        <v>0</v>
      </c>
      <c r="G22" s="70">
        <v>123.5</v>
      </c>
      <c r="H22" s="70">
        <v>0</v>
      </c>
    </row>
    <row r="23" spans="1:8" ht="14.1" customHeight="1" x14ac:dyDescent="0.2">
      <c r="A23" s="284" t="s">
        <v>121</v>
      </c>
      <c r="B23" s="291">
        <v>1094.5</v>
      </c>
      <c r="C23" s="291">
        <v>0</v>
      </c>
      <c r="D23" s="292">
        <v>0</v>
      </c>
      <c r="E23" s="293">
        <v>0</v>
      </c>
      <c r="F23" s="291">
        <v>0</v>
      </c>
      <c r="G23" s="291">
        <v>0</v>
      </c>
      <c r="H23" s="291">
        <v>0</v>
      </c>
    </row>
    <row r="24" spans="1:8" ht="14.1" customHeight="1" x14ac:dyDescent="0.2">
      <c r="A24" s="19" t="s">
        <v>122</v>
      </c>
      <c r="B24" s="70">
        <v>2795.8</v>
      </c>
      <c r="C24" s="70">
        <v>0</v>
      </c>
      <c r="D24" s="106">
        <v>240.5</v>
      </c>
      <c r="E24" s="107">
        <v>482.5</v>
      </c>
      <c r="F24" s="70">
        <v>0</v>
      </c>
      <c r="G24" s="70">
        <v>94</v>
      </c>
      <c r="H24" s="70">
        <v>80.5</v>
      </c>
    </row>
    <row r="25" spans="1:8" ht="14.1" customHeight="1" x14ac:dyDescent="0.2">
      <c r="A25" s="284" t="s">
        <v>123</v>
      </c>
      <c r="B25" s="291">
        <v>9780.6</v>
      </c>
      <c r="C25" s="291">
        <v>0</v>
      </c>
      <c r="D25" s="292">
        <v>4458.3999999999996</v>
      </c>
      <c r="E25" s="293">
        <v>0</v>
      </c>
      <c r="F25" s="291">
        <v>0</v>
      </c>
      <c r="G25" s="291">
        <v>0</v>
      </c>
      <c r="H25" s="291">
        <v>0</v>
      </c>
    </row>
    <row r="26" spans="1:8" ht="14.1" customHeight="1" x14ac:dyDescent="0.2">
      <c r="A26" s="19" t="s">
        <v>124</v>
      </c>
      <c r="B26" s="70">
        <v>2390.4</v>
      </c>
      <c r="C26" s="70">
        <v>0</v>
      </c>
      <c r="D26" s="106">
        <v>200</v>
      </c>
      <c r="E26" s="107">
        <v>204</v>
      </c>
      <c r="F26" s="70">
        <v>0</v>
      </c>
      <c r="G26" s="70">
        <v>49</v>
      </c>
      <c r="H26" s="70">
        <v>75</v>
      </c>
    </row>
    <row r="27" spans="1:8" ht="14.1" customHeight="1" x14ac:dyDescent="0.2">
      <c r="A27" s="284" t="s">
        <v>125</v>
      </c>
      <c r="B27" s="291">
        <v>2515.9500000000003</v>
      </c>
      <c r="C27" s="291">
        <v>0</v>
      </c>
      <c r="D27" s="292">
        <v>0</v>
      </c>
      <c r="E27" s="293">
        <v>131</v>
      </c>
      <c r="F27" s="291">
        <v>0</v>
      </c>
      <c r="G27" s="291">
        <v>231.5</v>
      </c>
      <c r="H27" s="291">
        <v>0</v>
      </c>
    </row>
    <row r="28" spans="1:8" ht="14.1" customHeight="1" x14ac:dyDescent="0.2">
      <c r="A28" s="19" t="s">
        <v>126</v>
      </c>
      <c r="B28" s="70">
        <v>1963</v>
      </c>
      <c r="C28" s="70">
        <v>0</v>
      </c>
      <c r="D28" s="106">
        <v>0</v>
      </c>
      <c r="E28" s="107">
        <v>0</v>
      </c>
      <c r="F28" s="70">
        <v>0</v>
      </c>
      <c r="G28" s="70">
        <v>0</v>
      </c>
      <c r="H28" s="70">
        <v>0</v>
      </c>
    </row>
    <row r="29" spans="1:8" ht="14.1" customHeight="1" x14ac:dyDescent="0.2">
      <c r="A29" s="284" t="s">
        <v>127</v>
      </c>
      <c r="B29" s="291">
        <v>7928.5</v>
      </c>
      <c r="C29" s="291">
        <v>0</v>
      </c>
      <c r="D29" s="292">
        <v>1211.5</v>
      </c>
      <c r="E29" s="293">
        <v>2441.4</v>
      </c>
      <c r="F29" s="291">
        <v>0</v>
      </c>
      <c r="G29" s="291">
        <v>1501</v>
      </c>
      <c r="H29" s="291">
        <v>0</v>
      </c>
    </row>
    <row r="30" spans="1:8" ht="14.1" customHeight="1" x14ac:dyDescent="0.2">
      <c r="A30" s="19" t="s">
        <v>128</v>
      </c>
      <c r="B30" s="70">
        <v>990</v>
      </c>
      <c r="C30" s="70">
        <v>0</v>
      </c>
      <c r="D30" s="106">
        <v>0</v>
      </c>
      <c r="E30" s="107">
        <v>0</v>
      </c>
      <c r="F30" s="70">
        <v>0</v>
      </c>
      <c r="G30" s="70">
        <v>0</v>
      </c>
      <c r="H30" s="70">
        <v>0</v>
      </c>
    </row>
    <row r="31" spans="1:8" ht="14.1" customHeight="1" x14ac:dyDescent="0.2">
      <c r="A31" s="284" t="s">
        <v>129</v>
      </c>
      <c r="B31" s="291">
        <v>2381</v>
      </c>
      <c r="C31" s="291">
        <v>0</v>
      </c>
      <c r="D31" s="292">
        <v>0</v>
      </c>
      <c r="E31" s="293">
        <v>444</v>
      </c>
      <c r="F31" s="291">
        <v>0</v>
      </c>
      <c r="G31" s="291">
        <v>280</v>
      </c>
      <c r="H31" s="291">
        <v>0</v>
      </c>
    </row>
    <row r="32" spans="1:8" ht="14.1" customHeight="1" x14ac:dyDescent="0.2">
      <c r="A32" s="19" t="s">
        <v>130</v>
      </c>
      <c r="B32" s="70">
        <v>1724.7999999999997</v>
      </c>
      <c r="C32" s="70">
        <v>0</v>
      </c>
      <c r="D32" s="106">
        <v>120.5</v>
      </c>
      <c r="E32" s="107">
        <v>134.5</v>
      </c>
      <c r="F32" s="70">
        <v>0</v>
      </c>
      <c r="G32" s="70">
        <v>54</v>
      </c>
      <c r="H32" s="70">
        <v>0</v>
      </c>
    </row>
    <row r="33" spans="1:10" ht="14.1" customHeight="1" x14ac:dyDescent="0.2">
      <c r="A33" s="284" t="s">
        <v>131</v>
      </c>
      <c r="B33" s="291">
        <v>1624.6</v>
      </c>
      <c r="C33" s="291">
        <v>0</v>
      </c>
      <c r="D33" s="292">
        <v>0</v>
      </c>
      <c r="E33" s="293">
        <v>161.5</v>
      </c>
      <c r="F33" s="291">
        <v>94.5</v>
      </c>
      <c r="G33" s="291">
        <v>87</v>
      </c>
      <c r="H33" s="291">
        <v>0</v>
      </c>
    </row>
    <row r="34" spans="1:10" ht="14.1" customHeight="1" x14ac:dyDescent="0.2">
      <c r="A34" s="19" t="s">
        <v>132</v>
      </c>
      <c r="B34" s="70">
        <v>1595.7</v>
      </c>
      <c r="C34" s="70">
        <v>0</v>
      </c>
      <c r="D34" s="106">
        <v>218.4</v>
      </c>
      <c r="E34" s="107">
        <v>70</v>
      </c>
      <c r="F34" s="70">
        <v>132</v>
      </c>
      <c r="G34" s="70">
        <v>0</v>
      </c>
      <c r="H34" s="70">
        <v>0</v>
      </c>
    </row>
    <row r="35" spans="1:10" ht="14.1" customHeight="1" x14ac:dyDescent="0.2">
      <c r="A35" s="284" t="s">
        <v>133</v>
      </c>
      <c r="B35" s="291">
        <v>9175</v>
      </c>
      <c r="C35" s="291">
        <v>0</v>
      </c>
      <c r="D35" s="292">
        <v>1223</v>
      </c>
      <c r="E35" s="293">
        <v>2519.5</v>
      </c>
      <c r="F35" s="291">
        <v>0</v>
      </c>
      <c r="G35" s="291">
        <v>1663.5</v>
      </c>
      <c r="H35" s="291">
        <v>378</v>
      </c>
    </row>
    <row r="36" spans="1:10" ht="14.1" customHeight="1" x14ac:dyDescent="0.2">
      <c r="A36" s="19" t="s">
        <v>134</v>
      </c>
      <c r="B36" s="70">
        <v>1659.9</v>
      </c>
      <c r="C36" s="70">
        <v>0</v>
      </c>
      <c r="D36" s="106">
        <v>0</v>
      </c>
      <c r="E36" s="107">
        <v>0</v>
      </c>
      <c r="F36" s="70">
        <v>0</v>
      </c>
      <c r="G36" s="70">
        <v>0</v>
      </c>
      <c r="H36" s="70">
        <v>0</v>
      </c>
    </row>
    <row r="37" spans="1:10" ht="14.1" customHeight="1" x14ac:dyDescent="0.2">
      <c r="A37" s="284" t="s">
        <v>135</v>
      </c>
      <c r="B37" s="291">
        <v>2111.5</v>
      </c>
      <c r="C37" s="291">
        <v>0</v>
      </c>
      <c r="D37" s="292">
        <v>756</v>
      </c>
      <c r="E37" s="293">
        <v>765</v>
      </c>
      <c r="F37" s="291">
        <v>0</v>
      </c>
      <c r="G37" s="291">
        <v>550.5</v>
      </c>
      <c r="H37" s="291">
        <v>0</v>
      </c>
    </row>
    <row r="38" spans="1:10" ht="14.1" customHeight="1" x14ac:dyDescent="0.2">
      <c r="A38" s="19" t="s">
        <v>136</v>
      </c>
      <c r="B38" s="70">
        <v>6260.7</v>
      </c>
      <c r="C38" s="70">
        <v>0</v>
      </c>
      <c r="D38" s="106">
        <v>580</v>
      </c>
      <c r="E38" s="107">
        <v>2408.1</v>
      </c>
      <c r="F38" s="70">
        <v>0</v>
      </c>
      <c r="G38" s="70">
        <v>1186</v>
      </c>
      <c r="H38" s="70">
        <v>393</v>
      </c>
    </row>
    <row r="39" spans="1:10" ht="14.1" customHeight="1" x14ac:dyDescent="0.2">
      <c r="A39" s="284" t="s">
        <v>137</v>
      </c>
      <c r="B39" s="291">
        <v>1454</v>
      </c>
      <c r="C39" s="291">
        <v>0</v>
      </c>
      <c r="D39" s="292">
        <v>0</v>
      </c>
      <c r="E39" s="293">
        <v>0</v>
      </c>
      <c r="F39" s="291">
        <v>0</v>
      </c>
      <c r="G39" s="291">
        <v>0</v>
      </c>
      <c r="H39" s="291">
        <v>0</v>
      </c>
    </row>
    <row r="40" spans="1:10" ht="14.1" customHeight="1" x14ac:dyDescent="0.2">
      <c r="A40" s="19" t="s">
        <v>138</v>
      </c>
      <c r="B40" s="70">
        <v>5526.5</v>
      </c>
      <c r="C40" s="70">
        <v>0</v>
      </c>
      <c r="D40" s="106">
        <v>931</v>
      </c>
      <c r="E40" s="107">
        <v>936.9</v>
      </c>
      <c r="F40" s="70">
        <v>0</v>
      </c>
      <c r="G40" s="70">
        <v>601.70000000000005</v>
      </c>
      <c r="H40" s="70">
        <v>0</v>
      </c>
    </row>
    <row r="41" spans="1:10" ht="14.1" customHeight="1" x14ac:dyDescent="0.2">
      <c r="A41" s="284" t="s">
        <v>139</v>
      </c>
      <c r="B41" s="291">
        <v>2077</v>
      </c>
      <c r="C41" s="291">
        <v>0</v>
      </c>
      <c r="D41" s="292">
        <v>0</v>
      </c>
      <c r="E41" s="293">
        <v>1638</v>
      </c>
      <c r="F41" s="291">
        <v>0</v>
      </c>
      <c r="G41" s="291">
        <v>674.5</v>
      </c>
      <c r="H41" s="291">
        <v>69</v>
      </c>
    </row>
    <row r="42" spans="1:10" ht="14.1" customHeight="1" x14ac:dyDescent="0.2">
      <c r="A42" s="19" t="s">
        <v>140</v>
      </c>
      <c r="B42" s="70">
        <v>1004.1</v>
      </c>
      <c r="C42" s="70">
        <v>0</v>
      </c>
      <c r="D42" s="106">
        <v>0</v>
      </c>
      <c r="E42" s="107">
        <v>167</v>
      </c>
      <c r="F42" s="70">
        <v>0</v>
      </c>
      <c r="G42" s="70">
        <v>80.5</v>
      </c>
      <c r="H42" s="70">
        <v>0</v>
      </c>
    </row>
    <row r="43" spans="1:10" ht="14.1" customHeight="1" x14ac:dyDescent="0.2">
      <c r="A43" s="284" t="s">
        <v>141</v>
      </c>
      <c r="B43" s="291">
        <v>941.7</v>
      </c>
      <c r="C43" s="291">
        <v>0</v>
      </c>
      <c r="D43" s="292">
        <v>0</v>
      </c>
      <c r="E43" s="293">
        <v>0</v>
      </c>
      <c r="F43" s="291">
        <v>0</v>
      </c>
      <c r="G43" s="291">
        <v>0</v>
      </c>
      <c r="H43" s="291">
        <v>0</v>
      </c>
    </row>
    <row r="44" spans="1:10" ht="14.1" customHeight="1" x14ac:dyDescent="0.2">
      <c r="A44" s="19" t="s">
        <v>142</v>
      </c>
      <c r="B44" s="70">
        <v>662</v>
      </c>
      <c r="C44" s="70">
        <v>0</v>
      </c>
      <c r="D44" s="106">
        <v>31.5</v>
      </c>
      <c r="E44" s="107">
        <v>0</v>
      </c>
      <c r="F44" s="70">
        <v>0</v>
      </c>
      <c r="G44" s="70">
        <v>0</v>
      </c>
      <c r="H44" s="70">
        <v>0</v>
      </c>
    </row>
    <row r="45" spans="1:10" ht="14.1" customHeight="1" x14ac:dyDescent="0.2">
      <c r="A45" s="284" t="s">
        <v>143</v>
      </c>
      <c r="B45" s="291">
        <v>751.5</v>
      </c>
      <c r="C45" s="291">
        <v>0</v>
      </c>
      <c r="D45" s="292">
        <v>0</v>
      </c>
      <c r="E45" s="293">
        <v>665</v>
      </c>
      <c r="F45" s="291">
        <v>0</v>
      </c>
      <c r="G45" s="291">
        <v>226.5</v>
      </c>
      <c r="H45" s="291">
        <v>0</v>
      </c>
    </row>
    <row r="46" spans="1:10" ht="14.1" customHeight="1" x14ac:dyDescent="0.2">
      <c r="A46" s="19" t="s">
        <v>144</v>
      </c>
      <c r="B46" s="70">
        <v>22120.9</v>
      </c>
      <c r="C46" s="70">
        <v>0</v>
      </c>
      <c r="D46" s="106">
        <v>1303</v>
      </c>
      <c r="E46" s="107">
        <v>3021.5</v>
      </c>
      <c r="F46" s="70">
        <v>0</v>
      </c>
      <c r="G46" s="70">
        <v>2487.5</v>
      </c>
      <c r="H46" s="70">
        <v>248</v>
      </c>
    </row>
    <row r="47" spans="1:10" ht="5.0999999999999996" customHeight="1" x14ac:dyDescent="0.2">
      <c r="A47"/>
      <c r="B47"/>
      <c r="C47"/>
      <c r="D47"/>
      <c r="E47"/>
      <c r="F47"/>
      <c r="G47"/>
      <c r="H47"/>
      <c r="I47"/>
      <c r="J47"/>
    </row>
    <row r="48" spans="1:10" ht="14.1" customHeight="1" x14ac:dyDescent="0.2">
      <c r="A48" s="286" t="s">
        <v>145</v>
      </c>
      <c r="B48" s="294">
        <f t="shared" ref="B48:H48" si="0">SUM(B11:B46)</f>
        <v>124039.06</v>
      </c>
      <c r="C48" s="294">
        <f t="shared" si="0"/>
        <v>5467</v>
      </c>
      <c r="D48" s="295">
        <f t="shared" si="0"/>
        <v>11619.8</v>
      </c>
      <c r="E48" s="296">
        <f t="shared" si="0"/>
        <v>18457.900000000001</v>
      </c>
      <c r="F48" s="294">
        <f t="shared" si="0"/>
        <v>226.5</v>
      </c>
      <c r="G48" s="294">
        <f t="shared" si="0"/>
        <v>10640.7</v>
      </c>
      <c r="H48" s="294">
        <f t="shared" si="0"/>
        <v>1243.5</v>
      </c>
    </row>
    <row r="49" spans="1:8" ht="5.0999999999999996" customHeight="1" x14ac:dyDescent="0.2">
      <c r="A49" s="21" t="s">
        <v>7</v>
      </c>
      <c r="B49" s="71"/>
      <c r="C49" s="71"/>
      <c r="D49" s="71"/>
      <c r="E49" s="71"/>
      <c r="F49" s="71"/>
      <c r="G49" s="71"/>
      <c r="H49" s="71"/>
    </row>
    <row r="50" spans="1:8" ht="14.1" customHeight="1" x14ac:dyDescent="0.2">
      <c r="A50" s="19" t="s">
        <v>146</v>
      </c>
      <c r="B50" s="70">
        <v>155</v>
      </c>
      <c r="C50" s="70">
        <v>0</v>
      </c>
      <c r="D50" s="106">
        <v>0</v>
      </c>
      <c r="E50" s="107">
        <v>0</v>
      </c>
      <c r="F50" s="70">
        <v>0</v>
      </c>
      <c r="G50" s="70">
        <v>0</v>
      </c>
      <c r="H50" s="70">
        <v>0</v>
      </c>
    </row>
    <row r="51" spans="1:8" ht="14.1" customHeight="1" x14ac:dyDescent="0.2">
      <c r="A51" s="284" t="s">
        <v>609</v>
      </c>
      <c r="B51" s="291">
        <v>120</v>
      </c>
      <c r="C51" s="291">
        <v>0</v>
      </c>
      <c r="D51" s="292">
        <v>0</v>
      </c>
      <c r="E51" s="293">
        <v>0</v>
      </c>
      <c r="F51" s="291">
        <v>0</v>
      </c>
      <c r="G51" s="291">
        <v>0</v>
      </c>
      <c r="H51" s="291">
        <v>0</v>
      </c>
    </row>
    <row r="52" spans="1:8" ht="50.1" customHeight="1" x14ac:dyDescent="0.2">
      <c r="A52" s="23"/>
      <c r="B52" s="108"/>
      <c r="C52" s="108"/>
      <c r="D52" s="108"/>
      <c r="E52" s="108"/>
      <c r="F52" s="108"/>
      <c r="G52" s="108"/>
      <c r="H52" s="108"/>
    </row>
    <row r="53" spans="1:8" ht="15" customHeight="1" x14ac:dyDescent="0.2">
      <c r="A53" s="85" t="s">
        <v>337</v>
      </c>
      <c r="C53" s="85"/>
      <c r="D53" s="85"/>
      <c r="E53" s="85"/>
      <c r="F53" s="85"/>
      <c r="G53" s="85"/>
      <c r="H53" s="85"/>
    </row>
    <row r="54" spans="1:8" ht="12" customHeight="1" x14ac:dyDescent="0.2">
      <c r="A54" s="85" t="s">
        <v>338</v>
      </c>
      <c r="C54" s="85"/>
      <c r="D54" s="85"/>
      <c r="E54" s="85"/>
      <c r="F54" s="85"/>
      <c r="G54" s="85"/>
      <c r="H54" s="85"/>
    </row>
  </sheetData>
  <mergeCells count="5">
    <mergeCell ref="B8:B9"/>
    <mergeCell ref="D8:D9"/>
    <mergeCell ref="E8:E9"/>
    <mergeCell ref="G8:G9"/>
    <mergeCell ref="H8:H9"/>
  </mergeCells>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F56"/>
  <sheetViews>
    <sheetView showGridLines="0" showZeros="0" workbookViewId="0"/>
  </sheetViews>
  <sheetFormatPr defaultColWidth="19.83203125" defaultRowHeight="12" x14ac:dyDescent="0.2"/>
  <cols>
    <col min="1" max="1" width="34.83203125" style="2" customWidth="1"/>
    <col min="2" max="2" width="19.83203125" style="2" customWidth="1"/>
    <col min="3" max="4" width="19.33203125" style="2" customWidth="1"/>
    <col min="5" max="16384" width="19.83203125" style="2"/>
  </cols>
  <sheetData>
    <row r="1" spans="1:6" ht="6.95" customHeight="1" x14ac:dyDescent="0.2">
      <c r="A1" s="7"/>
    </row>
    <row r="2" spans="1:6" ht="15.95" customHeight="1" x14ac:dyDescent="0.2">
      <c r="A2" s="134"/>
      <c r="B2" s="736" t="str">
        <f>'- 46 -'!B2:C3</f>
        <v>CAPITAL FUND 2016/2017 ACTUAL</v>
      </c>
      <c r="C2" s="736"/>
      <c r="D2" s="736"/>
      <c r="E2" s="736"/>
      <c r="F2" s="231" t="s">
        <v>253</v>
      </c>
    </row>
    <row r="3" spans="1:6" ht="15.95" customHeight="1" x14ac:dyDescent="0.2">
      <c r="A3" s="541"/>
      <c r="B3" s="737" t="s">
        <v>148</v>
      </c>
      <c r="C3" s="737"/>
      <c r="D3" s="737"/>
      <c r="E3" s="737"/>
      <c r="F3" s="226"/>
    </row>
    <row r="4" spans="1:6" ht="15.95" customHeight="1" x14ac:dyDescent="0.2">
      <c r="B4" s="8"/>
      <c r="C4" s="8"/>
      <c r="D4" s="8"/>
      <c r="E4" s="8"/>
    </row>
    <row r="5" spans="1:6" ht="15.95" customHeight="1" x14ac:dyDescent="0.2">
      <c r="B5" s="8"/>
      <c r="C5" s="8"/>
      <c r="D5" s="8"/>
      <c r="E5" s="8"/>
    </row>
    <row r="6" spans="1:6" ht="15.95" customHeight="1" x14ac:dyDescent="0.2">
      <c r="B6" s="405" t="s">
        <v>1</v>
      </c>
      <c r="C6" s="173"/>
      <c r="D6" s="444"/>
      <c r="E6" s="174"/>
    </row>
    <row r="7" spans="1:6" ht="15.95" customHeight="1" x14ac:dyDescent="0.2">
      <c r="B7" s="406"/>
      <c r="C7" s="406"/>
      <c r="D7" s="740" t="s">
        <v>537</v>
      </c>
      <c r="E7" s="406"/>
    </row>
    <row r="8" spans="1:6" ht="15.95" customHeight="1" x14ac:dyDescent="0.2">
      <c r="A8" s="403"/>
      <c r="B8" s="407"/>
      <c r="C8" s="738" t="s">
        <v>536</v>
      </c>
      <c r="D8" s="738"/>
      <c r="E8" s="738" t="s">
        <v>539</v>
      </c>
    </row>
    <row r="9" spans="1:6" ht="15.95" customHeight="1" x14ac:dyDescent="0.2">
      <c r="A9" s="404" t="s">
        <v>42</v>
      </c>
      <c r="B9" s="431" t="s">
        <v>273</v>
      </c>
      <c r="C9" s="739"/>
      <c r="D9" s="739"/>
      <c r="E9" s="739"/>
    </row>
    <row r="10" spans="1:6" ht="5.0999999999999996" customHeight="1" x14ac:dyDescent="0.2">
      <c r="A10" s="6"/>
      <c r="B10" s="207"/>
      <c r="C10" s="207"/>
      <c r="D10" s="207"/>
      <c r="E10" s="207"/>
    </row>
    <row r="11" spans="1:6" ht="14.1" customHeight="1" x14ac:dyDescent="0.2">
      <c r="A11" s="284" t="s">
        <v>110</v>
      </c>
      <c r="B11" s="285">
        <v>1167668</v>
      </c>
      <c r="C11" s="285">
        <v>801420</v>
      </c>
      <c r="D11" s="285">
        <v>8256</v>
      </c>
      <c r="E11" s="285">
        <f t="shared" ref="E11:E46" si="0">SUM(B11:D11)</f>
        <v>1977344</v>
      </c>
    </row>
    <row r="12" spans="1:6" ht="14.1" customHeight="1" x14ac:dyDescent="0.2">
      <c r="A12" s="19" t="s">
        <v>111</v>
      </c>
      <c r="B12" s="20">
        <v>2094047</v>
      </c>
      <c r="C12" s="20">
        <v>460706</v>
      </c>
      <c r="D12" s="20">
        <v>0</v>
      </c>
      <c r="E12" s="20">
        <f t="shared" si="0"/>
        <v>2554753</v>
      </c>
    </row>
    <row r="13" spans="1:6" ht="14.1" customHeight="1" x14ac:dyDescent="0.2">
      <c r="A13" s="284" t="s">
        <v>112</v>
      </c>
      <c r="B13" s="285">
        <v>2794537</v>
      </c>
      <c r="C13" s="285">
        <v>1328625</v>
      </c>
      <c r="D13" s="285">
        <v>18036</v>
      </c>
      <c r="E13" s="285">
        <f t="shared" si="0"/>
        <v>4141198</v>
      </c>
    </row>
    <row r="14" spans="1:6" ht="14.1" customHeight="1" x14ac:dyDescent="0.2">
      <c r="A14" s="19" t="s">
        <v>359</v>
      </c>
      <c r="B14" s="20">
        <v>3083840</v>
      </c>
      <c r="C14" s="20">
        <v>2207786</v>
      </c>
      <c r="D14" s="20">
        <v>13760</v>
      </c>
      <c r="E14" s="20">
        <f t="shared" si="0"/>
        <v>5305386</v>
      </c>
    </row>
    <row r="15" spans="1:6" ht="14.1" customHeight="1" x14ac:dyDescent="0.2">
      <c r="A15" s="284" t="s">
        <v>113</v>
      </c>
      <c r="B15" s="285">
        <v>1565924</v>
      </c>
      <c r="C15" s="285">
        <v>752405</v>
      </c>
      <c r="D15" s="285">
        <v>0</v>
      </c>
      <c r="E15" s="285">
        <f t="shared" si="0"/>
        <v>2318329</v>
      </c>
    </row>
    <row r="16" spans="1:6" ht="14.1" customHeight="1" x14ac:dyDescent="0.2">
      <c r="A16" s="19" t="s">
        <v>114</v>
      </c>
      <c r="B16" s="20">
        <v>287722</v>
      </c>
      <c r="C16" s="20">
        <v>122384</v>
      </c>
      <c r="D16" s="20">
        <v>0</v>
      </c>
      <c r="E16" s="20">
        <f t="shared" si="0"/>
        <v>410106</v>
      </c>
    </row>
    <row r="17" spans="1:5" ht="14.1" customHeight="1" x14ac:dyDescent="0.2">
      <c r="A17" s="284" t="s">
        <v>115</v>
      </c>
      <c r="B17" s="285">
        <v>1086909</v>
      </c>
      <c r="C17" s="285">
        <v>454579</v>
      </c>
      <c r="D17" s="285">
        <v>3000</v>
      </c>
      <c r="E17" s="285">
        <f t="shared" si="0"/>
        <v>1544488</v>
      </c>
    </row>
    <row r="18" spans="1:5" ht="14.1" customHeight="1" x14ac:dyDescent="0.2">
      <c r="A18" s="19" t="s">
        <v>116</v>
      </c>
      <c r="B18" s="20">
        <v>4035332</v>
      </c>
      <c r="C18" s="20">
        <v>2285516</v>
      </c>
      <c r="D18" s="20">
        <v>0</v>
      </c>
      <c r="E18" s="20">
        <f t="shared" si="0"/>
        <v>6320848</v>
      </c>
    </row>
    <row r="19" spans="1:5" ht="14.1" customHeight="1" x14ac:dyDescent="0.2">
      <c r="A19" s="284" t="s">
        <v>117</v>
      </c>
      <c r="B19" s="285">
        <v>3894111</v>
      </c>
      <c r="C19" s="285">
        <v>2859785</v>
      </c>
      <c r="D19" s="285">
        <v>10892</v>
      </c>
      <c r="E19" s="285">
        <f t="shared" si="0"/>
        <v>6764788</v>
      </c>
    </row>
    <row r="20" spans="1:5" ht="14.1" customHeight="1" x14ac:dyDescent="0.2">
      <c r="A20" s="19" t="s">
        <v>118</v>
      </c>
      <c r="B20" s="20">
        <v>4930300</v>
      </c>
      <c r="C20" s="20">
        <v>3987523</v>
      </c>
      <c r="D20" s="20">
        <v>-28406</v>
      </c>
      <c r="E20" s="20">
        <f t="shared" si="0"/>
        <v>8889417</v>
      </c>
    </row>
    <row r="21" spans="1:5" ht="14.1" customHeight="1" x14ac:dyDescent="0.2">
      <c r="A21" s="284" t="s">
        <v>119</v>
      </c>
      <c r="B21" s="285">
        <v>1573951</v>
      </c>
      <c r="C21" s="285">
        <v>874714</v>
      </c>
      <c r="D21" s="285">
        <v>133242</v>
      </c>
      <c r="E21" s="285">
        <f t="shared" si="0"/>
        <v>2581907</v>
      </c>
    </row>
    <row r="22" spans="1:5" ht="14.1" customHeight="1" x14ac:dyDescent="0.2">
      <c r="A22" s="19" t="s">
        <v>120</v>
      </c>
      <c r="B22" s="20">
        <v>966292</v>
      </c>
      <c r="C22" s="20">
        <v>819153</v>
      </c>
      <c r="D22" s="20">
        <v>62600</v>
      </c>
      <c r="E22" s="20">
        <f t="shared" si="0"/>
        <v>1848045</v>
      </c>
    </row>
    <row r="23" spans="1:5" ht="14.1" customHeight="1" x14ac:dyDescent="0.2">
      <c r="A23" s="284" t="s">
        <v>121</v>
      </c>
      <c r="B23" s="285">
        <v>858843</v>
      </c>
      <c r="C23" s="285">
        <v>534533</v>
      </c>
      <c r="D23" s="285">
        <v>0</v>
      </c>
      <c r="E23" s="285">
        <f t="shared" si="0"/>
        <v>1393376</v>
      </c>
    </row>
    <row r="24" spans="1:5" ht="14.1" customHeight="1" x14ac:dyDescent="0.2">
      <c r="A24" s="19" t="s">
        <v>122</v>
      </c>
      <c r="B24" s="20">
        <v>2648069</v>
      </c>
      <c r="C24" s="20">
        <v>1254635</v>
      </c>
      <c r="D24" s="20">
        <v>3941</v>
      </c>
      <c r="E24" s="20">
        <f t="shared" si="0"/>
        <v>3906645</v>
      </c>
    </row>
    <row r="25" spans="1:5" ht="14.1" customHeight="1" x14ac:dyDescent="0.2">
      <c r="A25" s="284" t="s">
        <v>123</v>
      </c>
      <c r="B25" s="285">
        <v>4374222</v>
      </c>
      <c r="C25" s="285">
        <v>1762672</v>
      </c>
      <c r="D25" s="285">
        <v>0</v>
      </c>
      <c r="E25" s="285">
        <f t="shared" si="0"/>
        <v>6136894</v>
      </c>
    </row>
    <row r="26" spans="1:5" ht="14.1" customHeight="1" x14ac:dyDescent="0.2">
      <c r="A26" s="19" t="s">
        <v>124</v>
      </c>
      <c r="B26" s="20">
        <v>1965599</v>
      </c>
      <c r="C26" s="20">
        <v>1149040</v>
      </c>
      <c r="D26" s="20">
        <v>0</v>
      </c>
      <c r="E26" s="20">
        <f t="shared" si="0"/>
        <v>3114639</v>
      </c>
    </row>
    <row r="27" spans="1:5" ht="14.1" customHeight="1" x14ac:dyDescent="0.2">
      <c r="A27" s="284" t="s">
        <v>125</v>
      </c>
      <c r="B27" s="285">
        <v>988786</v>
      </c>
      <c r="C27" s="285">
        <v>451984</v>
      </c>
      <c r="D27" s="285">
        <v>0</v>
      </c>
      <c r="E27" s="285">
        <f t="shared" si="0"/>
        <v>1440770</v>
      </c>
    </row>
    <row r="28" spans="1:5" ht="14.1" customHeight="1" x14ac:dyDescent="0.2">
      <c r="A28" s="19" t="s">
        <v>126</v>
      </c>
      <c r="B28" s="20">
        <v>938128</v>
      </c>
      <c r="C28" s="20">
        <v>450544</v>
      </c>
      <c r="D28" s="20">
        <v>0</v>
      </c>
      <c r="E28" s="20">
        <f t="shared" si="0"/>
        <v>1388672</v>
      </c>
    </row>
    <row r="29" spans="1:5" ht="14.1" customHeight="1" x14ac:dyDescent="0.2">
      <c r="A29" s="284" t="s">
        <v>127</v>
      </c>
      <c r="B29" s="285">
        <v>4216242</v>
      </c>
      <c r="C29" s="285">
        <v>2767451</v>
      </c>
      <c r="D29" s="285">
        <v>998349</v>
      </c>
      <c r="E29" s="285">
        <f t="shared" si="0"/>
        <v>7982042</v>
      </c>
    </row>
    <row r="30" spans="1:5" ht="14.1" customHeight="1" x14ac:dyDescent="0.2">
      <c r="A30" s="19" t="s">
        <v>128</v>
      </c>
      <c r="B30" s="20">
        <v>536363</v>
      </c>
      <c r="C30" s="20">
        <v>155849</v>
      </c>
      <c r="D30" s="20">
        <v>9063</v>
      </c>
      <c r="E30" s="20">
        <f t="shared" si="0"/>
        <v>701275</v>
      </c>
    </row>
    <row r="31" spans="1:5" ht="14.1" customHeight="1" x14ac:dyDescent="0.2">
      <c r="A31" s="284" t="s">
        <v>129</v>
      </c>
      <c r="B31" s="285">
        <v>1456470</v>
      </c>
      <c r="C31" s="285">
        <v>429233</v>
      </c>
      <c r="D31" s="285">
        <v>0</v>
      </c>
      <c r="E31" s="285">
        <f t="shared" si="0"/>
        <v>1885703</v>
      </c>
    </row>
    <row r="32" spans="1:5" ht="14.1" customHeight="1" x14ac:dyDescent="0.2">
      <c r="A32" s="19" t="s">
        <v>130</v>
      </c>
      <c r="B32" s="20">
        <v>1159717</v>
      </c>
      <c r="C32" s="20">
        <v>415019</v>
      </c>
      <c r="D32" s="20">
        <v>0</v>
      </c>
      <c r="E32" s="20">
        <f t="shared" si="0"/>
        <v>1574736</v>
      </c>
    </row>
    <row r="33" spans="1:5" ht="14.1" customHeight="1" x14ac:dyDescent="0.2">
      <c r="A33" s="284" t="s">
        <v>131</v>
      </c>
      <c r="B33" s="285">
        <v>1514471</v>
      </c>
      <c r="C33" s="285">
        <v>323570</v>
      </c>
      <c r="D33" s="285">
        <v>0</v>
      </c>
      <c r="E33" s="285">
        <f t="shared" si="0"/>
        <v>1838041</v>
      </c>
    </row>
    <row r="34" spans="1:5" ht="14.1" customHeight="1" x14ac:dyDescent="0.2">
      <c r="A34" s="19" t="s">
        <v>132</v>
      </c>
      <c r="B34" s="20">
        <v>1510641</v>
      </c>
      <c r="C34" s="20">
        <v>601506</v>
      </c>
      <c r="D34" s="20">
        <v>0</v>
      </c>
      <c r="E34" s="20">
        <f t="shared" si="0"/>
        <v>2112147</v>
      </c>
    </row>
    <row r="35" spans="1:5" ht="14.1" customHeight="1" x14ac:dyDescent="0.2">
      <c r="A35" s="284" t="s">
        <v>133</v>
      </c>
      <c r="B35" s="285">
        <v>6438125</v>
      </c>
      <c r="C35" s="285">
        <v>2249708</v>
      </c>
      <c r="D35" s="285">
        <v>283010</v>
      </c>
      <c r="E35" s="285">
        <f t="shared" si="0"/>
        <v>8970843</v>
      </c>
    </row>
    <row r="36" spans="1:5" ht="14.1" customHeight="1" x14ac:dyDescent="0.2">
      <c r="A36" s="19" t="s">
        <v>134</v>
      </c>
      <c r="B36" s="20">
        <v>1094555</v>
      </c>
      <c r="C36" s="20">
        <v>283523</v>
      </c>
      <c r="D36" s="20">
        <v>0</v>
      </c>
      <c r="E36" s="20">
        <f t="shared" si="0"/>
        <v>1378078</v>
      </c>
    </row>
    <row r="37" spans="1:5" ht="14.1" customHeight="1" x14ac:dyDescent="0.2">
      <c r="A37" s="284" t="s">
        <v>135</v>
      </c>
      <c r="B37" s="285">
        <v>2222140</v>
      </c>
      <c r="C37" s="285">
        <v>1199605</v>
      </c>
      <c r="D37" s="285">
        <v>0</v>
      </c>
      <c r="E37" s="285">
        <f t="shared" si="0"/>
        <v>3421745</v>
      </c>
    </row>
    <row r="38" spans="1:5" ht="14.1" customHeight="1" x14ac:dyDescent="0.2">
      <c r="A38" s="19" t="s">
        <v>136</v>
      </c>
      <c r="B38" s="20">
        <v>5709597</v>
      </c>
      <c r="C38" s="20">
        <v>4215669</v>
      </c>
      <c r="D38" s="20">
        <v>222032</v>
      </c>
      <c r="E38" s="20">
        <f t="shared" si="0"/>
        <v>10147298</v>
      </c>
    </row>
    <row r="39" spans="1:5" ht="14.1" customHeight="1" x14ac:dyDescent="0.2">
      <c r="A39" s="284" t="s">
        <v>137</v>
      </c>
      <c r="B39" s="285">
        <v>1452194</v>
      </c>
      <c r="C39" s="285">
        <v>801622</v>
      </c>
      <c r="D39" s="285">
        <v>0</v>
      </c>
      <c r="E39" s="285">
        <f t="shared" si="0"/>
        <v>2253816</v>
      </c>
    </row>
    <row r="40" spans="1:5" ht="14.1" customHeight="1" x14ac:dyDescent="0.2">
      <c r="A40" s="19" t="s">
        <v>138</v>
      </c>
      <c r="B40" s="20">
        <v>3382004</v>
      </c>
      <c r="C40" s="20">
        <v>1040784</v>
      </c>
      <c r="D40" s="20">
        <v>8256</v>
      </c>
      <c r="E40" s="20">
        <f t="shared" si="0"/>
        <v>4431044</v>
      </c>
    </row>
    <row r="41" spans="1:5" ht="14.1" customHeight="1" x14ac:dyDescent="0.2">
      <c r="A41" s="284" t="s">
        <v>139</v>
      </c>
      <c r="B41" s="285">
        <v>3070063</v>
      </c>
      <c r="C41" s="285">
        <v>1010262</v>
      </c>
      <c r="D41" s="285">
        <v>10309</v>
      </c>
      <c r="E41" s="285">
        <f t="shared" si="0"/>
        <v>4090634</v>
      </c>
    </row>
    <row r="42" spans="1:5" ht="14.1" customHeight="1" x14ac:dyDescent="0.2">
      <c r="A42" s="19" t="s">
        <v>140</v>
      </c>
      <c r="B42" s="20">
        <v>1384823</v>
      </c>
      <c r="C42" s="20">
        <v>594823</v>
      </c>
      <c r="D42" s="20">
        <v>33823</v>
      </c>
      <c r="E42" s="20">
        <f t="shared" si="0"/>
        <v>2013469</v>
      </c>
    </row>
    <row r="43" spans="1:5" ht="14.1" customHeight="1" x14ac:dyDescent="0.2">
      <c r="A43" s="284" t="s">
        <v>141</v>
      </c>
      <c r="B43" s="285">
        <v>599207</v>
      </c>
      <c r="C43" s="285">
        <v>284390</v>
      </c>
      <c r="D43" s="285">
        <v>0</v>
      </c>
      <c r="E43" s="285">
        <f t="shared" si="0"/>
        <v>883597</v>
      </c>
    </row>
    <row r="44" spans="1:5" ht="14.1" customHeight="1" x14ac:dyDescent="0.2">
      <c r="A44" s="19" t="s">
        <v>142</v>
      </c>
      <c r="B44" s="20">
        <v>519759</v>
      </c>
      <c r="C44" s="20">
        <v>184776</v>
      </c>
      <c r="D44" s="20">
        <v>0</v>
      </c>
      <c r="E44" s="20">
        <f t="shared" si="0"/>
        <v>704535</v>
      </c>
    </row>
    <row r="45" spans="1:5" ht="14.1" customHeight="1" x14ac:dyDescent="0.2">
      <c r="A45" s="284" t="s">
        <v>143</v>
      </c>
      <c r="B45" s="285">
        <v>857219</v>
      </c>
      <c r="C45" s="285">
        <v>358001</v>
      </c>
      <c r="D45" s="285">
        <v>0</v>
      </c>
      <c r="E45" s="285">
        <f t="shared" si="0"/>
        <v>1215220</v>
      </c>
    </row>
    <row r="46" spans="1:5" ht="14.1" customHeight="1" x14ac:dyDescent="0.2">
      <c r="A46" s="19" t="s">
        <v>144</v>
      </c>
      <c r="B46" s="20">
        <v>10221686</v>
      </c>
      <c r="C46" s="20">
        <v>5266889</v>
      </c>
      <c r="D46" s="20">
        <v>17036</v>
      </c>
      <c r="E46" s="20">
        <f t="shared" si="0"/>
        <v>15505611</v>
      </c>
    </row>
    <row r="47" spans="1:5" ht="5.0999999999999996" customHeight="1" x14ac:dyDescent="0.2">
      <c r="A47" s="21"/>
      <c r="B47" s="22"/>
      <c r="C47" s="22"/>
      <c r="D47" s="22"/>
      <c r="E47" s="22"/>
    </row>
    <row r="48" spans="1:5" ht="14.1" customHeight="1" x14ac:dyDescent="0.2">
      <c r="A48" s="286" t="s">
        <v>145</v>
      </c>
      <c r="B48" s="287">
        <f>SUM(B11:B46)</f>
        <v>86599556</v>
      </c>
      <c r="C48" s="287">
        <f>SUM(C11:C46)</f>
        <v>44740684</v>
      </c>
      <c r="D48" s="287">
        <f>SUM(D11:D46)</f>
        <v>1807199</v>
      </c>
      <c r="E48" s="287">
        <f>SUM(E11:E46)</f>
        <v>133147439</v>
      </c>
    </row>
    <row r="49" spans="1:6" ht="5.0999999999999996" customHeight="1" x14ac:dyDescent="0.2">
      <c r="A49" s="21" t="s">
        <v>7</v>
      </c>
      <c r="B49" s="22"/>
      <c r="C49" s="22"/>
      <c r="D49" s="22"/>
      <c r="E49" s="22"/>
    </row>
    <row r="50" spans="1:6" ht="14.1" customHeight="1" x14ac:dyDescent="0.2">
      <c r="A50" s="19" t="s">
        <v>146</v>
      </c>
      <c r="B50" s="20">
        <v>87219</v>
      </c>
      <c r="C50" s="20">
        <v>0</v>
      </c>
      <c r="D50" s="20">
        <v>0</v>
      </c>
      <c r="E50" s="20">
        <f>SUM(B50:D50)</f>
        <v>87219</v>
      </c>
    </row>
    <row r="51" spans="1:6" ht="14.1" customHeight="1" x14ac:dyDescent="0.2">
      <c r="A51" s="284" t="s">
        <v>609</v>
      </c>
      <c r="B51" s="285">
        <v>1323149</v>
      </c>
      <c r="C51" s="285">
        <v>182453</v>
      </c>
      <c r="D51" s="285">
        <v>0</v>
      </c>
      <c r="E51" s="285">
        <f>SUM(B51:D51)</f>
        <v>1505602</v>
      </c>
    </row>
    <row r="52" spans="1:6" ht="50.1" customHeight="1" x14ac:dyDescent="0.2">
      <c r="A52" s="23"/>
      <c r="B52" s="23"/>
      <c r="C52" s="23"/>
      <c r="D52" s="23"/>
      <c r="E52" s="23"/>
      <c r="F52" s="23"/>
    </row>
    <row r="53" spans="1:6" x14ac:dyDescent="0.2">
      <c r="A53" s="434" t="s">
        <v>351</v>
      </c>
      <c r="B53" s="184"/>
      <c r="C53" s="184"/>
      <c r="D53" s="184"/>
      <c r="E53" s="184"/>
    </row>
    <row r="54" spans="1:6" x14ac:dyDescent="0.2">
      <c r="A54" s="442" t="s">
        <v>361</v>
      </c>
      <c r="B54" s="184"/>
      <c r="C54" s="184"/>
      <c r="D54" s="184"/>
      <c r="E54" s="184"/>
    </row>
    <row r="55" spans="1:6" x14ac:dyDescent="0.2">
      <c r="A55" s="434" t="s">
        <v>387</v>
      </c>
    </row>
    <row r="56" spans="1:6" x14ac:dyDescent="0.2">
      <c r="A56" s="434"/>
    </row>
  </sheetData>
  <mergeCells count="5">
    <mergeCell ref="B2:E2"/>
    <mergeCell ref="B3:E3"/>
    <mergeCell ref="C8:C9"/>
    <mergeCell ref="D7:D9"/>
    <mergeCell ref="E8:E9"/>
  </mergeCells>
  <phoneticPr fontId="6" type="noConversion"/>
  <hyperlinks>
    <hyperlink ref="A54" r:id="rId1" display="http://www.edu.gov.mb.ca/k12/finance/frame_manual/index.html"/>
  </hyperlinks>
  <pageMargins left="0.5" right="0.5" top="0.6" bottom="0.2" header="0.3" footer="0.5"/>
  <pageSetup scale="88" orientation="portrait" r:id="rId2"/>
  <headerFooter alignWithMargins="0">
    <oddHeader>&amp;C&amp;"Arial,Regular"&amp;11&amp;A</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F54"/>
  <sheetViews>
    <sheetView showGridLines="0" showZeros="0" workbookViewId="0"/>
  </sheetViews>
  <sheetFormatPr defaultColWidth="15.83203125" defaultRowHeight="12" x14ac:dyDescent="0.2"/>
  <cols>
    <col min="1" max="1" width="34.83203125" style="2" customWidth="1"/>
    <col min="2" max="4" width="22.83203125" style="2" customWidth="1"/>
    <col min="5" max="5" width="4.83203125" style="2" customWidth="1"/>
    <col min="6" max="6" width="25.83203125" style="2" customWidth="1"/>
    <col min="7" max="16384" width="15.83203125" style="2"/>
  </cols>
  <sheetData>
    <row r="1" spans="1:6" ht="6.95" customHeight="1" x14ac:dyDescent="0.2">
      <c r="A1" s="7"/>
      <c r="E1"/>
    </row>
    <row r="2" spans="1:6" ht="15.95" customHeight="1" x14ac:dyDescent="0.2">
      <c r="A2" s="134"/>
      <c r="B2" s="742" t="str">
        <f>"CAPITAL FUND "&amp;FALLYR&amp;"/"&amp;SPRINGYR&amp;" ACTUAL"</f>
        <v>CAPITAL FUND 2016/2017 ACTUAL</v>
      </c>
      <c r="C2" s="742"/>
      <c r="D2" s="742"/>
      <c r="E2" s="742"/>
      <c r="F2" s="231" t="s">
        <v>255</v>
      </c>
    </row>
    <row r="3" spans="1:6" ht="15.95" customHeight="1" x14ac:dyDescent="0.2">
      <c r="A3" s="541"/>
      <c r="B3" s="737" t="s">
        <v>0</v>
      </c>
      <c r="C3" s="743"/>
      <c r="D3" s="743"/>
      <c r="E3" s="743"/>
      <c r="F3" s="226"/>
    </row>
    <row r="4" spans="1:6" ht="15.95" customHeight="1" x14ac:dyDescent="0.2">
      <c r="B4" s="8"/>
      <c r="C4" s="8"/>
      <c r="D4" s="8"/>
      <c r="E4"/>
    </row>
    <row r="5" spans="1:6" ht="15.95" customHeight="1" x14ac:dyDescent="0.2">
      <c r="B5" s="8"/>
      <c r="C5" s="8"/>
      <c r="D5" s="8"/>
      <c r="E5" s="439"/>
    </row>
    <row r="6" spans="1:6" ht="15.95" customHeight="1" x14ac:dyDescent="0.2">
      <c r="B6" s="409" t="s">
        <v>2</v>
      </c>
      <c r="C6" s="435"/>
      <c r="D6" s="436"/>
      <c r="E6" s="439"/>
      <c r="F6" s="438" t="s">
        <v>47</v>
      </c>
    </row>
    <row r="7" spans="1:6" ht="15.95" customHeight="1" x14ac:dyDescent="0.2">
      <c r="B7" s="350"/>
      <c r="C7" s="350"/>
      <c r="D7" s="374"/>
      <c r="E7" s="439"/>
      <c r="F7" s="741" t="s">
        <v>543</v>
      </c>
    </row>
    <row r="8" spans="1:6" ht="15.95" customHeight="1" x14ac:dyDescent="0.2">
      <c r="A8" s="67"/>
      <c r="B8" s="744" t="s">
        <v>540</v>
      </c>
      <c r="C8" s="732" t="s">
        <v>541</v>
      </c>
      <c r="D8" s="732" t="s">
        <v>542</v>
      </c>
      <c r="E8" s="439"/>
      <c r="F8" s="732"/>
    </row>
    <row r="9" spans="1:6" ht="15.95" customHeight="1" x14ac:dyDescent="0.2">
      <c r="A9" s="35" t="s">
        <v>42</v>
      </c>
      <c r="B9" s="745"/>
      <c r="C9" s="635"/>
      <c r="D9" s="635"/>
      <c r="E9"/>
      <c r="F9" s="733"/>
    </row>
    <row r="10" spans="1:6" ht="5.0999999999999996" customHeight="1" x14ac:dyDescent="0.2">
      <c r="A10" s="6"/>
      <c r="B10" s="207"/>
      <c r="C10" s="207"/>
      <c r="D10" s="207"/>
      <c r="E10"/>
      <c r="F10" s="207"/>
    </row>
    <row r="11" spans="1:6" ht="14.1" customHeight="1" x14ac:dyDescent="0.2">
      <c r="A11" s="284" t="s">
        <v>110</v>
      </c>
      <c r="B11" s="285">
        <v>2314583</v>
      </c>
      <c r="C11" s="285">
        <v>500</v>
      </c>
      <c r="D11" s="285">
        <f t="shared" ref="D11:D46" si="0">SUM(B11:C11)</f>
        <v>2315083</v>
      </c>
      <c r="E11"/>
      <c r="F11" s="285">
        <v>725000</v>
      </c>
    </row>
    <row r="12" spans="1:6" ht="14.1" customHeight="1" x14ac:dyDescent="0.2">
      <c r="A12" s="19" t="s">
        <v>111</v>
      </c>
      <c r="B12" s="20">
        <v>1322503</v>
      </c>
      <c r="C12" s="20">
        <v>429</v>
      </c>
      <c r="D12" s="20">
        <f t="shared" si="0"/>
        <v>1322932</v>
      </c>
      <c r="E12"/>
      <c r="F12" s="20">
        <v>3647697</v>
      </c>
    </row>
    <row r="13" spans="1:6" ht="14.1" customHeight="1" x14ac:dyDescent="0.2">
      <c r="A13" s="284" t="s">
        <v>112</v>
      </c>
      <c r="B13" s="285">
        <v>3011470</v>
      </c>
      <c r="C13" s="285">
        <v>22584</v>
      </c>
      <c r="D13" s="285">
        <f t="shared" si="0"/>
        <v>3034054</v>
      </c>
      <c r="E13"/>
      <c r="F13" s="285">
        <v>2584651</v>
      </c>
    </row>
    <row r="14" spans="1:6" ht="14.1" customHeight="1" x14ac:dyDescent="0.2">
      <c r="A14" s="19" t="s">
        <v>359</v>
      </c>
      <c r="B14" s="20">
        <v>5444096</v>
      </c>
      <c r="C14" s="20">
        <v>824204</v>
      </c>
      <c r="D14" s="20">
        <f t="shared" si="0"/>
        <v>6268300</v>
      </c>
      <c r="E14"/>
      <c r="F14" s="20">
        <v>2679463</v>
      </c>
    </row>
    <row r="15" spans="1:6" ht="14.1" customHeight="1" x14ac:dyDescent="0.2">
      <c r="A15" s="284" t="s">
        <v>113</v>
      </c>
      <c r="B15" s="285">
        <v>1919511</v>
      </c>
      <c r="C15" s="285">
        <v>1875</v>
      </c>
      <c r="D15" s="285">
        <f t="shared" si="0"/>
        <v>1921386</v>
      </c>
      <c r="E15"/>
      <c r="F15" s="285">
        <v>1104452</v>
      </c>
    </row>
    <row r="16" spans="1:6" ht="14.1" customHeight="1" x14ac:dyDescent="0.2">
      <c r="A16" s="19" t="s">
        <v>114</v>
      </c>
      <c r="B16" s="20">
        <v>277481</v>
      </c>
      <c r="C16" s="20">
        <v>3000</v>
      </c>
      <c r="D16" s="20">
        <f t="shared" si="0"/>
        <v>280481</v>
      </c>
      <c r="E16"/>
      <c r="F16" s="20">
        <v>407162</v>
      </c>
    </row>
    <row r="17" spans="1:6" ht="14.1" customHeight="1" x14ac:dyDescent="0.2">
      <c r="A17" s="284" t="s">
        <v>115</v>
      </c>
      <c r="B17" s="285">
        <v>1163424</v>
      </c>
      <c r="C17" s="285">
        <v>72223</v>
      </c>
      <c r="D17" s="285">
        <f t="shared" si="0"/>
        <v>1235647</v>
      </c>
      <c r="E17"/>
      <c r="F17" s="285">
        <v>670838</v>
      </c>
    </row>
    <row r="18" spans="1:6" ht="14.1" customHeight="1" x14ac:dyDescent="0.2">
      <c r="A18" s="19" t="s">
        <v>116</v>
      </c>
      <c r="B18" s="20">
        <v>5518717</v>
      </c>
      <c r="C18" s="20">
        <v>1713648</v>
      </c>
      <c r="D18" s="20">
        <f t="shared" si="0"/>
        <v>7232365</v>
      </c>
      <c r="E18"/>
      <c r="F18" s="20">
        <v>1650000</v>
      </c>
    </row>
    <row r="19" spans="1:6" ht="14.1" customHeight="1" x14ac:dyDescent="0.2">
      <c r="A19" s="284" t="s">
        <v>117</v>
      </c>
      <c r="B19" s="285">
        <v>6220766</v>
      </c>
      <c r="C19" s="285">
        <v>20299</v>
      </c>
      <c r="D19" s="285">
        <f t="shared" si="0"/>
        <v>6241065</v>
      </c>
      <c r="E19"/>
      <c r="F19" s="285">
        <v>2052428</v>
      </c>
    </row>
    <row r="20" spans="1:6" ht="14.1" customHeight="1" x14ac:dyDescent="0.2">
      <c r="A20" s="19" t="s">
        <v>118</v>
      </c>
      <c r="B20" s="20">
        <v>8851729</v>
      </c>
      <c r="C20" s="20">
        <v>30129</v>
      </c>
      <c r="D20" s="20">
        <f t="shared" si="0"/>
        <v>8881858</v>
      </c>
      <c r="E20"/>
      <c r="F20" s="20">
        <v>2191886</v>
      </c>
    </row>
    <row r="21" spans="1:6" ht="14.1" customHeight="1" x14ac:dyDescent="0.2">
      <c r="A21" s="284" t="s">
        <v>119</v>
      </c>
      <c r="B21" s="285">
        <v>2025252</v>
      </c>
      <c r="C21" s="285">
        <v>6998</v>
      </c>
      <c r="D21" s="285">
        <f t="shared" si="0"/>
        <v>2032250</v>
      </c>
      <c r="E21"/>
      <c r="F21" s="285">
        <v>949332</v>
      </c>
    </row>
    <row r="22" spans="1:6" ht="14.1" customHeight="1" x14ac:dyDescent="0.2">
      <c r="A22" s="19" t="s">
        <v>120</v>
      </c>
      <c r="B22" s="20">
        <v>1744726</v>
      </c>
      <c r="C22" s="20">
        <v>16393928</v>
      </c>
      <c r="D22" s="20">
        <f t="shared" si="0"/>
        <v>18138654</v>
      </c>
      <c r="E22"/>
      <c r="F22" s="20">
        <v>71842</v>
      </c>
    </row>
    <row r="23" spans="1:6" ht="14.1" customHeight="1" x14ac:dyDescent="0.2">
      <c r="A23" s="284" t="s">
        <v>121</v>
      </c>
      <c r="B23" s="285">
        <v>1325475</v>
      </c>
      <c r="C23" s="285">
        <v>17130</v>
      </c>
      <c r="D23" s="285">
        <f t="shared" si="0"/>
        <v>1342605</v>
      </c>
      <c r="E23"/>
      <c r="F23" s="285">
        <v>415714</v>
      </c>
    </row>
    <row r="24" spans="1:6" ht="14.1" customHeight="1" x14ac:dyDescent="0.2">
      <c r="A24" s="19" t="s">
        <v>122</v>
      </c>
      <c r="B24" s="20">
        <v>2980462</v>
      </c>
      <c r="C24" s="20">
        <v>109894</v>
      </c>
      <c r="D24" s="20">
        <f t="shared" si="0"/>
        <v>3090356</v>
      </c>
      <c r="E24"/>
      <c r="F24" s="20">
        <v>2061797</v>
      </c>
    </row>
    <row r="25" spans="1:6" ht="14.1" customHeight="1" x14ac:dyDescent="0.2">
      <c r="A25" s="284" t="s">
        <v>123</v>
      </c>
      <c r="B25" s="285">
        <v>4090735</v>
      </c>
      <c r="C25" s="285">
        <v>75825</v>
      </c>
      <c r="D25" s="285">
        <f t="shared" si="0"/>
        <v>4166560</v>
      </c>
      <c r="E25"/>
      <c r="F25" s="285">
        <v>2440564</v>
      </c>
    </row>
    <row r="26" spans="1:6" ht="14.1" customHeight="1" x14ac:dyDescent="0.2">
      <c r="A26" s="19" t="s">
        <v>124</v>
      </c>
      <c r="B26" s="20">
        <v>2274134</v>
      </c>
      <c r="C26" s="20">
        <v>64377</v>
      </c>
      <c r="D26" s="20">
        <f t="shared" si="0"/>
        <v>2338511</v>
      </c>
      <c r="E26"/>
      <c r="F26" s="20">
        <v>835349</v>
      </c>
    </row>
    <row r="27" spans="1:6" ht="14.1" customHeight="1" x14ac:dyDescent="0.2">
      <c r="A27" s="284" t="s">
        <v>125</v>
      </c>
      <c r="B27" s="285">
        <v>1077958</v>
      </c>
      <c r="C27" s="285">
        <v>33662</v>
      </c>
      <c r="D27" s="285">
        <f t="shared" si="0"/>
        <v>1111620</v>
      </c>
      <c r="E27"/>
      <c r="F27" s="285">
        <v>443932</v>
      </c>
    </row>
    <row r="28" spans="1:6" ht="14.1" customHeight="1" x14ac:dyDescent="0.2">
      <c r="A28" s="19" t="s">
        <v>126</v>
      </c>
      <c r="B28" s="20">
        <v>1090226</v>
      </c>
      <c r="C28" s="20">
        <v>77627</v>
      </c>
      <c r="D28" s="20">
        <f t="shared" si="0"/>
        <v>1167853</v>
      </c>
      <c r="E28"/>
      <c r="F28" s="20">
        <v>171246</v>
      </c>
    </row>
    <row r="29" spans="1:6" ht="14.1" customHeight="1" x14ac:dyDescent="0.2">
      <c r="A29" s="284" t="s">
        <v>127</v>
      </c>
      <c r="B29" s="285">
        <v>6115659</v>
      </c>
      <c r="C29" s="285">
        <v>280458</v>
      </c>
      <c r="D29" s="285">
        <f t="shared" si="0"/>
        <v>6396117</v>
      </c>
      <c r="E29"/>
      <c r="F29" s="285">
        <v>3490692</v>
      </c>
    </row>
    <row r="30" spans="1:6" ht="14.1" customHeight="1" x14ac:dyDescent="0.2">
      <c r="A30" s="19" t="s">
        <v>128</v>
      </c>
      <c r="B30" s="20">
        <v>417755</v>
      </c>
      <c r="C30" s="20">
        <v>13349</v>
      </c>
      <c r="D30" s="20">
        <f t="shared" si="0"/>
        <v>431104</v>
      </c>
      <c r="E30"/>
      <c r="F30" s="20">
        <v>1042240</v>
      </c>
    </row>
    <row r="31" spans="1:6" ht="14.1" customHeight="1" x14ac:dyDescent="0.2">
      <c r="A31" s="284" t="s">
        <v>129</v>
      </c>
      <c r="B31" s="285">
        <v>745126</v>
      </c>
      <c r="C31" s="285">
        <v>12365</v>
      </c>
      <c r="D31" s="285">
        <f t="shared" si="0"/>
        <v>757491</v>
      </c>
      <c r="E31"/>
      <c r="F31" s="285">
        <v>1816949</v>
      </c>
    </row>
    <row r="32" spans="1:6" ht="14.1" customHeight="1" x14ac:dyDescent="0.2">
      <c r="A32" s="19" t="s">
        <v>130</v>
      </c>
      <c r="B32" s="20">
        <v>1093119</v>
      </c>
      <c r="C32" s="20">
        <v>60129</v>
      </c>
      <c r="D32" s="20">
        <f t="shared" si="0"/>
        <v>1153248</v>
      </c>
      <c r="E32"/>
      <c r="F32" s="20">
        <v>346928</v>
      </c>
    </row>
    <row r="33" spans="1:6" ht="14.1" customHeight="1" x14ac:dyDescent="0.2">
      <c r="A33" s="284" t="s">
        <v>131</v>
      </c>
      <c r="B33" s="285">
        <v>956777</v>
      </c>
      <c r="C33" s="285">
        <v>18125</v>
      </c>
      <c r="D33" s="285">
        <f t="shared" si="0"/>
        <v>974902</v>
      </c>
      <c r="E33"/>
      <c r="F33" s="285">
        <v>1105998</v>
      </c>
    </row>
    <row r="34" spans="1:6" ht="14.1" customHeight="1" x14ac:dyDescent="0.2">
      <c r="A34" s="19" t="s">
        <v>132</v>
      </c>
      <c r="B34" s="20">
        <v>1645064</v>
      </c>
      <c r="C34" s="20">
        <v>12020</v>
      </c>
      <c r="D34" s="20">
        <f t="shared" si="0"/>
        <v>1657084</v>
      </c>
      <c r="E34"/>
      <c r="F34" s="20">
        <v>801980</v>
      </c>
    </row>
    <row r="35" spans="1:6" ht="14.1" customHeight="1" x14ac:dyDescent="0.2">
      <c r="A35" s="284" t="s">
        <v>133</v>
      </c>
      <c r="B35" s="285">
        <v>5031622</v>
      </c>
      <c r="C35" s="285">
        <v>198218</v>
      </c>
      <c r="D35" s="285">
        <f t="shared" si="0"/>
        <v>5229840</v>
      </c>
      <c r="E35"/>
      <c r="F35" s="285">
        <v>3497866</v>
      </c>
    </row>
    <row r="36" spans="1:6" ht="14.1" customHeight="1" x14ac:dyDescent="0.2">
      <c r="A36" s="19" t="s">
        <v>134</v>
      </c>
      <c r="B36" s="20">
        <v>869570</v>
      </c>
      <c r="C36" s="20">
        <v>0</v>
      </c>
      <c r="D36" s="20">
        <f t="shared" si="0"/>
        <v>869570</v>
      </c>
      <c r="E36"/>
      <c r="F36" s="20">
        <v>494498</v>
      </c>
    </row>
    <row r="37" spans="1:6" ht="14.1" customHeight="1" x14ac:dyDescent="0.2">
      <c r="A37" s="284" t="s">
        <v>135</v>
      </c>
      <c r="B37" s="285">
        <v>3228300</v>
      </c>
      <c r="C37" s="285">
        <v>8913</v>
      </c>
      <c r="D37" s="285">
        <f t="shared" si="0"/>
        <v>3237213</v>
      </c>
      <c r="E37"/>
      <c r="F37" s="285">
        <v>1376388</v>
      </c>
    </row>
    <row r="38" spans="1:6" ht="14.1" customHeight="1" x14ac:dyDescent="0.2">
      <c r="A38" s="19" t="s">
        <v>136</v>
      </c>
      <c r="B38" s="20">
        <v>7816871</v>
      </c>
      <c r="C38" s="20">
        <v>70816</v>
      </c>
      <c r="D38" s="20">
        <f t="shared" si="0"/>
        <v>7887687</v>
      </c>
      <c r="E38"/>
      <c r="F38" s="20">
        <v>2867795</v>
      </c>
    </row>
    <row r="39" spans="1:6" ht="14.1" customHeight="1" x14ac:dyDescent="0.2">
      <c r="A39" s="284" t="s">
        <v>137</v>
      </c>
      <c r="B39" s="285">
        <v>2094736</v>
      </c>
      <c r="C39" s="285">
        <v>4633</v>
      </c>
      <c r="D39" s="285">
        <f t="shared" si="0"/>
        <v>2099369</v>
      </c>
      <c r="E39"/>
      <c r="F39" s="285">
        <v>1765474</v>
      </c>
    </row>
    <row r="40" spans="1:6" ht="14.1" customHeight="1" x14ac:dyDescent="0.2">
      <c r="A40" s="19" t="s">
        <v>138</v>
      </c>
      <c r="B40" s="20">
        <v>2378349</v>
      </c>
      <c r="C40" s="20">
        <v>75513</v>
      </c>
      <c r="D40" s="20">
        <f t="shared" si="0"/>
        <v>2453862</v>
      </c>
      <c r="E40"/>
      <c r="F40" s="20">
        <v>2109093</v>
      </c>
    </row>
    <row r="41" spans="1:6" ht="14.1" customHeight="1" x14ac:dyDescent="0.2">
      <c r="A41" s="284" t="s">
        <v>139</v>
      </c>
      <c r="B41" s="285">
        <v>2492437</v>
      </c>
      <c r="C41" s="285">
        <v>-39656</v>
      </c>
      <c r="D41" s="285">
        <f t="shared" si="0"/>
        <v>2452781</v>
      </c>
      <c r="E41"/>
      <c r="F41" s="285">
        <v>2410703</v>
      </c>
    </row>
    <row r="42" spans="1:6" ht="14.1" customHeight="1" x14ac:dyDescent="0.2">
      <c r="A42" s="19" t="s">
        <v>140</v>
      </c>
      <c r="B42" s="20">
        <v>1301630</v>
      </c>
      <c r="C42" s="20">
        <v>91768</v>
      </c>
      <c r="D42" s="20">
        <f t="shared" si="0"/>
        <v>1393398</v>
      </c>
      <c r="E42"/>
      <c r="F42" s="20">
        <v>1053050</v>
      </c>
    </row>
    <row r="43" spans="1:6" ht="14.1" customHeight="1" x14ac:dyDescent="0.2">
      <c r="A43" s="284" t="s">
        <v>141</v>
      </c>
      <c r="B43" s="285">
        <v>642772</v>
      </c>
      <c r="C43" s="285">
        <v>1391</v>
      </c>
      <c r="D43" s="285">
        <f t="shared" si="0"/>
        <v>644163</v>
      </c>
      <c r="E43"/>
      <c r="F43" s="285">
        <v>217523</v>
      </c>
    </row>
    <row r="44" spans="1:6" ht="14.1" customHeight="1" x14ac:dyDescent="0.2">
      <c r="A44" s="19" t="s">
        <v>142</v>
      </c>
      <c r="B44" s="20">
        <v>449468</v>
      </c>
      <c r="C44" s="20">
        <v>0</v>
      </c>
      <c r="D44" s="20">
        <f t="shared" si="0"/>
        <v>449468</v>
      </c>
      <c r="E44"/>
      <c r="F44" s="20">
        <v>427061</v>
      </c>
    </row>
    <row r="45" spans="1:6" ht="14.1" customHeight="1" x14ac:dyDescent="0.2">
      <c r="A45" s="284" t="s">
        <v>143</v>
      </c>
      <c r="B45" s="285">
        <v>662804</v>
      </c>
      <c r="C45" s="285">
        <v>1049</v>
      </c>
      <c r="D45" s="285">
        <f t="shared" si="0"/>
        <v>663853</v>
      </c>
      <c r="E45"/>
      <c r="F45" s="285">
        <v>908801</v>
      </c>
    </row>
    <row r="46" spans="1:6" ht="14.1" customHeight="1" x14ac:dyDescent="0.2">
      <c r="A46" s="19" t="s">
        <v>144</v>
      </c>
      <c r="B46" s="20">
        <v>12936157</v>
      </c>
      <c r="C46" s="20">
        <v>2442047</v>
      </c>
      <c r="D46" s="20">
        <f t="shared" si="0"/>
        <v>15378204</v>
      </c>
      <c r="E46"/>
      <c r="F46" s="20">
        <v>4348315</v>
      </c>
    </row>
    <row r="47" spans="1:6" ht="5.0999999999999996" customHeight="1" x14ac:dyDescent="0.2">
      <c r="A47" s="21"/>
      <c r="B47" s="22"/>
      <c r="C47" s="22"/>
      <c r="D47" s="22"/>
      <c r="E47"/>
      <c r="F47" s="22"/>
    </row>
    <row r="48" spans="1:6" ht="14.1" customHeight="1" x14ac:dyDescent="0.2">
      <c r="A48" s="286" t="s">
        <v>145</v>
      </c>
      <c r="B48" s="287">
        <f>SUM(B11:B46)</f>
        <v>103531464</v>
      </c>
      <c r="C48" s="287">
        <f>SUM(C11:C46)</f>
        <v>22719470</v>
      </c>
      <c r="D48" s="287">
        <f>SUM(D11:D46)</f>
        <v>126250934</v>
      </c>
      <c r="E48"/>
      <c r="F48" s="287">
        <f>SUM(F11:F46)</f>
        <v>55184707</v>
      </c>
    </row>
    <row r="49" spans="1:6" ht="5.0999999999999996" customHeight="1" x14ac:dyDescent="0.2">
      <c r="A49" s="21" t="s">
        <v>7</v>
      </c>
      <c r="B49" s="22"/>
      <c r="C49" s="22"/>
      <c r="D49" s="22"/>
      <c r="E49"/>
      <c r="F49" s="22"/>
    </row>
    <row r="50" spans="1:6" ht="14.1" customHeight="1" x14ac:dyDescent="0.2">
      <c r="A50" s="19" t="s">
        <v>146</v>
      </c>
      <c r="B50" s="20">
        <v>0</v>
      </c>
      <c r="C50" s="20">
        <v>1838</v>
      </c>
      <c r="D50" s="20">
        <f>SUM(B50:C50)</f>
        <v>1838</v>
      </c>
      <c r="E50"/>
      <c r="F50" s="20">
        <v>0</v>
      </c>
    </row>
    <row r="51" spans="1:6" ht="14.1" customHeight="1" x14ac:dyDescent="0.2">
      <c r="A51" s="284" t="s">
        <v>609</v>
      </c>
      <c r="B51" s="285">
        <v>121187</v>
      </c>
      <c r="C51" s="285">
        <v>88311</v>
      </c>
      <c r="D51" s="285">
        <f>SUM(B51:C51)</f>
        <v>209498</v>
      </c>
      <c r="E51"/>
      <c r="F51" s="285">
        <v>1389812</v>
      </c>
    </row>
    <row r="52" spans="1:6" ht="50.1" customHeight="1" x14ac:dyDescent="0.2">
      <c r="A52" s="23"/>
      <c r="B52" s="23"/>
      <c r="C52" s="23"/>
      <c r="D52" s="23"/>
      <c r="E52" s="23"/>
      <c r="F52" s="23"/>
    </row>
    <row r="53" spans="1:6" ht="13.5" customHeight="1" x14ac:dyDescent="0.2">
      <c r="A53" s="414" t="s">
        <v>632</v>
      </c>
      <c r="B53" s="184"/>
      <c r="C53" s="184"/>
      <c r="D53" s="184"/>
      <c r="E53" s="184"/>
    </row>
    <row r="54" spans="1:6" x14ac:dyDescent="0.2">
      <c r="A54" s="414" t="s">
        <v>352</v>
      </c>
    </row>
  </sheetData>
  <mergeCells count="6">
    <mergeCell ref="F7:F9"/>
    <mergeCell ref="B2:E2"/>
    <mergeCell ref="B3:E3"/>
    <mergeCell ref="B8:B9"/>
    <mergeCell ref="C8:C9"/>
    <mergeCell ref="D8:D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E55"/>
  <sheetViews>
    <sheetView showGridLines="0" showZeros="0" workbookViewId="0"/>
  </sheetViews>
  <sheetFormatPr defaultColWidth="19.83203125" defaultRowHeight="12" x14ac:dyDescent="0.2"/>
  <cols>
    <col min="1" max="1" width="32.83203125" style="2" customWidth="1"/>
    <col min="2" max="4" width="18.83203125" style="2" customWidth="1"/>
    <col min="5" max="5" width="44.83203125" style="2" customWidth="1"/>
    <col min="6" max="16384" width="19.83203125" style="2"/>
  </cols>
  <sheetData>
    <row r="1" spans="1:5" ht="6.95" customHeight="1" x14ac:dyDescent="0.2">
      <c r="A1" s="7"/>
      <c r="B1" s="7"/>
    </row>
    <row r="2" spans="1:5" ht="15.95" customHeight="1" x14ac:dyDescent="0.2">
      <c r="A2" s="134"/>
      <c r="B2" s="742" t="str">
        <f>"CAPITAL FUND "&amp;FALLYR&amp;"/"&amp;SPRINGYR&amp;" ACTUAL"</f>
        <v>CAPITAL FUND 2016/2017 ACTUAL</v>
      </c>
      <c r="C2" s="742"/>
      <c r="D2" s="742"/>
      <c r="E2" s="231" t="s">
        <v>254</v>
      </c>
    </row>
    <row r="3" spans="1:5" ht="15.95" customHeight="1" x14ac:dyDescent="0.2">
      <c r="A3" s="541"/>
      <c r="B3" s="737" t="s">
        <v>272</v>
      </c>
      <c r="C3" s="737"/>
      <c r="D3" s="737"/>
      <c r="E3" s="226"/>
    </row>
    <row r="4" spans="1:5" ht="15.95" customHeight="1" x14ac:dyDescent="0.2">
      <c r="C4" s="8"/>
      <c r="D4" s="8"/>
    </row>
    <row r="5" spans="1:5" ht="15.95" customHeight="1" x14ac:dyDescent="0.2">
      <c r="B5" s="440"/>
      <c r="C5" s="441"/>
      <c r="D5" s="441"/>
    </row>
    <row r="6" spans="1:5" ht="15.95" customHeight="1" x14ac:dyDescent="0.2">
      <c r="B6" s="750" t="s">
        <v>545</v>
      </c>
      <c r="C6" s="746" t="s">
        <v>268</v>
      </c>
      <c r="D6" s="747"/>
    </row>
    <row r="7" spans="1:5" ht="15.95" customHeight="1" x14ac:dyDescent="0.2">
      <c r="B7" s="751"/>
      <c r="C7" s="755" t="s">
        <v>547</v>
      </c>
      <c r="D7" s="408"/>
    </row>
    <row r="8" spans="1:5" ht="15.95" customHeight="1" x14ac:dyDescent="0.2">
      <c r="A8" s="403"/>
      <c r="B8" s="751"/>
      <c r="C8" s="755"/>
      <c r="D8" s="753" t="s">
        <v>546</v>
      </c>
    </row>
    <row r="9" spans="1:5" ht="15.95" customHeight="1" x14ac:dyDescent="0.2">
      <c r="A9" s="404" t="s">
        <v>42</v>
      </c>
      <c r="B9" s="752"/>
      <c r="C9" s="756"/>
      <c r="D9" s="754"/>
    </row>
    <row r="10" spans="1:5" ht="5.0999999999999996" customHeight="1" x14ac:dyDescent="0.2">
      <c r="A10" s="6"/>
      <c r="B10" s="207"/>
      <c r="C10" s="207"/>
    </row>
    <row r="11" spans="1:5" ht="14.1" customHeight="1" x14ac:dyDescent="0.2">
      <c r="A11" s="284" t="s">
        <v>110</v>
      </c>
      <c r="B11" s="419">
        <v>6138457</v>
      </c>
      <c r="C11" s="417">
        <v>4486739</v>
      </c>
      <c r="D11" s="285">
        <v>1651718</v>
      </c>
    </row>
    <row r="12" spans="1:5" ht="14.1" customHeight="1" x14ac:dyDescent="0.2">
      <c r="A12" s="19" t="s">
        <v>111</v>
      </c>
      <c r="B12" s="420">
        <v>13410338</v>
      </c>
      <c r="C12" s="418">
        <v>8175221</v>
      </c>
      <c r="D12" s="20">
        <v>5235117</v>
      </c>
    </row>
    <row r="13" spans="1:5" ht="14.1" customHeight="1" x14ac:dyDescent="0.2">
      <c r="A13" s="284" t="s">
        <v>112</v>
      </c>
      <c r="B13" s="419">
        <v>16911721</v>
      </c>
      <c r="C13" s="417">
        <v>11231159</v>
      </c>
      <c r="D13" s="285">
        <v>5680562</v>
      </c>
    </row>
    <row r="14" spans="1:5" ht="14.1" customHeight="1" x14ac:dyDescent="0.2">
      <c r="A14" s="19" t="s">
        <v>359</v>
      </c>
      <c r="B14" s="420">
        <v>37308596</v>
      </c>
      <c r="C14" s="418">
        <v>33968596</v>
      </c>
      <c r="D14" s="20">
        <v>3340000</v>
      </c>
    </row>
    <row r="15" spans="1:5" ht="14.1" customHeight="1" x14ac:dyDescent="0.2">
      <c r="A15" s="284" t="s">
        <v>113</v>
      </c>
      <c r="B15" s="419">
        <v>7567357</v>
      </c>
      <c r="C15" s="417">
        <v>5633536</v>
      </c>
      <c r="D15" s="285">
        <v>1933821</v>
      </c>
    </row>
    <row r="16" spans="1:5" ht="14.1" customHeight="1" x14ac:dyDescent="0.2">
      <c r="A16" s="19" t="s">
        <v>114</v>
      </c>
      <c r="B16" s="420">
        <v>1924743</v>
      </c>
      <c r="C16" s="418">
        <v>1737243</v>
      </c>
      <c r="D16" s="20">
        <v>187500</v>
      </c>
    </row>
    <row r="17" spans="1:4" ht="14.1" customHeight="1" x14ac:dyDescent="0.2">
      <c r="A17" s="284" t="s">
        <v>115</v>
      </c>
      <c r="B17" s="419">
        <v>5951911</v>
      </c>
      <c r="C17" s="417">
        <v>4288082</v>
      </c>
      <c r="D17" s="285">
        <v>1663829</v>
      </c>
    </row>
    <row r="18" spans="1:4" ht="14.1" customHeight="1" x14ac:dyDescent="0.2">
      <c r="A18" s="19" t="s">
        <v>116</v>
      </c>
      <c r="B18" s="420">
        <v>30839408</v>
      </c>
      <c r="C18" s="418">
        <v>28444439</v>
      </c>
      <c r="D18" s="20">
        <v>2394969</v>
      </c>
    </row>
    <row r="19" spans="1:4" ht="14.1" customHeight="1" x14ac:dyDescent="0.2">
      <c r="A19" s="284" t="s">
        <v>117</v>
      </c>
      <c r="B19" s="419">
        <v>22527463</v>
      </c>
      <c r="C19" s="417">
        <v>21730018</v>
      </c>
      <c r="D19" s="285">
        <v>797445</v>
      </c>
    </row>
    <row r="20" spans="1:4" ht="14.1" customHeight="1" x14ac:dyDescent="0.2">
      <c r="A20" s="19" t="s">
        <v>118</v>
      </c>
      <c r="B20" s="420">
        <v>22973290</v>
      </c>
      <c r="C20" s="418">
        <v>22371801</v>
      </c>
      <c r="D20" s="37">
        <v>601489</v>
      </c>
    </row>
    <row r="21" spans="1:4" ht="14.1" customHeight="1" x14ac:dyDescent="0.2">
      <c r="A21" s="284" t="s">
        <v>119</v>
      </c>
      <c r="B21" s="419">
        <v>3422808</v>
      </c>
      <c r="C21" s="417">
        <v>3375438</v>
      </c>
      <c r="D21" s="285">
        <v>47370</v>
      </c>
    </row>
    <row r="22" spans="1:4" ht="14.1" customHeight="1" x14ac:dyDescent="0.2">
      <c r="A22" s="19" t="s">
        <v>120</v>
      </c>
      <c r="B22" s="420">
        <v>18329305</v>
      </c>
      <c r="C22" s="418">
        <v>18329305</v>
      </c>
      <c r="D22" s="20">
        <v>0</v>
      </c>
    </row>
    <row r="23" spans="1:4" ht="14.1" customHeight="1" x14ac:dyDescent="0.2">
      <c r="A23" s="284" t="s">
        <v>121</v>
      </c>
      <c r="B23" s="419">
        <v>4578401</v>
      </c>
      <c r="C23" s="417">
        <v>3428684</v>
      </c>
      <c r="D23" s="285">
        <v>1149717</v>
      </c>
    </row>
    <row r="24" spans="1:4" ht="14.1" customHeight="1" x14ac:dyDescent="0.2">
      <c r="A24" s="19" t="s">
        <v>122</v>
      </c>
      <c r="B24" s="420">
        <v>10264133</v>
      </c>
      <c r="C24" s="418">
        <v>8544245</v>
      </c>
      <c r="D24" s="20">
        <v>1719888</v>
      </c>
    </row>
    <row r="25" spans="1:4" ht="14.1" customHeight="1" x14ac:dyDescent="0.2">
      <c r="A25" s="284" t="s">
        <v>123</v>
      </c>
      <c r="B25" s="419">
        <v>25339533</v>
      </c>
      <c r="C25" s="417">
        <v>18286616</v>
      </c>
      <c r="D25" s="285">
        <v>7052917</v>
      </c>
    </row>
    <row r="26" spans="1:4" ht="14.1" customHeight="1" x14ac:dyDescent="0.2">
      <c r="A26" s="19" t="s">
        <v>124</v>
      </c>
      <c r="B26" s="420">
        <v>3452267</v>
      </c>
      <c r="C26" s="418">
        <v>2943884</v>
      </c>
      <c r="D26" s="20">
        <v>508383</v>
      </c>
    </row>
    <row r="27" spans="1:4" ht="14.1" customHeight="1" x14ac:dyDescent="0.2">
      <c r="A27" s="284" t="s">
        <v>125</v>
      </c>
      <c r="B27" s="419">
        <v>7742125</v>
      </c>
      <c r="C27" s="417">
        <v>7335787</v>
      </c>
      <c r="D27" s="285">
        <v>406338</v>
      </c>
    </row>
    <row r="28" spans="1:4" ht="14.1" customHeight="1" x14ac:dyDescent="0.2">
      <c r="A28" s="19" t="s">
        <v>126</v>
      </c>
      <c r="B28" s="420">
        <v>1562072</v>
      </c>
      <c r="C28" s="418">
        <v>1562072</v>
      </c>
      <c r="D28" s="20">
        <v>0</v>
      </c>
    </row>
    <row r="29" spans="1:4" ht="14.1" customHeight="1" x14ac:dyDescent="0.2">
      <c r="A29" s="284" t="s">
        <v>127</v>
      </c>
      <c r="B29" s="419">
        <v>32066421</v>
      </c>
      <c r="C29" s="417">
        <v>22833668</v>
      </c>
      <c r="D29" s="285">
        <v>9232753</v>
      </c>
    </row>
    <row r="30" spans="1:4" ht="14.1" customHeight="1" x14ac:dyDescent="0.2">
      <c r="A30" s="19" t="s">
        <v>128</v>
      </c>
      <c r="B30" s="420">
        <v>2427702</v>
      </c>
      <c r="C30" s="418">
        <v>1038518</v>
      </c>
      <c r="D30" s="20">
        <v>1389184</v>
      </c>
    </row>
    <row r="31" spans="1:4" ht="14.1" customHeight="1" x14ac:dyDescent="0.2">
      <c r="A31" s="284" t="s">
        <v>129</v>
      </c>
      <c r="B31" s="419">
        <v>5814419</v>
      </c>
      <c r="C31" s="417">
        <v>3754419</v>
      </c>
      <c r="D31" s="285">
        <v>2060000</v>
      </c>
    </row>
    <row r="32" spans="1:4" ht="14.1" customHeight="1" x14ac:dyDescent="0.2">
      <c r="A32" s="19" t="s">
        <v>130</v>
      </c>
      <c r="B32" s="420">
        <v>4786146</v>
      </c>
      <c r="C32" s="418">
        <v>4662031</v>
      </c>
      <c r="D32" s="20">
        <v>124115</v>
      </c>
    </row>
    <row r="33" spans="1:4" ht="14.1" customHeight="1" x14ac:dyDescent="0.2">
      <c r="A33" s="284" t="s">
        <v>131</v>
      </c>
      <c r="B33" s="419">
        <v>7978631</v>
      </c>
      <c r="C33" s="417">
        <v>7147313</v>
      </c>
      <c r="D33" s="285">
        <v>831318</v>
      </c>
    </row>
    <row r="34" spans="1:4" ht="14.1" customHeight="1" x14ac:dyDescent="0.2">
      <c r="A34" s="19" t="s">
        <v>132</v>
      </c>
      <c r="B34" s="420">
        <v>6688182</v>
      </c>
      <c r="C34" s="418">
        <v>6335924</v>
      </c>
      <c r="D34" s="20">
        <v>352258</v>
      </c>
    </row>
    <row r="35" spans="1:4" ht="14.1" customHeight="1" x14ac:dyDescent="0.2">
      <c r="A35" s="284" t="s">
        <v>133</v>
      </c>
      <c r="B35" s="419">
        <v>27458456</v>
      </c>
      <c r="C35" s="417">
        <v>24330621</v>
      </c>
      <c r="D35" s="285">
        <v>3127835</v>
      </c>
    </row>
    <row r="36" spans="1:4" ht="14.1" customHeight="1" x14ac:dyDescent="0.2">
      <c r="A36" s="19" t="s">
        <v>134</v>
      </c>
      <c r="B36" s="420">
        <v>7408847</v>
      </c>
      <c r="C36" s="418">
        <v>5191778</v>
      </c>
      <c r="D36" s="20">
        <v>2217069</v>
      </c>
    </row>
    <row r="37" spans="1:4" ht="14.1" customHeight="1" x14ac:dyDescent="0.2">
      <c r="A37" s="284" t="s">
        <v>135</v>
      </c>
      <c r="B37" s="419">
        <v>10431936</v>
      </c>
      <c r="C37" s="417">
        <v>10328344</v>
      </c>
      <c r="D37" s="285">
        <v>103592</v>
      </c>
    </row>
    <row r="38" spans="1:4" ht="14.1" customHeight="1" x14ac:dyDescent="0.2">
      <c r="A38" s="19" t="s">
        <v>136</v>
      </c>
      <c r="B38" s="420">
        <v>42071539</v>
      </c>
      <c r="C38" s="418">
        <v>41403501</v>
      </c>
      <c r="D38" s="20">
        <v>668038</v>
      </c>
    </row>
    <row r="39" spans="1:4" ht="14.1" customHeight="1" x14ac:dyDescent="0.2">
      <c r="A39" s="284" t="s">
        <v>137</v>
      </c>
      <c r="B39" s="419">
        <v>6691672</v>
      </c>
      <c r="C39" s="417">
        <v>3862224</v>
      </c>
      <c r="D39" s="285">
        <v>2829448</v>
      </c>
    </row>
    <row r="40" spans="1:4" ht="14.1" customHeight="1" x14ac:dyDescent="0.2">
      <c r="A40" s="19" t="s">
        <v>138</v>
      </c>
      <c r="B40" s="420">
        <v>31565581</v>
      </c>
      <c r="C40" s="418">
        <v>25027772</v>
      </c>
      <c r="D40" s="20">
        <v>6537809</v>
      </c>
    </row>
    <row r="41" spans="1:4" ht="14.1" customHeight="1" x14ac:dyDescent="0.2">
      <c r="A41" s="284" t="s">
        <v>139</v>
      </c>
      <c r="B41" s="419">
        <v>13580426</v>
      </c>
      <c r="C41" s="417">
        <v>12453486</v>
      </c>
      <c r="D41" s="285">
        <v>1126940</v>
      </c>
    </row>
    <row r="42" spans="1:4" ht="14.1" customHeight="1" x14ac:dyDescent="0.2">
      <c r="A42" s="19" t="s">
        <v>140</v>
      </c>
      <c r="B42" s="420">
        <v>6040816</v>
      </c>
      <c r="C42" s="418">
        <v>2977323</v>
      </c>
      <c r="D42" s="20">
        <v>3063493</v>
      </c>
    </row>
    <row r="43" spans="1:4" ht="14.1" customHeight="1" x14ac:dyDescent="0.2">
      <c r="A43" s="284" t="s">
        <v>141</v>
      </c>
      <c r="B43" s="419">
        <v>1140849</v>
      </c>
      <c r="C43" s="417">
        <v>795100</v>
      </c>
      <c r="D43" s="285">
        <v>345749</v>
      </c>
    </row>
    <row r="44" spans="1:4" ht="14.1" customHeight="1" x14ac:dyDescent="0.2">
      <c r="A44" s="19" t="s">
        <v>142</v>
      </c>
      <c r="B44" s="420">
        <v>3112820</v>
      </c>
      <c r="C44" s="418">
        <v>1402553</v>
      </c>
      <c r="D44" s="20">
        <v>1710267</v>
      </c>
    </row>
    <row r="45" spans="1:4" ht="14.1" customHeight="1" x14ac:dyDescent="0.2">
      <c r="A45" s="284" t="s">
        <v>143</v>
      </c>
      <c r="B45" s="419">
        <v>4964762</v>
      </c>
      <c r="C45" s="417">
        <v>4388390</v>
      </c>
      <c r="D45" s="285">
        <v>576372</v>
      </c>
    </row>
    <row r="46" spans="1:4" ht="14.1" customHeight="1" x14ac:dyDescent="0.2">
      <c r="A46" s="19" t="s">
        <v>144</v>
      </c>
      <c r="B46" s="420">
        <v>73459092</v>
      </c>
      <c r="C46" s="418">
        <v>72059194</v>
      </c>
      <c r="D46" s="20">
        <v>1399898</v>
      </c>
    </row>
    <row r="47" spans="1:4" ht="5.0999999999999996" customHeight="1" x14ac:dyDescent="0.2">
      <c r="A47" s="21"/>
      <c r="B47" s="22"/>
      <c r="C47" s="22"/>
      <c r="D47" s="22"/>
    </row>
    <row r="48" spans="1:4" ht="14.1" customHeight="1" x14ac:dyDescent="0.2">
      <c r="A48" s="286" t="s">
        <v>145</v>
      </c>
      <c r="B48" s="422">
        <f>SUM(B11:B46)</f>
        <v>527932225</v>
      </c>
      <c r="C48" s="421">
        <f>SUM(C11:C46)</f>
        <v>455865024</v>
      </c>
      <c r="D48" s="287">
        <f>SUM(D11:D46)</f>
        <v>72067201</v>
      </c>
    </row>
    <row r="49" spans="1:5" ht="5.0999999999999996" customHeight="1" x14ac:dyDescent="0.2">
      <c r="A49" s="21" t="s">
        <v>7</v>
      </c>
      <c r="B49" s="22"/>
      <c r="C49" s="22"/>
      <c r="D49" s="22"/>
    </row>
    <row r="50" spans="1:5" ht="14.1" customHeight="1" x14ac:dyDescent="0.2">
      <c r="A50" s="19" t="s">
        <v>146</v>
      </c>
      <c r="B50" s="420">
        <v>1297094</v>
      </c>
      <c r="C50" s="418">
        <v>1058455</v>
      </c>
      <c r="D50" s="37">
        <v>238639</v>
      </c>
    </row>
    <row r="51" spans="1:5" ht="14.1" customHeight="1" x14ac:dyDescent="0.2">
      <c r="A51" s="284" t="s">
        <v>609</v>
      </c>
      <c r="B51" s="419">
        <v>6829526</v>
      </c>
      <c r="C51" s="417">
        <v>6829526</v>
      </c>
      <c r="D51" s="285">
        <v>0</v>
      </c>
    </row>
    <row r="52" spans="1:5" ht="50.1" customHeight="1" x14ac:dyDescent="0.2">
      <c r="A52" s="23"/>
      <c r="B52" s="23"/>
      <c r="C52" s="23"/>
      <c r="D52" s="23"/>
      <c r="E52" s="23"/>
    </row>
    <row r="53" spans="1:5" ht="15" customHeight="1" x14ac:dyDescent="0.2">
      <c r="A53" s="748" t="s">
        <v>544</v>
      </c>
      <c r="B53" s="748"/>
      <c r="C53" s="748"/>
      <c r="D53" s="748"/>
      <c r="E53" s="748"/>
    </row>
    <row r="54" spans="1:5" x14ac:dyDescent="0.2">
      <c r="A54" s="749"/>
      <c r="B54" s="749"/>
      <c r="C54" s="749"/>
      <c r="D54" s="749"/>
      <c r="E54" s="749"/>
    </row>
    <row r="55" spans="1:5" x14ac:dyDescent="0.2">
      <c r="A55" s="502" t="s">
        <v>353</v>
      </c>
    </row>
  </sheetData>
  <mergeCells count="7">
    <mergeCell ref="C6:D6"/>
    <mergeCell ref="B2:D2"/>
    <mergeCell ref="B3:D3"/>
    <mergeCell ref="A53:E54"/>
    <mergeCell ref="B6:B9"/>
    <mergeCell ref="D8:D9"/>
    <mergeCell ref="C7:C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H57"/>
  <sheetViews>
    <sheetView showGridLines="0" showZeros="0" workbookViewId="0"/>
  </sheetViews>
  <sheetFormatPr defaultColWidth="15.83203125" defaultRowHeight="12" x14ac:dyDescent="0.2"/>
  <cols>
    <col min="1" max="1" width="29" style="2" customWidth="1"/>
    <col min="2" max="2" width="14.33203125" style="2" customWidth="1"/>
    <col min="3" max="3" width="16.33203125" style="2" customWidth="1"/>
    <col min="4" max="4" width="15.1640625" style="2" customWidth="1"/>
    <col min="5" max="5" width="15" style="2" customWidth="1"/>
    <col min="6" max="6" width="15.1640625" style="2" customWidth="1"/>
    <col min="7" max="7" width="16.6640625" style="2" customWidth="1"/>
    <col min="8" max="16384" width="15.83203125" style="2"/>
  </cols>
  <sheetData>
    <row r="1" spans="1:7" ht="6.95" customHeight="1" x14ac:dyDescent="0.2">
      <c r="A1" s="7"/>
    </row>
    <row r="2" spans="1:7" ht="15.95" customHeight="1" x14ac:dyDescent="0.2">
      <c r="A2" s="134"/>
      <c r="B2" s="742" t="str">
        <f>"CAPITAL FUND "&amp;FALLYR&amp;"/"&amp;SPRINGYR&amp;" ACTUAL"</f>
        <v>CAPITAL FUND 2016/2017 ACTUAL</v>
      </c>
      <c r="C2" s="742"/>
      <c r="D2" s="742"/>
      <c r="E2" s="742"/>
      <c r="F2" s="742"/>
      <c r="G2" s="231" t="s">
        <v>256</v>
      </c>
    </row>
    <row r="3" spans="1:7" ht="15.95" customHeight="1" x14ac:dyDescent="0.2">
      <c r="A3" s="541"/>
      <c r="B3" s="737" t="s">
        <v>3</v>
      </c>
      <c r="C3" s="737"/>
      <c r="D3" s="737"/>
      <c r="E3" s="737"/>
      <c r="F3" s="737"/>
      <c r="G3" s="226"/>
    </row>
    <row r="4" spans="1:7" ht="15.95" customHeight="1" x14ac:dyDescent="0.2">
      <c r="B4" s="8"/>
      <c r="C4" s="227"/>
      <c r="D4" s="8"/>
      <c r="E4" s="8"/>
    </row>
    <row r="5" spans="1:7" ht="15.95" customHeight="1" x14ac:dyDescent="0.2">
      <c r="B5" s="8"/>
      <c r="C5" s="8"/>
      <c r="D5" s="8"/>
      <c r="E5" s="8"/>
    </row>
    <row r="6" spans="1:7" ht="15.95" customHeight="1" x14ac:dyDescent="0.2">
      <c r="B6" s="760" t="s">
        <v>275</v>
      </c>
      <c r="C6" s="761"/>
      <c r="D6" s="761"/>
      <c r="E6" s="761"/>
      <c r="F6" s="761"/>
      <c r="G6" s="762"/>
    </row>
    <row r="7" spans="1:7" ht="15.95" customHeight="1" x14ac:dyDescent="0.2">
      <c r="B7" s="423"/>
      <c r="C7" s="451"/>
      <c r="D7" s="763" t="s">
        <v>548</v>
      </c>
      <c r="E7" s="763" t="s">
        <v>549</v>
      </c>
      <c r="F7" s="423"/>
      <c r="G7" s="410"/>
    </row>
    <row r="8" spans="1:7" ht="15.95" customHeight="1" x14ac:dyDescent="0.2">
      <c r="A8" s="403"/>
      <c r="B8" s="758" t="s">
        <v>271</v>
      </c>
      <c r="C8" s="437"/>
      <c r="D8" s="738"/>
      <c r="E8" s="738"/>
      <c r="F8" s="424"/>
      <c r="G8" s="411"/>
    </row>
    <row r="9" spans="1:7" ht="15.95" customHeight="1" x14ac:dyDescent="0.2">
      <c r="A9" s="404" t="s">
        <v>42</v>
      </c>
      <c r="B9" s="759"/>
      <c r="C9" s="425" t="s">
        <v>282</v>
      </c>
      <c r="D9" s="739"/>
      <c r="E9" s="739"/>
      <c r="F9" s="425" t="s">
        <v>363</v>
      </c>
      <c r="G9" s="299" t="s">
        <v>31</v>
      </c>
    </row>
    <row r="10" spans="1:7" ht="5.0999999999999996" customHeight="1" x14ac:dyDescent="0.2">
      <c r="A10" s="6"/>
      <c r="B10" s="207"/>
      <c r="C10" s="207"/>
      <c r="D10" s="207"/>
      <c r="E10" s="207"/>
      <c r="F10" s="207"/>
      <c r="G10" s="207"/>
    </row>
    <row r="11" spans="1:7" ht="14.1" customHeight="1" x14ac:dyDescent="0.2">
      <c r="A11" s="284" t="s">
        <v>110</v>
      </c>
      <c r="B11" s="285">
        <v>0</v>
      </c>
      <c r="C11" s="285">
        <v>1356705</v>
      </c>
      <c r="D11" s="285">
        <v>22750</v>
      </c>
      <c r="E11" s="285">
        <v>0</v>
      </c>
      <c r="F11" s="285">
        <v>115881</v>
      </c>
      <c r="G11" s="285">
        <f>SUM(B11:F11)</f>
        <v>1495336</v>
      </c>
    </row>
    <row r="12" spans="1:7" ht="14.1" customHeight="1" x14ac:dyDescent="0.2">
      <c r="A12" s="19" t="s">
        <v>111</v>
      </c>
      <c r="B12" s="20">
        <v>112795</v>
      </c>
      <c r="C12" s="20">
        <v>1360837</v>
      </c>
      <c r="D12" s="20">
        <v>768076</v>
      </c>
      <c r="E12" s="20">
        <v>548760</v>
      </c>
      <c r="F12" s="20">
        <v>282079</v>
      </c>
      <c r="G12" s="20">
        <f>SUM(B12:F12)</f>
        <v>3072547</v>
      </c>
    </row>
    <row r="13" spans="1:7" ht="14.1" customHeight="1" x14ac:dyDescent="0.2">
      <c r="A13" s="284" t="s">
        <v>112</v>
      </c>
      <c r="B13" s="285">
        <v>0</v>
      </c>
      <c r="C13" s="285">
        <v>5311305</v>
      </c>
      <c r="D13" s="285">
        <v>907797</v>
      </c>
      <c r="E13" s="285">
        <v>427226</v>
      </c>
      <c r="F13" s="285">
        <v>510550</v>
      </c>
      <c r="G13" s="285">
        <f t="shared" ref="G13:G46" si="0">SUM(B13:F13)</f>
        <v>7156878</v>
      </c>
    </row>
    <row r="14" spans="1:7" ht="14.1" customHeight="1" x14ac:dyDescent="0.2">
      <c r="A14" s="19" t="s">
        <v>359</v>
      </c>
      <c r="B14" s="20">
        <v>85000</v>
      </c>
      <c r="C14" s="20">
        <v>1448620</v>
      </c>
      <c r="D14" s="20">
        <v>288373</v>
      </c>
      <c r="E14" s="20">
        <v>432499</v>
      </c>
      <c r="F14" s="20">
        <v>68705</v>
      </c>
      <c r="G14" s="20">
        <f t="shared" si="0"/>
        <v>2323197</v>
      </c>
    </row>
    <row r="15" spans="1:7" ht="14.1" customHeight="1" x14ac:dyDescent="0.2">
      <c r="A15" s="284" t="s">
        <v>113</v>
      </c>
      <c r="B15" s="285">
        <v>65201</v>
      </c>
      <c r="C15" s="285">
        <v>-130196</v>
      </c>
      <c r="D15" s="285">
        <v>74049</v>
      </c>
      <c r="E15" s="285">
        <v>156387</v>
      </c>
      <c r="F15" s="285">
        <v>269394</v>
      </c>
      <c r="G15" s="285">
        <f t="shared" si="0"/>
        <v>434835</v>
      </c>
    </row>
    <row r="16" spans="1:7" ht="14.1" customHeight="1" x14ac:dyDescent="0.2">
      <c r="A16" s="19" t="s">
        <v>114</v>
      </c>
      <c r="B16" s="20">
        <v>0</v>
      </c>
      <c r="C16" s="20">
        <v>104120</v>
      </c>
      <c r="D16" s="20">
        <v>113003</v>
      </c>
      <c r="E16" s="20">
        <v>127661</v>
      </c>
      <c r="F16" s="20">
        <v>61990</v>
      </c>
      <c r="G16" s="20">
        <f t="shared" si="0"/>
        <v>406774</v>
      </c>
    </row>
    <row r="17" spans="1:7" ht="14.1" customHeight="1" x14ac:dyDescent="0.2">
      <c r="A17" s="284" t="s">
        <v>115</v>
      </c>
      <c r="B17" s="285">
        <v>0</v>
      </c>
      <c r="C17" s="285">
        <v>216674</v>
      </c>
      <c r="D17" s="285">
        <v>86714</v>
      </c>
      <c r="E17" s="285">
        <v>0</v>
      </c>
      <c r="F17" s="285">
        <v>115130</v>
      </c>
      <c r="G17" s="285">
        <f t="shared" si="0"/>
        <v>418518</v>
      </c>
    </row>
    <row r="18" spans="1:7" ht="14.1" customHeight="1" x14ac:dyDescent="0.2">
      <c r="A18" s="19" t="s">
        <v>116</v>
      </c>
      <c r="B18" s="20">
        <v>0</v>
      </c>
      <c r="C18" s="20">
        <v>1245613</v>
      </c>
      <c r="D18" s="20">
        <v>218225</v>
      </c>
      <c r="E18" s="20">
        <v>0</v>
      </c>
      <c r="F18" s="20">
        <v>1268496</v>
      </c>
      <c r="G18" s="20">
        <f t="shared" si="0"/>
        <v>2732334</v>
      </c>
    </row>
    <row r="19" spans="1:7" ht="14.1" customHeight="1" x14ac:dyDescent="0.2">
      <c r="A19" s="284" t="s">
        <v>117</v>
      </c>
      <c r="B19" s="285">
        <v>0</v>
      </c>
      <c r="C19" s="285">
        <v>662163</v>
      </c>
      <c r="D19" s="285">
        <v>53616</v>
      </c>
      <c r="E19" s="285">
        <v>0</v>
      </c>
      <c r="F19" s="285">
        <v>1112096</v>
      </c>
      <c r="G19" s="285">
        <f t="shared" si="0"/>
        <v>1827875</v>
      </c>
    </row>
    <row r="20" spans="1:7" ht="14.1" customHeight="1" x14ac:dyDescent="0.2">
      <c r="A20" s="19" t="s">
        <v>118</v>
      </c>
      <c r="B20" s="20">
        <v>0</v>
      </c>
      <c r="C20" s="20">
        <v>2970173</v>
      </c>
      <c r="D20" s="20">
        <v>276963</v>
      </c>
      <c r="E20" s="20">
        <v>70633</v>
      </c>
      <c r="F20" s="20">
        <v>948573</v>
      </c>
      <c r="G20" s="20">
        <f t="shared" si="0"/>
        <v>4266342</v>
      </c>
    </row>
    <row r="21" spans="1:7" ht="14.1" customHeight="1" x14ac:dyDescent="0.2">
      <c r="A21" s="284" t="s">
        <v>119</v>
      </c>
      <c r="B21" s="285">
        <v>0</v>
      </c>
      <c r="C21" s="285">
        <v>528769</v>
      </c>
      <c r="D21" s="285">
        <v>0</v>
      </c>
      <c r="E21" s="285">
        <v>0</v>
      </c>
      <c r="F21" s="285">
        <v>282730</v>
      </c>
      <c r="G21" s="285">
        <f t="shared" si="0"/>
        <v>811499</v>
      </c>
    </row>
    <row r="22" spans="1:7" ht="14.1" customHeight="1" x14ac:dyDescent="0.2">
      <c r="A22" s="19" t="s">
        <v>120</v>
      </c>
      <c r="B22" s="20">
        <v>0</v>
      </c>
      <c r="C22" s="20">
        <v>19364059</v>
      </c>
      <c r="D22" s="20">
        <v>60744</v>
      </c>
      <c r="E22" s="20">
        <v>15997</v>
      </c>
      <c r="F22" s="20">
        <v>0</v>
      </c>
      <c r="G22" s="20">
        <f t="shared" si="0"/>
        <v>19440800</v>
      </c>
    </row>
    <row r="23" spans="1:7" ht="14.1" customHeight="1" x14ac:dyDescent="0.2">
      <c r="A23" s="284" t="s">
        <v>121</v>
      </c>
      <c r="B23" s="285">
        <v>0</v>
      </c>
      <c r="C23" s="285">
        <v>67958</v>
      </c>
      <c r="D23" s="285">
        <v>165039</v>
      </c>
      <c r="E23" s="285">
        <v>0</v>
      </c>
      <c r="F23" s="285">
        <v>416961</v>
      </c>
      <c r="G23" s="285">
        <f t="shared" si="0"/>
        <v>649958</v>
      </c>
    </row>
    <row r="24" spans="1:7" ht="14.1" customHeight="1" x14ac:dyDescent="0.2">
      <c r="A24" s="19" t="s">
        <v>122</v>
      </c>
      <c r="B24" s="20">
        <v>372214</v>
      </c>
      <c r="C24" s="20">
        <v>2052946</v>
      </c>
      <c r="D24" s="20">
        <v>233713</v>
      </c>
      <c r="E24" s="20">
        <v>0</v>
      </c>
      <c r="F24" s="20">
        <v>615590</v>
      </c>
      <c r="G24" s="20">
        <f t="shared" si="0"/>
        <v>3274463</v>
      </c>
    </row>
    <row r="25" spans="1:7" ht="14.1" customHeight="1" x14ac:dyDescent="0.2">
      <c r="A25" s="284" t="s">
        <v>123</v>
      </c>
      <c r="B25" s="285">
        <v>0</v>
      </c>
      <c r="C25" s="285">
        <v>16437981</v>
      </c>
      <c r="D25" s="285">
        <v>578451</v>
      </c>
      <c r="E25" s="285">
        <v>311088</v>
      </c>
      <c r="F25" s="285">
        <v>414357</v>
      </c>
      <c r="G25" s="285">
        <f t="shared" si="0"/>
        <v>17741877</v>
      </c>
    </row>
    <row r="26" spans="1:7" ht="14.1" customHeight="1" x14ac:dyDescent="0.2">
      <c r="A26" s="19" t="s">
        <v>124</v>
      </c>
      <c r="B26" s="20">
        <v>0</v>
      </c>
      <c r="C26" s="20">
        <v>5376239</v>
      </c>
      <c r="D26" s="20">
        <v>11504</v>
      </c>
      <c r="E26" s="20">
        <v>67559</v>
      </c>
      <c r="F26" s="20">
        <v>286938</v>
      </c>
      <c r="G26" s="20">
        <f t="shared" si="0"/>
        <v>5742240</v>
      </c>
    </row>
    <row r="27" spans="1:7" ht="14.1" customHeight="1" x14ac:dyDescent="0.2">
      <c r="A27" s="284" t="s">
        <v>125</v>
      </c>
      <c r="B27" s="285">
        <v>61322</v>
      </c>
      <c r="C27" s="285">
        <v>3903365</v>
      </c>
      <c r="D27" s="285">
        <v>15480</v>
      </c>
      <c r="E27" s="285">
        <v>98060</v>
      </c>
      <c r="F27" s="285">
        <v>38648</v>
      </c>
      <c r="G27" s="285">
        <f t="shared" si="0"/>
        <v>4116875</v>
      </c>
    </row>
    <row r="28" spans="1:7" ht="14.1" customHeight="1" x14ac:dyDescent="0.2">
      <c r="A28" s="19" t="s">
        <v>126</v>
      </c>
      <c r="B28" s="20">
        <v>0</v>
      </c>
      <c r="C28" s="20">
        <v>2911405</v>
      </c>
      <c r="D28" s="20">
        <v>94521</v>
      </c>
      <c r="E28" s="20">
        <v>0</v>
      </c>
      <c r="F28" s="20">
        <v>138135</v>
      </c>
      <c r="G28" s="20">
        <f t="shared" si="0"/>
        <v>3144061</v>
      </c>
    </row>
    <row r="29" spans="1:7" ht="14.1" customHeight="1" x14ac:dyDescent="0.2">
      <c r="A29" s="284" t="s">
        <v>127</v>
      </c>
      <c r="B29" s="285">
        <v>2418473</v>
      </c>
      <c r="C29" s="285">
        <v>13579615</v>
      </c>
      <c r="D29" s="285">
        <v>161000</v>
      </c>
      <c r="E29" s="285">
        <v>399512</v>
      </c>
      <c r="F29" s="285">
        <v>1000050</v>
      </c>
      <c r="G29" s="285">
        <f t="shared" si="0"/>
        <v>17558650</v>
      </c>
    </row>
    <row r="30" spans="1:7" ht="14.1" customHeight="1" x14ac:dyDescent="0.2">
      <c r="A30" s="19" t="s">
        <v>128</v>
      </c>
      <c r="B30" s="20">
        <v>0</v>
      </c>
      <c r="C30" s="20">
        <v>128046</v>
      </c>
      <c r="D30" s="20">
        <v>0</v>
      </c>
      <c r="E30" s="20">
        <v>0</v>
      </c>
      <c r="F30" s="20">
        <v>0</v>
      </c>
      <c r="G30" s="20">
        <f t="shared" si="0"/>
        <v>128046</v>
      </c>
    </row>
    <row r="31" spans="1:7" ht="14.1" customHeight="1" x14ac:dyDescent="0.2">
      <c r="A31" s="284" t="s">
        <v>129</v>
      </c>
      <c r="B31" s="285">
        <v>0</v>
      </c>
      <c r="C31" s="285">
        <v>1670279</v>
      </c>
      <c r="D31" s="285">
        <v>0</v>
      </c>
      <c r="E31" s="285">
        <v>10893</v>
      </c>
      <c r="F31" s="285">
        <v>156635</v>
      </c>
      <c r="G31" s="285">
        <f t="shared" si="0"/>
        <v>1837807</v>
      </c>
    </row>
    <row r="32" spans="1:7" ht="14.1" customHeight="1" x14ac:dyDescent="0.2">
      <c r="A32" s="19" t="s">
        <v>130</v>
      </c>
      <c r="B32" s="20">
        <v>16870</v>
      </c>
      <c r="C32" s="20">
        <v>1054408</v>
      </c>
      <c r="D32" s="20">
        <v>49828</v>
      </c>
      <c r="E32" s="20">
        <v>0</v>
      </c>
      <c r="F32" s="20">
        <v>410373</v>
      </c>
      <c r="G32" s="20">
        <f t="shared" si="0"/>
        <v>1531479</v>
      </c>
    </row>
    <row r="33" spans="1:8" ht="14.1" customHeight="1" x14ac:dyDescent="0.2">
      <c r="A33" s="284" t="s">
        <v>131</v>
      </c>
      <c r="B33" s="285">
        <v>0</v>
      </c>
      <c r="C33" s="285">
        <v>43114</v>
      </c>
      <c r="D33" s="285">
        <v>25854</v>
      </c>
      <c r="E33" s="285">
        <v>0</v>
      </c>
      <c r="F33" s="285">
        <v>520641</v>
      </c>
      <c r="G33" s="285">
        <f t="shared" si="0"/>
        <v>589609</v>
      </c>
    </row>
    <row r="34" spans="1:8" ht="14.1" customHeight="1" x14ac:dyDescent="0.2">
      <c r="A34" s="19" t="s">
        <v>132</v>
      </c>
      <c r="B34" s="20">
        <v>101600</v>
      </c>
      <c r="C34" s="20">
        <v>4591319</v>
      </c>
      <c r="D34" s="20">
        <v>65116</v>
      </c>
      <c r="E34" s="20">
        <v>89865</v>
      </c>
      <c r="F34" s="20">
        <v>415084</v>
      </c>
      <c r="G34" s="20">
        <f t="shared" si="0"/>
        <v>5262984</v>
      </c>
    </row>
    <row r="35" spans="1:8" ht="14.1" customHeight="1" x14ac:dyDescent="0.2">
      <c r="A35" s="284" t="s">
        <v>133</v>
      </c>
      <c r="B35" s="285">
        <v>0</v>
      </c>
      <c r="C35" s="285">
        <v>7655901</v>
      </c>
      <c r="D35" s="285">
        <v>287233</v>
      </c>
      <c r="E35" s="285">
        <v>3129451</v>
      </c>
      <c r="F35" s="285">
        <v>858660</v>
      </c>
      <c r="G35" s="285">
        <f t="shared" si="0"/>
        <v>11931245</v>
      </c>
    </row>
    <row r="36" spans="1:8" ht="14.1" customHeight="1" x14ac:dyDescent="0.2">
      <c r="A36" s="19" t="s">
        <v>134</v>
      </c>
      <c r="B36" s="20">
        <v>0</v>
      </c>
      <c r="C36" s="20">
        <v>427006</v>
      </c>
      <c r="D36" s="20">
        <v>139169</v>
      </c>
      <c r="E36" s="20">
        <v>0</v>
      </c>
      <c r="F36" s="20">
        <v>32745</v>
      </c>
      <c r="G36" s="20">
        <f t="shared" si="0"/>
        <v>598920</v>
      </c>
    </row>
    <row r="37" spans="1:8" ht="14.1" customHeight="1" x14ac:dyDescent="0.2">
      <c r="A37" s="284" t="s">
        <v>135</v>
      </c>
      <c r="B37" s="285">
        <v>122936</v>
      </c>
      <c r="C37" s="285">
        <v>2313047</v>
      </c>
      <c r="D37" s="285">
        <v>49062</v>
      </c>
      <c r="E37" s="285">
        <v>0</v>
      </c>
      <c r="F37" s="285">
        <v>548022</v>
      </c>
      <c r="G37" s="285">
        <f t="shared" si="0"/>
        <v>3033067</v>
      </c>
    </row>
    <row r="38" spans="1:8" ht="14.1" customHeight="1" x14ac:dyDescent="0.2">
      <c r="A38" s="19" t="s">
        <v>136</v>
      </c>
      <c r="B38" s="20">
        <v>2843436</v>
      </c>
      <c r="C38" s="20">
        <v>6141670</v>
      </c>
      <c r="D38" s="20">
        <v>311585</v>
      </c>
      <c r="E38" s="20">
        <v>14046</v>
      </c>
      <c r="F38" s="20">
        <v>526951</v>
      </c>
      <c r="G38" s="20">
        <f t="shared" si="0"/>
        <v>9837688</v>
      </c>
    </row>
    <row r="39" spans="1:8" ht="14.1" customHeight="1" x14ac:dyDescent="0.2">
      <c r="A39" s="284" t="s">
        <v>137</v>
      </c>
      <c r="B39" s="285">
        <v>0</v>
      </c>
      <c r="C39" s="285">
        <v>751216</v>
      </c>
      <c r="D39" s="285">
        <v>0</v>
      </c>
      <c r="E39" s="285">
        <v>0</v>
      </c>
      <c r="F39" s="285">
        <v>264523</v>
      </c>
      <c r="G39" s="285">
        <f t="shared" si="0"/>
        <v>1015739</v>
      </c>
    </row>
    <row r="40" spans="1:8" ht="14.1" customHeight="1" x14ac:dyDescent="0.2">
      <c r="A40" s="19" t="s">
        <v>138</v>
      </c>
      <c r="B40" s="20">
        <v>604800</v>
      </c>
      <c r="C40" s="20">
        <v>2823401</v>
      </c>
      <c r="D40" s="20">
        <v>205380</v>
      </c>
      <c r="E40" s="20">
        <v>96381</v>
      </c>
      <c r="F40" s="20">
        <v>0</v>
      </c>
      <c r="G40" s="20">
        <f t="shared" si="0"/>
        <v>3729962</v>
      </c>
    </row>
    <row r="41" spans="1:8" ht="14.1" customHeight="1" x14ac:dyDescent="0.2">
      <c r="A41" s="284" t="s">
        <v>139</v>
      </c>
      <c r="B41" s="285">
        <v>0</v>
      </c>
      <c r="C41" s="285">
        <v>1228487</v>
      </c>
      <c r="D41" s="285">
        <v>119061</v>
      </c>
      <c r="E41" s="285">
        <v>74686</v>
      </c>
      <c r="F41" s="285">
        <v>1045513</v>
      </c>
      <c r="G41" s="285">
        <f t="shared" si="0"/>
        <v>2467747</v>
      </c>
    </row>
    <row r="42" spans="1:8" ht="14.1" customHeight="1" x14ac:dyDescent="0.2">
      <c r="A42" s="19" t="s">
        <v>140</v>
      </c>
      <c r="B42" s="20">
        <v>0</v>
      </c>
      <c r="C42" s="20">
        <v>5191478</v>
      </c>
      <c r="D42" s="20">
        <v>175589</v>
      </c>
      <c r="E42" s="20">
        <v>0</v>
      </c>
      <c r="F42" s="20">
        <v>410490</v>
      </c>
      <c r="G42" s="20">
        <f t="shared" si="0"/>
        <v>5777557</v>
      </c>
    </row>
    <row r="43" spans="1:8" ht="14.1" customHeight="1" x14ac:dyDescent="0.2">
      <c r="A43" s="284" t="s">
        <v>141</v>
      </c>
      <c r="B43" s="285">
        <v>0</v>
      </c>
      <c r="C43" s="285">
        <v>720608</v>
      </c>
      <c r="D43" s="285">
        <v>0</v>
      </c>
      <c r="E43" s="285">
        <v>0</v>
      </c>
      <c r="F43" s="285">
        <v>0</v>
      </c>
      <c r="G43" s="285">
        <f t="shared" si="0"/>
        <v>720608</v>
      </c>
    </row>
    <row r="44" spans="1:8" ht="14.1" customHeight="1" x14ac:dyDescent="0.2">
      <c r="A44" s="19" t="s">
        <v>142</v>
      </c>
      <c r="B44" s="20">
        <v>0</v>
      </c>
      <c r="C44" s="20">
        <v>140674</v>
      </c>
      <c r="D44" s="20">
        <v>0</v>
      </c>
      <c r="E44" s="20">
        <v>13932</v>
      </c>
      <c r="F44" s="20">
        <v>0</v>
      </c>
      <c r="G44" s="20">
        <f t="shared" si="0"/>
        <v>154606</v>
      </c>
    </row>
    <row r="45" spans="1:8" ht="14.1" customHeight="1" x14ac:dyDescent="0.2">
      <c r="A45" s="284" t="s">
        <v>143</v>
      </c>
      <c r="B45" s="285">
        <v>0</v>
      </c>
      <c r="C45" s="285">
        <v>58124</v>
      </c>
      <c r="D45" s="285">
        <v>107854</v>
      </c>
      <c r="E45" s="285">
        <v>75837</v>
      </c>
      <c r="F45" s="285">
        <v>0</v>
      </c>
      <c r="G45" s="285">
        <f t="shared" si="0"/>
        <v>241815</v>
      </c>
    </row>
    <row r="46" spans="1:8" ht="14.1" customHeight="1" x14ac:dyDescent="0.2">
      <c r="A46" s="19" t="s">
        <v>144</v>
      </c>
      <c r="B46" s="20">
        <v>5486531</v>
      </c>
      <c r="C46" s="20">
        <v>12661001</v>
      </c>
      <c r="D46" s="20">
        <v>1040245</v>
      </c>
      <c r="E46" s="20">
        <v>224512</v>
      </c>
      <c r="F46" s="20">
        <v>988781</v>
      </c>
      <c r="G46" s="20">
        <f t="shared" si="0"/>
        <v>20401070</v>
      </c>
    </row>
    <row r="47" spans="1:8" ht="5.0999999999999996" customHeight="1" x14ac:dyDescent="0.2">
      <c r="A47" s="21"/>
      <c r="B47" s="22"/>
      <c r="C47" s="22"/>
      <c r="D47" s="22"/>
      <c r="E47" s="22"/>
      <c r="F47" s="22"/>
      <c r="G47" s="22"/>
    </row>
    <row r="48" spans="1:8" ht="14.1" customHeight="1" x14ac:dyDescent="0.2">
      <c r="A48" s="286" t="s">
        <v>145</v>
      </c>
      <c r="B48" s="287">
        <f t="shared" ref="B48:G48" si="1">SUM(B11:B46)</f>
        <v>12291178</v>
      </c>
      <c r="C48" s="287">
        <f t="shared" si="1"/>
        <v>126368130</v>
      </c>
      <c r="D48" s="287">
        <f t="shared" si="1"/>
        <v>6705994</v>
      </c>
      <c r="E48" s="287">
        <f t="shared" si="1"/>
        <v>6384985</v>
      </c>
      <c r="F48" s="287">
        <f t="shared" si="1"/>
        <v>14124721</v>
      </c>
      <c r="G48" s="287">
        <f t="shared" si="1"/>
        <v>165875008</v>
      </c>
      <c r="H48" s="510">
        <v>0</v>
      </c>
    </row>
    <row r="49" spans="1:7" ht="5.0999999999999996" customHeight="1" x14ac:dyDescent="0.2">
      <c r="A49" s="21" t="s">
        <v>7</v>
      </c>
      <c r="B49" s="22"/>
      <c r="C49" s="22"/>
      <c r="D49" s="22"/>
      <c r="E49" s="22"/>
      <c r="F49" s="22"/>
      <c r="G49" s="22"/>
    </row>
    <row r="50" spans="1:7" ht="14.1" customHeight="1" x14ac:dyDescent="0.2">
      <c r="A50" s="19" t="s">
        <v>146</v>
      </c>
      <c r="B50" s="20">
        <v>0</v>
      </c>
      <c r="C50" s="20">
        <v>75002</v>
      </c>
      <c r="D50" s="20">
        <v>0</v>
      </c>
      <c r="E50" s="20">
        <v>0</v>
      </c>
      <c r="F50" s="20">
        <v>0</v>
      </c>
      <c r="G50" s="20">
        <f>SUM(B50:F50)</f>
        <v>75002</v>
      </c>
    </row>
    <row r="51" spans="1:7" ht="14.1" customHeight="1" x14ac:dyDescent="0.2">
      <c r="A51" s="284" t="s">
        <v>609</v>
      </c>
      <c r="B51" s="285">
        <v>0</v>
      </c>
      <c r="C51" s="285">
        <v>673557</v>
      </c>
      <c r="D51" s="285">
        <v>164281</v>
      </c>
      <c r="E51" s="285">
        <v>96893</v>
      </c>
      <c r="F51" s="285">
        <v>16435</v>
      </c>
      <c r="G51" s="285">
        <f>SUM(B51:F51)</f>
        <v>951166</v>
      </c>
    </row>
    <row r="52" spans="1:7" ht="50.1" customHeight="1" x14ac:dyDescent="0.2">
      <c r="A52" s="23"/>
      <c r="B52" s="23"/>
      <c r="C52" s="23"/>
      <c r="D52" s="23"/>
      <c r="E52" s="23"/>
      <c r="F52" s="23"/>
      <c r="G52" s="23"/>
    </row>
    <row r="53" spans="1:7" ht="15" customHeight="1" x14ac:dyDescent="0.2">
      <c r="A53" s="414" t="s">
        <v>354</v>
      </c>
    </row>
    <row r="54" spans="1:7" x14ac:dyDescent="0.2">
      <c r="A54" s="757" t="s">
        <v>633</v>
      </c>
      <c r="B54" s="757"/>
      <c r="C54" s="757"/>
      <c r="D54" s="757"/>
      <c r="E54" s="757"/>
      <c r="F54" s="757"/>
      <c r="G54" s="757"/>
    </row>
    <row r="55" spans="1:7" x14ac:dyDescent="0.2">
      <c r="A55" s="757"/>
      <c r="B55" s="757"/>
      <c r="C55" s="757"/>
      <c r="D55" s="757"/>
      <c r="E55" s="757"/>
      <c r="F55" s="757"/>
      <c r="G55" s="757"/>
    </row>
    <row r="56" spans="1:7" x14ac:dyDescent="0.2">
      <c r="A56" s="434" t="s">
        <v>417</v>
      </c>
    </row>
    <row r="57" spans="1:7" x14ac:dyDescent="0.2">
      <c r="A57" s="503" t="s">
        <v>355</v>
      </c>
    </row>
  </sheetData>
  <mergeCells count="7">
    <mergeCell ref="A54:G55"/>
    <mergeCell ref="B8:B9"/>
    <mergeCell ref="B2:F2"/>
    <mergeCell ref="B3:F3"/>
    <mergeCell ref="B6:G6"/>
    <mergeCell ref="D7:D9"/>
    <mergeCell ref="E7:E9"/>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H55"/>
  <sheetViews>
    <sheetView showGridLines="0" showZeros="0" workbookViewId="0"/>
  </sheetViews>
  <sheetFormatPr defaultColWidth="19.83203125" defaultRowHeight="12" x14ac:dyDescent="0.2"/>
  <cols>
    <col min="1" max="1" width="30.83203125" style="2" customWidth="1"/>
    <col min="2" max="3" width="16.83203125" style="2" customWidth="1"/>
    <col min="4" max="4" width="3.83203125" style="2" customWidth="1"/>
    <col min="5" max="5" width="18.83203125" style="2" customWidth="1"/>
    <col min="6" max="7" width="16.83203125" style="2" customWidth="1"/>
    <col min="8" max="8" width="14.33203125" style="2" customWidth="1"/>
    <col min="9" max="16384" width="19.83203125" style="2"/>
  </cols>
  <sheetData>
    <row r="1" spans="1:8" ht="6.95" customHeight="1" x14ac:dyDescent="0.2">
      <c r="A1" s="7"/>
      <c r="B1" s="7"/>
      <c r="C1" s="7"/>
      <c r="D1" s="7"/>
    </row>
    <row r="2" spans="1:8" ht="15.95" customHeight="1" x14ac:dyDescent="0.2">
      <c r="A2" s="764" t="str">
        <f>"SPECIAL PURPOSE FUND "&amp;VALUE('- 66 -'!F9+1)&amp;"/"&amp;VALUE('- 66 -'!F9+2)&amp;" ACTUAL"</f>
        <v>SPECIAL PURPOSE FUND 2016/2017 ACTUAL</v>
      </c>
      <c r="B2" s="764"/>
      <c r="C2" s="764"/>
      <c r="D2" s="764"/>
      <c r="E2" s="764"/>
      <c r="F2" s="450" t="s">
        <v>96</v>
      </c>
      <c r="G2" s="446"/>
      <c r="H2" s="446"/>
    </row>
    <row r="3" spans="1:8" ht="15.95" customHeight="1" x14ac:dyDescent="0.2">
      <c r="A3" s="737" t="s">
        <v>391</v>
      </c>
      <c r="B3" s="737"/>
      <c r="C3" s="737"/>
      <c r="D3" s="737"/>
      <c r="E3" s="737"/>
      <c r="F3" s="737"/>
      <c r="G3" s="737"/>
      <c r="H3" s="737"/>
    </row>
    <row r="4" spans="1:8" ht="15.95" customHeight="1" x14ac:dyDescent="0.2">
      <c r="E4" s="8"/>
      <c r="F4" s="8"/>
      <c r="G4" s="8"/>
    </row>
    <row r="5" spans="1:8" ht="15.95" customHeight="1" x14ac:dyDescent="0.2">
      <c r="B5"/>
      <c r="C5"/>
      <c r="D5"/>
      <c r="E5"/>
      <c r="F5"/>
      <c r="G5"/>
      <c r="H5"/>
    </row>
    <row r="6" spans="1:8" ht="15.95" customHeight="1" x14ac:dyDescent="0.2">
      <c r="B6" s="432"/>
      <c r="C6" s="432"/>
      <c r="D6"/>
      <c r="E6" s="750" t="s">
        <v>551</v>
      </c>
      <c r="F6" s="746" t="s">
        <v>268</v>
      </c>
      <c r="G6" s="747"/>
    </row>
    <row r="7" spans="1:8" ht="15.95" customHeight="1" x14ac:dyDescent="0.2">
      <c r="B7" s="408"/>
      <c r="C7" s="408"/>
      <c r="D7"/>
      <c r="E7" s="751"/>
      <c r="F7" s="755" t="s">
        <v>375</v>
      </c>
      <c r="G7" s="408"/>
    </row>
    <row r="8" spans="1:8" ht="15.95" customHeight="1" x14ac:dyDescent="0.2">
      <c r="A8" s="403"/>
      <c r="B8" s="765" t="s">
        <v>538</v>
      </c>
      <c r="C8" s="765" t="s">
        <v>542</v>
      </c>
      <c r="D8"/>
      <c r="E8" s="751"/>
      <c r="F8" s="755"/>
      <c r="G8" s="753" t="s">
        <v>550</v>
      </c>
    </row>
    <row r="9" spans="1:8" ht="15.95" customHeight="1" x14ac:dyDescent="0.2">
      <c r="A9" s="404" t="s">
        <v>42</v>
      </c>
      <c r="B9" s="766"/>
      <c r="C9" s="766"/>
      <c r="D9"/>
      <c r="E9" s="752"/>
      <c r="F9" s="756"/>
      <c r="G9" s="754"/>
    </row>
    <row r="10" spans="1:8" ht="5.0999999999999996" customHeight="1" x14ac:dyDescent="0.2">
      <c r="A10" s="6"/>
      <c r="B10" s="207"/>
      <c r="C10" s="207"/>
      <c r="D10"/>
      <c r="E10" s="7"/>
      <c r="F10" s="207"/>
    </row>
    <row r="11" spans="1:8" ht="14.1" customHeight="1" x14ac:dyDescent="0.2">
      <c r="A11" s="284" t="s">
        <v>110</v>
      </c>
      <c r="B11" s="417">
        <v>390555</v>
      </c>
      <c r="C11" s="417">
        <v>375865</v>
      </c>
      <c r="D11"/>
      <c r="E11" s="550">
        <v>247721</v>
      </c>
      <c r="F11" s="417">
        <v>247721</v>
      </c>
      <c r="G11" s="417">
        <v>0</v>
      </c>
    </row>
    <row r="12" spans="1:8" ht="14.1" customHeight="1" x14ac:dyDescent="0.2">
      <c r="A12" s="19" t="s">
        <v>111</v>
      </c>
      <c r="B12" s="418">
        <v>734872</v>
      </c>
      <c r="C12" s="418">
        <v>729385</v>
      </c>
      <c r="D12"/>
      <c r="E12" s="551">
        <v>388636</v>
      </c>
      <c r="F12" s="418">
        <v>388636</v>
      </c>
      <c r="G12" s="418">
        <v>0</v>
      </c>
    </row>
    <row r="13" spans="1:8" ht="14.1" customHeight="1" x14ac:dyDescent="0.2">
      <c r="A13" s="284" t="s">
        <v>112</v>
      </c>
      <c r="B13" s="417">
        <v>2392579</v>
      </c>
      <c r="C13" s="417">
        <v>2589690</v>
      </c>
      <c r="D13"/>
      <c r="E13" s="550">
        <v>2180357</v>
      </c>
      <c r="F13" s="417">
        <v>930096</v>
      </c>
      <c r="G13" s="417">
        <v>1250261</v>
      </c>
    </row>
    <row r="14" spans="1:8" ht="14.1" customHeight="1" x14ac:dyDescent="0.2">
      <c r="A14" s="19" t="s">
        <v>359</v>
      </c>
      <c r="B14" s="418">
        <v>1389946</v>
      </c>
      <c r="C14" s="418">
        <v>1416042</v>
      </c>
      <c r="D14"/>
      <c r="E14" s="551">
        <v>827559</v>
      </c>
      <c r="F14" s="418">
        <v>671085</v>
      </c>
      <c r="G14" s="418">
        <v>156474</v>
      </c>
    </row>
    <row r="15" spans="1:8" ht="14.1" customHeight="1" x14ac:dyDescent="0.2">
      <c r="A15" s="284" t="s">
        <v>113</v>
      </c>
      <c r="B15" s="417">
        <v>434567</v>
      </c>
      <c r="C15" s="417">
        <v>470426</v>
      </c>
      <c r="D15"/>
      <c r="E15" s="550">
        <v>358262</v>
      </c>
      <c r="F15" s="417">
        <v>160171</v>
      </c>
      <c r="G15" s="417">
        <v>198091</v>
      </c>
    </row>
    <row r="16" spans="1:8" ht="14.1" customHeight="1" x14ac:dyDescent="0.2">
      <c r="A16" s="19" t="s">
        <v>114</v>
      </c>
      <c r="B16" s="418">
        <v>311207</v>
      </c>
      <c r="C16" s="418">
        <v>292336</v>
      </c>
      <c r="D16"/>
      <c r="E16" s="551">
        <v>63442</v>
      </c>
      <c r="F16" s="418">
        <v>63442</v>
      </c>
      <c r="G16" s="418">
        <v>0</v>
      </c>
    </row>
    <row r="17" spans="1:7" ht="14.1" customHeight="1" x14ac:dyDescent="0.2">
      <c r="A17" s="284" t="s">
        <v>115</v>
      </c>
      <c r="B17" s="417">
        <v>564085</v>
      </c>
      <c r="C17" s="417">
        <v>552078</v>
      </c>
      <c r="D17"/>
      <c r="E17" s="550">
        <v>344475</v>
      </c>
      <c r="F17" s="417">
        <v>251838</v>
      </c>
      <c r="G17" s="417">
        <v>92637</v>
      </c>
    </row>
    <row r="18" spans="1:7" ht="14.1" customHeight="1" x14ac:dyDescent="0.2">
      <c r="A18" s="19" t="s">
        <v>116</v>
      </c>
      <c r="B18" s="418">
        <v>798985</v>
      </c>
      <c r="C18" s="418">
        <v>810866</v>
      </c>
      <c r="D18"/>
      <c r="E18" s="551">
        <v>129606</v>
      </c>
      <c r="F18" s="418">
        <v>129606</v>
      </c>
      <c r="G18" s="418">
        <v>0</v>
      </c>
    </row>
    <row r="19" spans="1:7" ht="14.1" customHeight="1" x14ac:dyDescent="0.2">
      <c r="A19" s="284" t="s">
        <v>117</v>
      </c>
      <c r="B19" s="417">
        <v>142439</v>
      </c>
      <c r="C19" s="417">
        <v>217401</v>
      </c>
      <c r="D19"/>
      <c r="E19" s="550">
        <v>159251</v>
      </c>
      <c r="F19" s="417">
        <v>159251</v>
      </c>
      <c r="G19" s="417">
        <v>0</v>
      </c>
    </row>
    <row r="20" spans="1:7" ht="14.1" customHeight="1" x14ac:dyDescent="0.2">
      <c r="A20" s="19" t="s">
        <v>118</v>
      </c>
      <c r="B20" s="418">
        <v>2173050</v>
      </c>
      <c r="C20" s="418">
        <v>2122378</v>
      </c>
      <c r="D20"/>
      <c r="E20" s="551">
        <v>396354</v>
      </c>
      <c r="F20" s="418">
        <v>396354</v>
      </c>
      <c r="G20" s="418">
        <v>0</v>
      </c>
    </row>
    <row r="21" spans="1:7" ht="14.1" customHeight="1" x14ac:dyDescent="0.2">
      <c r="A21" s="284" t="s">
        <v>119</v>
      </c>
      <c r="B21" s="417">
        <v>428065</v>
      </c>
      <c r="C21" s="417">
        <v>441767</v>
      </c>
      <c r="D21"/>
      <c r="E21" s="550">
        <v>141009</v>
      </c>
      <c r="F21" s="417">
        <v>141009</v>
      </c>
      <c r="G21" s="417">
        <v>0</v>
      </c>
    </row>
    <row r="22" spans="1:7" ht="14.1" customHeight="1" x14ac:dyDescent="0.2">
      <c r="A22" s="19" t="s">
        <v>120</v>
      </c>
      <c r="B22" s="418">
        <v>448059</v>
      </c>
      <c r="C22" s="418">
        <v>394896</v>
      </c>
      <c r="D22"/>
      <c r="E22" s="551">
        <v>215406</v>
      </c>
      <c r="F22" s="418">
        <v>215406</v>
      </c>
      <c r="G22" s="418">
        <v>0</v>
      </c>
    </row>
    <row r="23" spans="1:7" ht="14.1" customHeight="1" x14ac:dyDescent="0.2">
      <c r="A23" s="284" t="s">
        <v>121</v>
      </c>
      <c r="B23" s="417">
        <v>315109</v>
      </c>
      <c r="C23" s="417">
        <v>338722</v>
      </c>
      <c r="D23"/>
      <c r="E23" s="550">
        <v>182110</v>
      </c>
      <c r="F23" s="417">
        <v>162713</v>
      </c>
      <c r="G23" s="417">
        <v>19397</v>
      </c>
    </row>
    <row r="24" spans="1:7" ht="14.1" customHeight="1" x14ac:dyDescent="0.2">
      <c r="A24" s="19" t="s">
        <v>122</v>
      </c>
      <c r="B24" s="418">
        <v>1016485</v>
      </c>
      <c r="C24" s="418">
        <v>996920</v>
      </c>
      <c r="D24"/>
      <c r="E24" s="551">
        <v>343614</v>
      </c>
      <c r="F24" s="418">
        <v>343614</v>
      </c>
      <c r="G24" s="418">
        <v>0</v>
      </c>
    </row>
    <row r="25" spans="1:7" ht="14.1" customHeight="1" x14ac:dyDescent="0.2">
      <c r="A25" s="284" t="s">
        <v>123</v>
      </c>
      <c r="B25" s="417">
        <v>2481174</v>
      </c>
      <c r="C25" s="417">
        <v>2676801</v>
      </c>
      <c r="D25"/>
      <c r="E25" s="550">
        <v>1058528</v>
      </c>
      <c r="F25" s="417">
        <v>1058528</v>
      </c>
      <c r="G25" s="417">
        <v>0</v>
      </c>
    </row>
    <row r="26" spans="1:7" ht="14.1" customHeight="1" x14ac:dyDescent="0.2">
      <c r="A26" s="19" t="s">
        <v>124</v>
      </c>
      <c r="B26" s="418">
        <v>591240</v>
      </c>
      <c r="C26" s="418">
        <v>634802</v>
      </c>
      <c r="D26"/>
      <c r="E26" s="551">
        <v>469160</v>
      </c>
      <c r="F26" s="418">
        <v>469160</v>
      </c>
      <c r="G26" s="418">
        <v>0</v>
      </c>
    </row>
    <row r="27" spans="1:7" ht="14.1" customHeight="1" x14ac:dyDescent="0.2">
      <c r="A27" s="284" t="s">
        <v>125</v>
      </c>
      <c r="B27" s="417">
        <v>278399</v>
      </c>
      <c r="C27" s="417">
        <v>300596</v>
      </c>
      <c r="D27"/>
      <c r="E27" s="550">
        <v>141433</v>
      </c>
      <c r="F27" s="417">
        <v>141433</v>
      </c>
      <c r="G27" s="417">
        <v>0</v>
      </c>
    </row>
    <row r="28" spans="1:7" ht="14.1" customHeight="1" x14ac:dyDescent="0.2">
      <c r="A28" s="19" t="s">
        <v>126</v>
      </c>
      <c r="B28" s="418">
        <v>971532</v>
      </c>
      <c r="C28" s="418">
        <v>1026090</v>
      </c>
      <c r="D28"/>
      <c r="E28" s="551">
        <v>372098</v>
      </c>
      <c r="F28" s="418">
        <v>372098</v>
      </c>
      <c r="G28" s="418">
        <v>0</v>
      </c>
    </row>
    <row r="29" spans="1:7" ht="14.1" customHeight="1" x14ac:dyDescent="0.2">
      <c r="A29" s="284" t="s">
        <v>127</v>
      </c>
      <c r="B29" s="417">
        <v>986317</v>
      </c>
      <c r="C29" s="417">
        <v>923768</v>
      </c>
      <c r="D29"/>
      <c r="E29" s="550">
        <v>474794</v>
      </c>
      <c r="F29" s="417">
        <v>474794</v>
      </c>
      <c r="G29" s="417">
        <v>0</v>
      </c>
    </row>
    <row r="30" spans="1:7" ht="14.1" customHeight="1" x14ac:dyDescent="0.2">
      <c r="A30" s="19" t="s">
        <v>128</v>
      </c>
      <c r="B30" s="418">
        <v>269231</v>
      </c>
      <c r="C30" s="418">
        <v>261031</v>
      </c>
      <c r="D30"/>
      <c r="E30" s="551">
        <v>39707</v>
      </c>
      <c r="F30" s="418">
        <v>39707</v>
      </c>
      <c r="G30" s="418">
        <v>0</v>
      </c>
    </row>
    <row r="31" spans="1:7" ht="14.1" customHeight="1" x14ac:dyDescent="0.2">
      <c r="A31" s="284" t="s">
        <v>129</v>
      </c>
      <c r="B31" s="417">
        <v>1274500</v>
      </c>
      <c r="C31" s="417">
        <v>1215293</v>
      </c>
      <c r="D31"/>
      <c r="E31" s="550">
        <v>205441</v>
      </c>
      <c r="F31" s="417">
        <v>205441</v>
      </c>
      <c r="G31" s="417">
        <v>0</v>
      </c>
    </row>
    <row r="32" spans="1:7" ht="14.1" customHeight="1" x14ac:dyDescent="0.2">
      <c r="A32" s="19" t="s">
        <v>130</v>
      </c>
      <c r="B32" s="418">
        <v>534943</v>
      </c>
      <c r="C32" s="418">
        <v>512261</v>
      </c>
      <c r="D32"/>
      <c r="E32" s="551">
        <v>166066</v>
      </c>
      <c r="F32" s="418">
        <v>141908</v>
      </c>
      <c r="G32" s="418">
        <v>24158</v>
      </c>
    </row>
    <row r="33" spans="1:7" ht="14.1" customHeight="1" x14ac:dyDescent="0.2">
      <c r="A33" s="284" t="s">
        <v>131</v>
      </c>
      <c r="B33" s="417">
        <v>553814</v>
      </c>
      <c r="C33" s="417">
        <v>579611</v>
      </c>
      <c r="D33"/>
      <c r="E33" s="550">
        <v>215046</v>
      </c>
      <c r="F33" s="417">
        <v>215046</v>
      </c>
      <c r="G33" s="417">
        <v>0</v>
      </c>
    </row>
    <row r="34" spans="1:7" ht="14.1" customHeight="1" x14ac:dyDescent="0.2">
      <c r="A34" s="19" t="s">
        <v>132</v>
      </c>
      <c r="B34" s="418">
        <v>486382</v>
      </c>
      <c r="C34" s="418">
        <v>498067</v>
      </c>
      <c r="D34"/>
      <c r="E34" s="551">
        <v>176534</v>
      </c>
      <c r="F34" s="418">
        <v>176534</v>
      </c>
      <c r="G34" s="418">
        <v>0</v>
      </c>
    </row>
    <row r="35" spans="1:7" ht="14.1" customHeight="1" x14ac:dyDescent="0.2">
      <c r="A35" s="284" t="s">
        <v>133</v>
      </c>
      <c r="B35" s="417">
        <v>735605</v>
      </c>
      <c r="C35" s="417">
        <v>753993</v>
      </c>
      <c r="D35"/>
      <c r="E35" s="550">
        <v>308886</v>
      </c>
      <c r="F35" s="417">
        <v>308886</v>
      </c>
      <c r="G35" s="417">
        <v>0</v>
      </c>
    </row>
    <row r="36" spans="1:7" ht="14.1" customHeight="1" x14ac:dyDescent="0.2">
      <c r="A36" s="19" t="s">
        <v>134</v>
      </c>
      <c r="B36" s="418">
        <v>523854</v>
      </c>
      <c r="C36" s="418">
        <v>568163</v>
      </c>
      <c r="D36"/>
      <c r="E36" s="551">
        <v>237669</v>
      </c>
      <c r="F36" s="418">
        <v>237669</v>
      </c>
      <c r="G36" s="418">
        <v>0</v>
      </c>
    </row>
    <row r="37" spans="1:7" ht="14.1" customHeight="1" x14ac:dyDescent="0.2">
      <c r="A37" s="284" t="s">
        <v>135</v>
      </c>
      <c r="B37" s="417">
        <v>722095</v>
      </c>
      <c r="C37" s="417">
        <v>701176</v>
      </c>
      <c r="D37"/>
      <c r="E37" s="550">
        <v>256143</v>
      </c>
      <c r="F37" s="417">
        <v>256143</v>
      </c>
      <c r="G37" s="417">
        <v>0</v>
      </c>
    </row>
    <row r="38" spans="1:7" ht="14.1" customHeight="1" x14ac:dyDescent="0.2">
      <c r="A38" s="19" t="s">
        <v>136</v>
      </c>
      <c r="B38" s="418">
        <v>64031</v>
      </c>
      <c r="C38" s="418">
        <v>46280</v>
      </c>
      <c r="D38"/>
      <c r="E38" s="551">
        <v>180387</v>
      </c>
      <c r="F38" s="418">
        <v>180387</v>
      </c>
      <c r="G38" s="418">
        <v>0</v>
      </c>
    </row>
    <row r="39" spans="1:7" ht="14.1" customHeight="1" x14ac:dyDescent="0.2">
      <c r="A39" s="284" t="s">
        <v>137</v>
      </c>
      <c r="B39" s="417">
        <v>449757</v>
      </c>
      <c r="C39" s="417">
        <v>485679</v>
      </c>
      <c r="D39"/>
      <c r="E39" s="550">
        <v>256267</v>
      </c>
      <c r="F39" s="417">
        <v>256267</v>
      </c>
      <c r="G39" s="417">
        <v>0</v>
      </c>
    </row>
    <row r="40" spans="1:7" ht="14.1" customHeight="1" x14ac:dyDescent="0.2">
      <c r="A40" s="19" t="s">
        <v>138</v>
      </c>
      <c r="B40" s="418">
        <v>724105</v>
      </c>
      <c r="C40" s="418">
        <v>783754</v>
      </c>
      <c r="D40"/>
      <c r="E40" s="551">
        <v>382225</v>
      </c>
      <c r="F40" s="418">
        <v>382225</v>
      </c>
      <c r="G40" s="418">
        <v>0</v>
      </c>
    </row>
    <row r="41" spans="1:7" ht="14.1" customHeight="1" x14ac:dyDescent="0.2">
      <c r="A41" s="284" t="s">
        <v>139</v>
      </c>
      <c r="B41" s="417">
        <v>899559</v>
      </c>
      <c r="C41" s="417">
        <v>981288</v>
      </c>
      <c r="D41"/>
      <c r="E41" s="550">
        <v>524219</v>
      </c>
      <c r="F41" s="417">
        <v>474337</v>
      </c>
      <c r="G41" s="417">
        <v>49882</v>
      </c>
    </row>
    <row r="42" spans="1:7" ht="14.1" customHeight="1" x14ac:dyDescent="0.2">
      <c r="A42" s="19" t="s">
        <v>140</v>
      </c>
      <c r="B42" s="418">
        <v>466217</v>
      </c>
      <c r="C42" s="418">
        <v>520558</v>
      </c>
      <c r="D42"/>
      <c r="E42" s="551">
        <v>179830</v>
      </c>
      <c r="F42" s="418">
        <v>179830</v>
      </c>
      <c r="G42" s="418">
        <v>0</v>
      </c>
    </row>
    <row r="43" spans="1:7" ht="14.1" customHeight="1" x14ac:dyDescent="0.2">
      <c r="A43" s="284" t="s">
        <v>141</v>
      </c>
      <c r="B43" s="417">
        <v>307163</v>
      </c>
      <c r="C43" s="417">
        <v>315767</v>
      </c>
      <c r="D43"/>
      <c r="E43" s="550">
        <v>71157</v>
      </c>
      <c r="F43" s="417">
        <v>71157</v>
      </c>
      <c r="G43" s="417">
        <v>0</v>
      </c>
    </row>
    <row r="44" spans="1:7" ht="14.1" customHeight="1" x14ac:dyDescent="0.2">
      <c r="A44" s="19" t="s">
        <v>142</v>
      </c>
      <c r="B44" s="418">
        <v>301910</v>
      </c>
      <c r="C44" s="418">
        <v>358303</v>
      </c>
      <c r="D44"/>
      <c r="E44" s="551">
        <v>166565</v>
      </c>
      <c r="F44" s="418">
        <v>166565</v>
      </c>
      <c r="G44" s="418">
        <v>0</v>
      </c>
    </row>
    <row r="45" spans="1:7" ht="14.1" customHeight="1" x14ac:dyDescent="0.2">
      <c r="A45" s="284" t="s">
        <v>143</v>
      </c>
      <c r="B45" s="417">
        <v>466542</v>
      </c>
      <c r="C45" s="417">
        <v>471848</v>
      </c>
      <c r="D45"/>
      <c r="E45" s="550">
        <v>88464</v>
      </c>
      <c r="F45" s="417">
        <v>88464</v>
      </c>
      <c r="G45" s="417">
        <v>0</v>
      </c>
    </row>
    <row r="46" spans="1:7" ht="14.1" customHeight="1" x14ac:dyDescent="0.2">
      <c r="A46" s="19" t="s">
        <v>144</v>
      </c>
      <c r="B46" s="418">
        <v>1095243</v>
      </c>
      <c r="C46" s="418">
        <v>1027128</v>
      </c>
      <c r="D46"/>
      <c r="E46" s="551">
        <v>3642399</v>
      </c>
      <c r="F46" s="418">
        <v>-19456</v>
      </c>
      <c r="G46" s="418">
        <v>3661855</v>
      </c>
    </row>
    <row r="47" spans="1:7" ht="5.0999999999999996" customHeight="1" x14ac:dyDescent="0.2">
      <c r="A47" s="21"/>
      <c r="B47" s="22"/>
      <c r="C47" s="22"/>
      <c r="D47"/>
      <c r="E47" s="22"/>
      <c r="F47" s="22"/>
      <c r="G47" s="22"/>
    </row>
    <row r="48" spans="1:7" ht="14.1" customHeight="1" x14ac:dyDescent="0.2">
      <c r="A48" s="286" t="s">
        <v>145</v>
      </c>
      <c r="B48" s="421">
        <f>SUM(B11:B46)</f>
        <v>26723616</v>
      </c>
      <c r="C48" s="421">
        <f>SUM(C11:C46)</f>
        <v>27391029</v>
      </c>
      <c r="D48"/>
      <c r="E48" s="421">
        <f>SUM(E11:E46)</f>
        <v>15590820</v>
      </c>
      <c r="F48" s="421">
        <f>SUM(F11:F46)</f>
        <v>10138065</v>
      </c>
      <c r="G48" s="421">
        <f>SUM(G11:G46)</f>
        <v>5452755</v>
      </c>
    </row>
    <row r="49" spans="1:8" ht="5.0999999999999996" customHeight="1" x14ac:dyDescent="0.2">
      <c r="A49" s="21" t="s">
        <v>7</v>
      </c>
      <c r="B49" s="22"/>
      <c r="C49" s="22"/>
      <c r="D49"/>
      <c r="E49" s="22"/>
      <c r="F49" s="22"/>
      <c r="G49" s="22"/>
    </row>
    <row r="50" spans="1:8" ht="14.1" customHeight="1" x14ac:dyDescent="0.2">
      <c r="A50" s="19" t="s">
        <v>146</v>
      </c>
      <c r="B50" s="418">
        <v>56422</v>
      </c>
      <c r="C50" s="418">
        <v>57895</v>
      </c>
      <c r="D50"/>
      <c r="E50" s="551">
        <v>15150</v>
      </c>
      <c r="F50" s="418">
        <v>15150</v>
      </c>
      <c r="G50" s="418">
        <v>0</v>
      </c>
    </row>
    <row r="51" spans="1:8" ht="14.1" customHeight="1" x14ac:dyDescent="0.2">
      <c r="A51" s="284" t="s">
        <v>609</v>
      </c>
      <c r="B51" s="417">
        <v>34065</v>
      </c>
      <c r="C51" s="417">
        <v>63838</v>
      </c>
      <c r="D51"/>
      <c r="E51" s="550">
        <v>120956</v>
      </c>
      <c r="F51" s="417">
        <v>0</v>
      </c>
      <c r="G51" s="417">
        <v>120956</v>
      </c>
    </row>
    <row r="52" spans="1:8" ht="50.1" customHeight="1" x14ac:dyDescent="0.2">
      <c r="A52" s="23"/>
      <c r="B52" s="23"/>
      <c r="C52" s="23"/>
      <c r="D52" s="504"/>
      <c r="E52" s="23"/>
      <c r="F52" s="504"/>
      <c r="G52" s="23"/>
      <c r="H52" s="23"/>
    </row>
    <row r="53" spans="1:8" ht="15" customHeight="1" x14ac:dyDescent="0.2">
      <c r="A53" s="748" t="s">
        <v>552</v>
      </c>
      <c r="B53" s="748"/>
      <c r="C53" s="748"/>
      <c r="D53" s="748"/>
      <c r="E53" s="748"/>
      <c r="F53" s="748"/>
      <c r="G53" s="748"/>
      <c r="H53" s="748"/>
    </row>
    <row r="54" spans="1:8" x14ac:dyDescent="0.2">
      <c r="A54" s="749"/>
      <c r="B54" s="749"/>
      <c r="C54" s="749"/>
      <c r="D54" s="749"/>
      <c r="E54" s="749"/>
      <c r="F54" s="749"/>
      <c r="G54" s="749"/>
      <c r="H54" s="749"/>
    </row>
    <row r="55" spans="1:8" x14ac:dyDescent="0.2">
      <c r="A55" s="749"/>
      <c r="B55" s="749"/>
      <c r="C55" s="749"/>
      <c r="D55" s="749"/>
      <c r="E55" s="749"/>
      <c r="F55" s="749"/>
      <c r="G55" s="749"/>
      <c r="H55" s="749"/>
    </row>
  </sheetData>
  <mergeCells count="9">
    <mergeCell ref="A53:H55"/>
    <mergeCell ref="F6:G6"/>
    <mergeCell ref="A3:H3"/>
    <mergeCell ref="A2:E2"/>
    <mergeCell ref="B8:B9"/>
    <mergeCell ref="C8:C9"/>
    <mergeCell ref="G8:G9"/>
    <mergeCell ref="F7:F9"/>
    <mergeCell ref="E6:E9"/>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E56"/>
  <sheetViews>
    <sheetView showGridLines="0" showZeros="0" workbookViewId="0"/>
  </sheetViews>
  <sheetFormatPr defaultColWidth="19.83203125" defaultRowHeight="12" x14ac:dyDescent="0.2"/>
  <cols>
    <col min="1" max="1" width="31.33203125" style="2" customWidth="1"/>
    <col min="2" max="2" width="22.1640625" style="2" customWidth="1"/>
    <col min="3" max="3" width="32.1640625" style="2" customWidth="1"/>
    <col min="4" max="4" width="24.6640625" style="2" customWidth="1"/>
    <col min="5" max="5" width="22.83203125" style="2" customWidth="1"/>
    <col min="6" max="16384" width="19.83203125" style="2"/>
  </cols>
  <sheetData>
    <row r="1" spans="1:5" ht="6.95" customHeight="1" x14ac:dyDescent="0.2">
      <c r="A1" s="7"/>
      <c r="B1" s="7"/>
    </row>
    <row r="2" spans="1:5" ht="15.95" customHeight="1" x14ac:dyDescent="0.2">
      <c r="A2" s="742" t="str">
        <f>+'- 49 -'!A2:E2</f>
        <v>SPECIAL PURPOSE FUND 2016/2017 ACTUAL</v>
      </c>
      <c r="B2" s="742"/>
      <c r="C2" s="742"/>
      <c r="D2" s="742"/>
      <c r="E2" s="742"/>
    </row>
    <row r="3" spans="1:5" ht="15.95" customHeight="1" x14ac:dyDescent="0.2">
      <c r="A3" s="743" t="s">
        <v>375</v>
      </c>
      <c r="B3" s="743"/>
      <c r="C3" s="743"/>
      <c r="D3" s="743"/>
      <c r="E3" s="743"/>
    </row>
    <row r="4" spans="1:5" ht="15.95" customHeight="1" x14ac:dyDescent="0.2">
      <c r="B4" s="8"/>
      <c r="C4" s="8"/>
      <c r="D4" s="8"/>
      <c r="E4" s="184"/>
    </row>
    <row r="5" spans="1:5" ht="15.95" customHeight="1" x14ac:dyDescent="0.2">
      <c r="B5"/>
      <c r="C5"/>
      <c r="D5"/>
      <c r="E5"/>
    </row>
    <row r="6" spans="1:5" ht="15.95" customHeight="1" x14ac:dyDescent="0.2">
      <c r="B6"/>
      <c r="C6"/>
      <c r="D6"/>
    </row>
    <row r="7" spans="1:5" ht="15.95" customHeight="1" x14ac:dyDescent="0.2">
      <c r="B7" s="508"/>
      <c r="C7" s="746" t="s">
        <v>268</v>
      </c>
      <c r="D7" s="747"/>
    </row>
    <row r="8" spans="1:5" ht="18.75" customHeight="1" x14ac:dyDescent="0.2">
      <c r="A8" s="403"/>
      <c r="B8" s="767" t="s">
        <v>553</v>
      </c>
      <c r="C8" s="769" t="s">
        <v>554</v>
      </c>
      <c r="D8" s="771" t="s">
        <v>610</v>
      </c>
    </row>
    <row r="9" spans="1:5" ht="23.25" customHeight="1" x14ac:dyDescent="0.2">
      <c r="A9" s="404" t="s">
        <v>42</v>
      </c>
      <c r="B9" s="768"/>
      <c r="C9" s="770"/>
      <c r="D9" s="772"/>
    </row>
    <row r="10" spans="1:5" ht="5.0999999999999996" customHeight="1" x14ac:dyDescent="0.2">
      <c r="A10" s="6"/>
      <c r="C10" s="7"/>
      <c r="D10" s="207"/>
    </row>
    <row r="11" spans="1:5" ht="14.1" customHeight="1" x14ac:dyDescent="0.2">
      <c r="A11" s="284" t="s">
        <v>110</v>
      </c>
      <c r="B11" s="419">
        <f t="shared" ref="B11:B46" si="0">C11+D11</f>
        <v>272712</v>
      </c>
      <c r="C11" s="417">
        <f>+'- 49 -'!F11</f>
        <v>247721</v>
      </c>
      <c r="D11" s="417">
        <v>24991</v>
      </c>
    </row>
    <row r="12" spans="1:5" ht="14.1" customHeight="1" x14ac:dyDescent="0.2">
      <c r="A12" s="19" t="s">
        <v>111</v>
      </c>
      <c r="B12" s="420">
        <f t="shared" si="0"/>
        <v>388636</v>
      </c>
      <c r="C12" s="418">
        <f>+'- 49 -'!F12</f>
        <v>388636</v>
      </c>
      <c r="D12" s="418">
        <v>0</v>
      </c>
    </row>
    <row r="13" spans="1:5" ht="14.1" customHeight="1" x14ac:dyDescent="0.2">
      <c r="A13" s="284" t="s">
        <v>112</v>
      </c>
      <c r="B13" s="419">
        <f t="shared" si="0"/>
        <v>1212653</v>
      </c>
      <c r="C13" s="417">
        <f>+'- 49 -'!F13</f>
        <v>930096</v>
      </c>
      <c r="D13" s="417">
        <v>282557</v>
      </c>
    </row>
    <row r="14" spans="1:5" ht="14.1" customHeight="1" x14ac:dyDescent="0.2">
      <c r="A14" s="19" t="s">
        <v>147</v>
      </c>
      <c r="B14" s="420">
        <f t="shared" si="0"/>
        <v>915924</v>
      </c>
      <c r="C14" s="418">
        <f>+'- 49 -'!F14</f>
        <v>671085</v>
      </c>
      <c r="D14" s="418">
        <v>244839</v>
      </c>
    </row>
    <row r="15" spans="1:5" ht="14.1" customHeight="1" x14ac:dyDescent="0.2">
      <c r="A15" s="284" t="s">
        <v>113</v>
      </c>
      <c r="B15" s="419">
        <f t="shared" si="0"/>
        <v>204756</v>
      </c>
      <c r="C15" s="417">
        <f>+'- 49 -'!F15</f>
        <v>160171</v>
      </c>
      <c r="D15" s="417">
        <v>44585</v>
      </c>
    </row>
    <row r="16" spans="1:5" ht="14.1" customHeight="1" x14ac:dyDescent="0.2">
      <c r="A16" s="19" t="s">
        <v>114</v>
      </c>
      <c r="B16" s="420">
        <f t="shared" si="0"/>
        <v>69711</v>
      </c>
      <c r="C16" s="418">
        <f>+'- 49 -'!F16</f>
        <v>63442</v>
      </c>
      <c r="D16" s="418">
        <v>6269</v>
      </c>
    </row>
    <row r="17" spans="1:4" ht="14.1" customHeight="1" x14ac:dyDescent="0.2">
      <c r="A17" s="284" t="s">
        <v>115</v>
      </c>
      <c r="B17" s="419">
        <f t="shared" si="0"/>
        <v>268658</v>
      </c>
      <c r="C17" s="417">
        <f>+'- 49 -'!F17</f>
        <v>251838</v>
      </c>
      <c r="D17" s="417">
        <v>16820</v>
      </c>
    </row>
    <row r="18" spans="1:4" ht="14.1" customHeight="1" x14ac:dyDescent="0.2">
      <c r="A18" s="19" t="s">
        <v>116</v>
      </c>
      <c r="B18" s="420">
        <f t="shared" si="0"/>
        <v>486062</v>
      </c>
      <c r="C18" s="418">
        <f>+'- 49 -'!F18</f>
        <v>129606</v>
      </c>
      <c r="D18" s="418">
        <v>356456</v>
      </c>
    </row>
    <row r="19" spans="1:4" ht="14.1" customHeight="1" x14ac:dyDescent="0.2">
      <c r="A19" s="284" t="s">
        <v>117</v>
      </c>
      <c r="B19" s="419">
        <f t="shared" si="0"/>
        <v>159251</v>
      </c>
      <c r="C19" s="417">
        <f>+'- 49 -'!F19</f>
        <v>159251</v>
      </c>
      <c r="D19" s="417">
        <v>0</v>
      </c>
    </row>
    <row r="20" spans="1:4" ht="14.1" customHeight="1" x14ac:dyDescent="0.2">
      <c r="A20" s="19" t="s">
        <v>118</v>
      </c>
      <c r="B20" s="420">
        <f t="shared" si="0"/>
        <v>542316</v>
      </c>
      <c r="C20" s="418">
        <f>+'- 49 -'!F20</f>
        <v>396354</v>
      </c>
      <c r="D20" s="418">
        <v>145962</v>
      </c>
    </row>
    <row r="21" spans="1:4" ht="14.1" customHeight="1" x14ac:dyDescent="0.2">
      <c r="A21" s="284" t="s">
        <v>119</v>
      </c>
      <c r="B21" s="419">
        <f t="shared" si="0"/>
        <v>214994</v>
      </c>
      <c r="C21" s="417">
        <f>+'- 49 -'!F21</f>
        <v>141009</v>
      </c>
      <c r="D21" s="417">
        <v>73985</v>
      </c>
    </row>
    <row r="22" spans="1:4" ht="14.1" customHeight="1" x14ac:dyDescent="0.2">
      <c r="A22" s="19" t="s">
        <v>120</v>
      </c>
      <c r="B22" s="420">
        <f t="shared" si="0"/>
        <v>271575</v>
      </c>
      <c r="C22" s="418">
        <f>+'- 49 -'!F22</f>
        <v>215406</v>
      </c>
      <c r="D22" s="418">
        <v>56169</v>
      </c>
    </row>
    <row r="23" spans="1:4" ht="14.1" customHeight="1" x14ac:dyDescent="0.2">
      <c r="A23" s="284" t="s">
        <v>121</v>
      </c>
      <c r="B23" s="419">
        <f t="shared" si="0"/>
        <v>162713</v>
      </c>
      <c r="C23" s="417">
        <f>+'- 49 -'!F23</f>
        <v>162713</v>
      </c>
      <c r="D23" s="417">
        <v>0</v>
      </c>
    </row>
    <row r="24" spans="1:4" ht="14.1" customHeight="1" x14ac:dyDescent="0.2">
      <c r="A24" s="19" t="s">
        <v>122</v>
      </c>
      <c r="B24" s="420">
        <f t="shared" si="0"/>
        <v>405009</v>
      </c>
      <c r="C24" s="418">
        <f>+'- 49 -'!F24</f>
        <v>343614</v>
      </c>
      <c r="D24" s="418">
        <v>61395</v>
      </c>
    </row>
    <row r="25" spans="1:4" ht="14.1" customHeight="1" x14ac:dyDescent="0.2">
      <c r="A25" s="284" t="s">
        <v>123</v>
      </c>
      <c r="B25" s="419">
        <f t="shared" si="0"/>
        <v>1686634</v>
      </c>
      <c r="C25" s="417">
        <f>+'- 49 -'!F25</f>
        <v>1058528</v>
      </c>
      <c r="D25" s="417">
        <v>628106</v>
      </c>
    </row>
    <row r="26" spans="1:4" ht="14.1" customHeight="1" x14ac:dyDescent="0.2">
      <c r="A26" s="19" t="s">
        <v>124</v>
      </c>
      <c r="B26" s="420">
        <f t="shared" si="0"/>
        <v>463290</v>
      </c>
      <c r="C26" s="418">
        <f>+'- 49 -'!F26</f>
        <v>469160</v>
      </c>
      <c r="D26" s="418">
        <v>-5870</v>
      </c>
    </row>
    <row r="27" spans="1:4" ht="14.1" customHeight="1" x14ac:dyDescent="0.2">
      <c r="A27" s="284" t="s">
        <v>125</v>
      </c>
      <c r="B27" s="419">
        <f t="shared" si="0"/>
        <v>444339</v>
      </c>
      <c r="C27" s="417">
        <f>+'- 49 -'!F27</f>
        <v>141433</v>
      </c>
      <c r="D27" s="417">
        <v>302906</v>
      </c>
    </row>
    <row r="28" spans="1:4" ht="14.1" customHeight="1" x14ac:dyDescent="0.2">
      <c r="A28" s="19" t="s">
        <v>126</v>
      </c>
      <c r="B28" s="420">
        <f t="shared" si="0"/>
        <v>372098</v>
      </c>
      <c r="C28" s="418">
        <f>+'- 49 -'!F28</f>
        <v>372098</v>
      </c>
      <c r="D28" s="418">
        <v>0</v>
      </c>
    </row>
    <row r="29" spans="1:4" ht="14.1" customHeight="1" x14ac:dyDescent="0.2">
      <c r="A29" s="284" t="s">
        <v>127</v>
      </c>
      <c r="B29" s="419">
        <f t="shared" si="0"/>
        <v>1720135</v>
      </c>
      <c r="C29" s="417">
        <f>+'- 49 -'!F29</f>
        <v>474794</v>
      </c>
      <c r="D29" s="417">
        <v>1245341</v>
      </c>
    </row>
    <row r="30" spans="1:4" ht="14.1" customHeight="1" x14ac:dyDescent="0.2">
      <c r="A30" s="19" t="s">
        <v>128</v>
      </c>
      <c r="B30" s="420">
        <f t="shared" si="0"/>
        <v>39707</v>
      </c>
      <c r="C30" s="418">
        <f>+'- 49 -'!F30</f>
        <v>39707</v>
      </c>
      <c r="D30" s="418">
        <v>0</v>
      </c>
    </row>
    <row r="31" spans="1:4" ht="14.1" customHeight="1" x14ac:dyDescent="0.2">
      <c r="A31" s="284" t="s">
        <v>129</v>
      </c>
      <c r="B31" s="419">
        <f t="shared" si="0"/>
        <v>380707</v>
      </c>
      <c r="C31" s="417">
        <f>+'- 49 -'!F31</f>
        <v>205441</v>
      </c>
      <c r="D31" s="417">
        <v>175266</v>
      </c>
    </row>
    <row r="32" spans="1:4" ht="14.1" customHeight="1" x14ac:dyDescent="0.2">
      <c r="A32" s="19" t="s">
        <v>130</v>
      </c>
      <c r="B32" s="420">
        <f t="shared" si="0"/>
        <v>170904</v>
      </c>
      <c r="C32" s="418">
        <f>+'- 49 -'!F32</f>
        <v>141908</v>
      </c>
      <c r="D32" s="418">
        <v>28996</v>
      </c>
    </row>
    <row r="33" spans="1:4" ht="14.1" customHeight="1" x14ac:dyDescent="0.2">
      <c r="A33" s="284" t="s">
        <v>131</v>
      </c>
      <c r="B33" s="419">
        <f t="shared" si="0"/>
        <v>261749</v>
      </c>
      <c r="C33" s="417">
        <f>+'- 49 -'!F33</f>
        <v>215046</v>
      </c>
      <c r="D33" s="417">
        <v>46703</v>
      </c>
    </row>
    <row r="34" spans="1:4" ht="14.1" customHeight="1" x14ac:dyDescent="0.2">
      <c r="A34" s="19" t="s">
        <v>132</v>
      </c>
      <c r="B34" s="420">
        <f t="shared" si="0"/>
        <v>219502</v>
      </c>
      <c r="C34" s="418">
        <f>+'- 49 -'!F34</f>
        <v>176534</v>
      </c>
      <c r="D34" s="418">
        <v>42968</v>
      </c>
    </row>
    <row r="35" spans="1:4" ht="14.1" customHeight="1" x14ac:dyDescent="0.2">
      <c r="A35" s="284" t="s">
        <v>133</v>
      </c>
      <c r="B35" s="419">
        <f t="shared" si="0"/>
        <v>1895918</v>
      </c>
      <c r="C35" s="417">
        <f>+'- 49 -'!F35</f>
        <v>308886</v>
      </c>
      <c r="D35" s="417">
        <v>1587032</v>
      </c>
    </row>
    <row r="36" spans="1:4" ht="14.1" customHeight="1" x14ac:dyDescent="0.2">
      <c r="A36" s="19" t="s">
        <v>134</v>
      </c>
      <c r="B36" s="420">
        <f t="shared" si="0"/>
        <v>237669</v>
      </c>
      <c r="C36" s="418">
        <f>+'- 49 -'!F36</f>
        <v>237669</v>
      </c>
      <c r="D36" s="418">
        <v>0</v>
      </c>
    </row>
    <row r="37" spans="1:4" ht="14.1" customHeight="1" x14ac:dyDescent="0.2">
      <c r="A37" s="284" t="s">
        <v>135</v>
      </c>
      <c r="B37" s="419">
        <f t="shared" si="0"/>
        <v>307292</v>
      </c>
      <c r="C37" s="417">
        <f>+'- 49 -'!F37</f>
        <v>256143</v>
      </c>
      <c r="D37" s="417">
        <v>51149</v>
      </c>
    </row>
    <row r="38" spans="1:4" ht="14.1" customHeight="1" x14ac:dyDescent="0.2">
      <c r="A38" s="19" t="s">
        <v>136</v>
      </c>
      <c r="B38" s="420">
        <f t="shared" si="0"/>
        <v>620268</v>
      </c>
      <c r="C38" s="418">
        <f>+'- 49 -'!F38</f>
        <v>180387</v>
      </c>
      <c r="D38" s="418">
        <v>439881</v>
      </c>
    </row>
    <row r="39" spans="1:4" ht="14.1" customHeight="1" x14ac:dyDescent="0.2">
      <c r="A39" s="284" t="s">
        <v>137</v>
      </c>
      <c r="B39" s="419">
        <f t="shared" si="0"/>
        <v>256267</v>
      </c>
      <c r="C39" s="417">
        <f>+'- 49 -'!F39</f>
        <v>256267</v>
      </c>
      <c r="D39" s="417">
        <v>0</v>
      </c>
    </row>
    <row r="40" spans="1:4" ht="14.1" customHeight="1" x14ac:dyDescent="0.2">
      <c r="A40" s="19" t="s">
        <v>138</v>
      </c>
      <c r="B40" s="420">
        <f t="shared" si="0"/>
        <v>546811</v>
      </c>
      <c r="C40" s="418">
        <f>+'- 49 -'!F40</f>
        <v>382225</v>
      </c>
      <c r="D40" s="418">
        <v>164586</v>
      </c>
    </row>
    <row r="41" spans="1:4" ht="14.1" customHeight="1" x14ac:dyDescent="0.2">
      <c r="A41" s="284" t="s">
        <v>139</v>
      </c>
      <c r="B41" s="419">
        <f t="shared" si="0"/>
        <v>518894</v>
      </c>
      <c r="C41" s="417">
        <f>+'- 49 -'!F41</f>
        <v>474337</v>
      </c>
      <c r="D41" s="417">
        <v>44557</v>
      </c>
    </row>
    <row r="42" spans="1:4" ht="14.1" customHeight="1" x14ac:dyDescent="0.2">
      <c r="A42" s="19" t="s">
        <v>140</v>
      </c>
      <c r="B42" s="420">
        <f t="shared" si="0"/>
        <v>180818</v>
      </c>
      <c r="C42" s="418">
        <f>+'- 49 -'!F42</f>
        <v>179830</v>
      </c>
      <c r="D42" s="418">
        <v>988</v>
      </c>
    </row>
    <row r="43" spans="1:4" ht="14.1" customHeight="1" x14ac:dyDescent="0.2">
      <c r="A43" s="284" t="s">
        <v>141</v>
      </c>
      <c r="B43" s="419">
        <f t="shared" si="0"/>
        <v>234468</v>
      </c>
      <c r="C43" s="417">
        <f>+'- 49 -'!F43</f>
        <v>71157</v>
      </c>
      <c r="D43" s="417">
        <v>163311</v>
      </c>
    </row>
    <row r="44" spans="1:4" ht="14.1" customHeight="1" x14ac:dyDescent="0.2">
      <c r="A44" s="19" t="s">
        <v>142</v>
      </c>
      <c r="B44" s="420">
        <f t="shared" si="0"/>
        <v>166565</v>
      </c>
      <c r="C44" s="418">
        <f>+'- 49 -'!F44</f>
        <v>166565</v>
      </c>
      <c r="D44" s="418">
        <v>0</v>
      </c>
    </row>
    <row r="45" spans="1:4" ht="14.1" customHeight="1" x14ac:dyDescent="0.2">
      <c r="A45" s="284" t="s">
        <v>143</v>
      </c>
      <c r="B45" s="419">
        <f t="shared" si="0"/>
        <v>96625</v>
      </c>
      <c r="C45" s="417">
        <f>+'- 49 -'!F45</f>
        <v>88464</v>
      </c>
      <c r="D45" s="417">
        <v>8161</v>
      </c>
    </row>
    <row r="46" spans="1:4" ht="14.1" customHeight="1" x14ac:dyDescent="0.2">
      <c r="A46" s="19" t="s">
        <v>144</v>
      </c>
      <c r="B46" s="420">
        <f t="shared" si="0"/>
        <v>2943767</v>
      </c>
      <c r="C46" s="418">
        <f>+'- 49 -'!F46</f>
        <v>-19456</v>
      </c>
      <c r="D46" s="418">
        <v>2963223</v>
      </c>
    </row>
    <row r="47" spans="1:4" ht="5.0999999999999996" customHeight="1" x14ac:dyDescent="0.2">
      <c r="A47" s="21"/>
      <c r="B47" s="22"/>
      <c r="C47" s="22"/>
      <c r="D47" s="22"/>
    </row>
    <row r="48" spans="1:4" ht="14.1" customHeight="1" x14ac:dyDescent="0.2">
      <c r="A48" s="286" t="s">
        <v>145</v>
      </c>
      <c r="B48" s="422">
        <f>SUM(B11:B46)</f>
        <v>19339397</v>
      </c>
      <c r="C48" s="421">
        <f>SUM(C11:C46)</f>
        <v>10138065</v>
      </c>
      <c r="D48" s="421">
        <f>SUM(D11:D46)</f>
        <v>9201332</v>
      </c>
    </row>
    <row r="49" spans="1:5" ht="5.0999999999999996" customHeight="1" x14ac:dyDescent="0.2">
      <c r="A49" s="21" t="s">
        <v>7</v>
      </c>
      <c r="B49" s="22"/>
      <c r="C49" s="22"/>
      <c r="D49" s="22"/>
    </row>
    <row r="50" spans="1:5" ht="14.1" customHeight="1" x14ac:dyDescent="0.2">
      <c r="A50" s="19" t="s">
        <v>146</v>
      </c>
      <c r="B50" s="420">
        <f>C50+D50</f>
        <v>15150</v>
      </c>
      <c r="C50" s="418">
        <f>+'- 49 -'!F50</f>
        <v>15150</v>
      </c>
      <c r="D50" s="418">
        <v>0</v>
      </c>
    </row>
    <row r="51" spans="1:5" ht="14.1" customHeight="1" x14ac:dyDescent="0.2">
      <c r="A51" s="284" t="s">
        <v>609</v>
      </c>
      <c r="B51" s="419">
        <f>C51+D51</f>
        <v>0</v>
      </c>
      <c r="C51" s="417">
        <f>+'- 49 -'!F51</f>
        <v>0</v>
      </c>
      <c r="D51" s="417">
        <v>0</v>
      </c>
    </row>
    <row r="52" spans="1:5" ht="50.1" customHeight="1" x14ac:dyDescent="0.2">
      <c r="A52" s="23"/>
      <c r="B52" s="23"/>
      <c r="C52" s="433"/>
      <c r="D52" s="23"/>
      <c r="E52" s="23"/>
    </row>
    <row r="53" spans="1:5" ht="15.75" customHeight="1" x14ac:dyDescent="0.2">
      <c r="A53" s="748" t="s">
        <v>555</v>
      </c>
      <c r="B53" s="748"/>
      <c r="C53" s="748"/>
      <c r="D53" s="748"/>
      <c r="E53" s="748"/>
    </row>
    <row r="54" spans="1:5" x14ac:dyDescent="0.2">
      <c r="A54" s="749"/>
      <c r="B54" s="749"/>
      <c r="C54" s="749"/>
      <c r="D54" s="749"/>
      <c r="E54" s="749"/>
    </row>
    <row r="55" spans="1:5" x14ac:dyDescent="0.2">
      <c r="A55" s="749" t="s">
        <v>556</v>
      </c>
      <c r="B55" s="749"/>
      <c r="C55" s="749"/>
      <c r="D55" s="749"/>
      <c r="E55" s="749"/>
    </row>
    <row r="56" spans="1:5" x14ac:dyDescent="0.2">
      <c r="A56" s="749"/>
      <c r="B56" s="749"/>
      <c r="C56" s="749"/>
      <c r="D56" s="749"/>
      <c r="E56" s="749"/>
    </row>
  </sheetData>
  <mergeCells count="8">
    <mergeCell ref="A53:E54"/>
    <mergeCell ref="A55:E56"/>
    <mergeCell ref="A2:E2"/>
    <mergeCell ref="A3:E3"/>
    <mergeCell ref="C7:D7"/>
    <mergeCell ref="B8:B9"/>
    <mergeCell ref="C8:C9"/>
    <mergeCell ref="D8:D9"/>
  </mergeCells>
  <pageMargins left="0.5" right="0.5" top="0.6" bottom="0.2" header="0.3" footer="0.5"/>
  <pageSetup scale="88" orientation="portrait" r:id="rId1"/>
  <headerFooter alignWithMargins="0">
    <oddHeader>&amp;C&amp;"Arial,Regular"&amp;11&amp;A</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D59"/>
  <sheetViews>
    <sheetView showGridLines="0" showZeros="0" workbookViewId="0"/>
  </sheetViews>
  <sheetFormatPr defaultColWidth="15.83203125" defaultRowHeight="12" x14ac:dyDescent="0.2"/>
  <cols>
    <col min="1" max="1" width="35.83203125" style="2" customWidth="1"/>
    <col min="2" max="3" width="25.83203125" style="2" customWidth="1"/>
    <col min="4" max="4" width="45.83203125" style="2" customWidth="1"/>
    <col min="5" max="16384" width="15.83203125" style="2"/>
  </cols>
  <sheetData>
    <row r="1" spans="1:4" ht="6.95" customHeight="1" x14ac:dyDescent="0.2">
      <c r="A1" s="7"/>
    </row>
    <row r="2" spans="1:4" ht="17.100000000000001" customHeight="1" x14ac:dyDescent="0.2">
      <c r="A2" s="228"/>
      <c r="B2" s="229" t="s">
        <v>364</v>
      </c>
      <c r="C2" s="158"/>
      <c r="D2" s="153"/>
    </row>
    <row r="3" spans="1:4" ht="15" customHeight="1" x14ac:dyDescent="0.2">
      <c r="A3" s="540"/>
      <c r="B3" s="233" t="s">
        <v>637</v>
      </c>
      <c r="C3" s="159"/>
      <c r="D3" s="230"/>
    </row>
    <row r="4" spans="1:4" ht="15.95" customHeight="1" x14ac:dyDescent="0.2">
      <c r="A4" s="133"/>
      <c r="B4" s="8"/>
      <c r="C4" s="43"/>
    </row>
    <row r="5" spans="1:4" ht="15.95" customHeight="1" x14ac:dyDescent="0.2">
      <c r="A5" s="2" t="str">
        <f>REPLACE(A4,5,5,"")</f>
        <v/>
      </c>
      <c r="B5" s="8"/>
      <c r="C5" s="8"/>
    </row>
    <row r="6" spans="1:4" ht="15.95" customHeight="1" x14ac:dyDescent="0.2">
      <c r="B6"/>
      <c r="C6"/>
    </row>
    <row r="7" spans="1:4" ht="15.95" customHeight="1" x14ac:dyDescent="0.2">
      <c r="B7" s="775" t="s">
        <v>558</v>
      </c>
      <c r="C7" s="564"/>
    </row>
    <row r="8" spans="1:4" ht="15.95" customHeight="1" x14ac:dyDescent="0.2">
      <c r="A8" s="403"/>
      <c r="B8" s="776"/>
      <c r="C8" s="773" t="s">
        <v>557</v>
      </c>
    </row>
    <row r="9" spans="1:4" ht="15.95" customHeight="1" x14ac:dyDescent="0.2">
      <c r="A9" s="404" t="s">
        <v>42</v>
      </c>
      <c r="B9" s="777"/>
      <c r="C9" s="774"/>
    </row>
    <row r="10" spans="1:4" ht="5.0999999999999996" customHeight="1" x14ac:dyDescent="0.2">
      <c r="A10" s="6"/>
      <c r="B10" s="207"/>
      <c r="C10" s="222">
        <v>1.0500000000000001E-2</v>
      </c>
    </row>
    <row r="11" spans="1:4" ht="14.1" customHeight="1" x14ac:dyDescent="0.2">
      <c r="A11" s="284" t="s">
        <v>110</v>
      </c>
      <c r="B11" s="285">
        <f>'- 53 -'!D11</f>
        <v>149041600</v>
      </c>
      <c r="C11" s="285">
        <f t="shared" ref="C11:C46" si="0">B11*C$10</f>
        <v>1564936.8</v>
      </c>
    </row>
    <row r="12" spans="1:4" ht="14.1" customHeight="1" x14ac:dyDescent="0.2">
      <c r="A12" s="19" t="s">
        <v>111</v>
      </c>
      <c r="B12" s="20">
        <f>'- 53 -'!D12</f>
        <v>202589750</v>
      </c>
      <c r="C12" s="20">
        <f t="shared" si="0"/>
        <v>2127192.375</v>
      </c>
    </row>
    <row r="13" spans="1:4" ht="14.1" customHeight="1" x14ac:dyDescent="0.2">
      <c r="A13" s="284" t="s">
        <v>112</v>
      </c>
      <c r="B13" s="285">
        <f>'- 53 -'!D13</f>
        <v>891977080</v>
      </c>
      <c r="C13" s="285">
        <f t="shared" si="0"/>
        <v>9365759.3399999999</v>
      </c>
    </row>
    <row r="14" spans="1:4" ht="14.1" customHeight="1" x14ac:dyDescent="0.2">
      <c r="A14" s="19" t="s">
        <v>359</v>
      </c>
      <c r="B14" s="20">
        <f>'- 53 -'!D14</f>
        <v>0</v>
      </c>
      <c r="C14" s="20">
        <f t="shared" si="0"/>
        <v>0</v>
      </c>
    </row>
    <row r="15" spans="1:4" ht="14.1" customHeight="1" x14ac:dyDescent="0.2">
      <c r="A15" s="284" t="s">
        <v>113</v>
      </c>
      <c r="B15" s="285">
        <f>'- 53 -'!D15</f>
        <v>115724220</v>
      </c>
      <c r="C15" s="285">
        <f t="shared" si="0"/>
        <v>1215104.31</v>
      </c>
    </row>
    <row r="16" spans="1:4" ht="14.1" customHeight="1" x14ac:dyDescent="0.2">
      <c r="A16" s="19" t="s">
        <v>114</v>
      </c>
      <c r="B16" s="20">
        <f>'- 53 -'!D16</f>
        <v>34365300</v>
      </c>
      <c r="C16" s="20">
        <f t="shared" si="0"/>
        <v>360835.65</v>
      </c>
    </row>
    <row r="17" spans="1:3" ht="14.1" customHeight="1" x14ac:dyDescent="0.2">
      <c r="A17" s="284" t="s">
        <v>115</v>
      </c>
      <c r="B17" s="285">
        <f>'- 53 -'!D17</f>
        <v>567888420</v>
      </c>
      <c r="C17" s="285">
        <f t="shared" si="0"/>
        <v>5962828.4100000001</v>
      </c>
    </row>
    <row r="18" spans="1:3" ht="14.1" customHeight="1" x14ac:dyDescent="0.2">
      <c r="A18" s="19" t="s">
        <v>116</v>
      </c>
      <c r="B18" s="20">
        <f>'- 53 -'!D18</f>
        <v>73229640</v>
      </c>
      <c r="C18" s="20">
        <f t="shared" si="0"/>
        <v>768911.22000000009</v>
      </c>
    </row>
    <row r="19" spans="1:3" ht="14.1" customHeight="1" x14ac:dyDescent="0.2">
      <c r="A19" s="284" t="s">
        <v>117</v>
      </c>
      <c r="B19" s="285">
        <f>'- 53 -'!D19</f>
        <v>299276160</v>
      </c>
      <c r="C19" s="285">
        <f t="shared" si="0"/>
        <v>3142399.68</v>
      </c>
    </row>
    <row r="20" spans="1:3" ht="14.1" customHeight="1" x14ac:dyDescent="0.2">
      <c r="A20" s="19" t="s">
        <v>118</v>
      </c>
      <c r="B20" s="20">
        <f>'- 53 -'!D20</f>
        <v>398430210</v>
      </c>
      <c r="C20" s="20">
        <f t="shared" si="0"/>
        <v>4183517.2050000001</v>
      </c>
    </row>
    <row r="21" spans="1:3" ht="14.1" customHeight="1" x14ac:dyDescent="0.2">
      <c r="A21" s="284" t="s">
        <v>119</v>
      </c>
      <c r="B21" s="285">
        <f>'- 53 -'!D21</f>
        <v>272372680</v>
      </c>
      <c r="C21" s="285">
        <f t="shared" si="0"/>
        <v>2859913.14</v>
      </c>
    </row>
    <row r="22" spans="1:3" ht="14.1" customHeight="1" x14ac:dyDescent="0.2">
      <c r="A22" s="19" t="s">
        <v>120</v>
      </c>
      <c r="B22" s="20">
        <f>'- 53 -'!D22</f>
        <v>66668310</v>
      </c>
      <c r="C22" s="20">
        <f t="shared" si="0"/>
        <v>700017.255</v>
      </c>
    </row>
    <row r="23" spans="1:3" ht="14.1" customHeight="1" x14ac:dyDescent="0.2">
      <c r="A23" s="284" t="s">
        <v>121</v>
      </c>
      <c r="B23" s="285">
        <f>'- 53 -'!D23</f>
        <v>31250210</v>
      </c>
      <c r="C23" s="285">
        <f t="shared" si="0"/>
        <v>328127.20500000002</v>
      </c>
    </row>
    <row r="24" spans="1:3" ht="14.1" customHeight="1" x14ac:dyDescent="0.2">
      <c r="A24" s="19" t="s">
        <v>122</v>
      </c>
      <c r="B24" s="20">
        <f>'- 53 -'!D24</f>
        <v>251100000</v>
      </c>
      <c r="C24" s="20">
        <f t="shared" si="0"/>
        <v>2636550</v>
      </c>
    </row>
    <row r="25" spans="1:3" ht="14.1" customHeight="1" x14ac:dyDescent="0.2">
      <c r="A25" s="284" t="s">
        <v>123</v>
      </c>
      <c r="B25" s="285">
        <f>'- 53 -'!D25</f>
        <v>1394287470</v>
      </c>
      <c r="C25" s="285">
        <f t="shared" si="0"/>
        <v>14640018.435000001</v>
      </c>
    </row>
    <row r="26" spans="1:3" ht="14.1" customHeight="1" x14ac:dyDescent="0.2">
      <c r="A26" s="19" t="s">
        <v>124</v>
      </c>
      <c r="B26" s="20">
        <f>'- 53 -'!D26</f>
        <v>132889360</v>
      </c>
      <c r="C26" s="20">
        <f t="shared" si="0"/>
        <v>1395338.28</v>
      </c>
    </row>
    <row r="27" spans="1:3" ht="14.1" customHeight="1" x14ac:dyDescent="0.2">
      <c r="A27" s="284" t="s">
        <v>125</v>
      </c>
      <c r="B27" s="285">
        <f>'- 53 -'!D27</f>
        <v>143639480</v>
      </c>
      <c r="C27" s="285">
        <f t="shared" si="0"/>
        <v>1508214.54</v>
      </c>
    </row>
    <row r="28" spans="1:3" ht="14.1" customHeight="1" x14ac:dyDescent="0.2">
      <c r="A28" s="19" t="s">
        <v>126</v>
      </c>
      <c r="B28" s="20">
        <f>'- 53 -'!D28</f>
        <v>194480680</v>
      </c>
      <c r="C28" s="20">
        <f t="shared" si="0"/>
        <v>2042047.1400000001</v>
      </c>
    </row>
    <row r="29" spans="1:3" ht="14.1" customHeight="1" x14ac:dyDescent="0.2">
      <c r="A29" s="284" t="s">
        <v>127</v>
      </c>
      <c r="B29" s="285">
        <f>'- 53 -'!D29</f>
        <v>1468488040</v>
      </c>
      <c r="C29" s="285">
        <f t="shared" si="0"/>
        <v>15419124.420000002</v>
      </c>
    </row>
    <row r="30" spans="1:3" ht="14.1" customHeight="1" x14ac:dyDescent="0.2">
      <c r="A30" s="19" t="s">
        <v>128</v>
      </c>
      <c r="B30" s="20">
        <f>'- 53 -'!D30</f>
        <v>95687060</v>
      </c>
      <c r="C30" s="20">
        <f t="shared" si="0"/>
        <v>1004714.13</v>
      </c>
    </row>
    <row r="31" spans="1:3" ht="14.1" customHeight="1" x14ac:dyDescent="0.2">
      <c r="A31" s="284" t="s">
        <v>129</v>
      </c>
      <c r="B31" s="285">
        <f>'- 53 -'!D31</f>
        <v>340909230</v>
      </c>
      <c r="C31" s="285">
        <f t="shared" si="0"/>
        <v>3579546.915</v>
      </c>
    </row>
    <row r="32" spans="1:3" ht="14.1" customHeight="1" x14ac:dyDescent="0.2">
      <c r="A32" s="19" t="s">
        <v>130</v>
      </c>
      <c r="B32" s="20">
        <f>'- 53 -'!D32</f>
        <v>146423520</v>
      </c>
      <c r="C32" s="20">
        <f t="shared" si="0"/>
        <v>1537446.9600000002</v>
      </c>
    </row>
    <row r="33" spans="1:3" ht="14.1" customHeight="1" x14ac:dyDescent="0.2">
      <c r="A33" s="284" t="s">
        <v>131</v>
      </c>
      <c r="B33" s="285">
        <f>'- 53 -'!D33</f>
        <v>174002000</v>
      </c>
      <c r="C33" s="285">
        <f t="shared" si="0"/>
        <v>1827021</v>
      </c>
    </row>
    <row r="34" spans="1:3" ht="14.1" customHeight="1" x14ac:dyDescent="0.2">
      <c r="A34" s="19" t="s">
        <v>132</v>
      </c>
      <c r="B34" s="20">
        <f>'- 53 -'!D34</f>
        <v>267422290</v>
      </c>
      <c r="C34" s="20">
        <f t="shared" si="0"/>
        <v>2807934.0450000004</v>
      </c>
    </row>
    <row r="35" spans="1:3" ht="14.1" customHeight="1" x14ac:dyDescent="0.2">
      <c r="A35" s="284" t="s">
        <v>133</v>
      </c>
      <c r="B35" s="285">
        <f>'- 53 -'!D35</f>
        <v>1082984190</v>
      </c>
      <c r="C35" s="285">
        <f t="shared" si="0"/>
        <v>11371333.995000001</v>
      </c>
    </row>
    <row r="36" spans="1:3" ht="14.1" customHeight="1" x14ac:dyDescent="0.2">
      <c r="A36" s="19" t="s">
        <v>134</v>
      </c>
      <c r="B36" s="20">
        <f>'- 53 -'!D36</f>
        <v>182069180</v>
      </c>
      <c r="C36" s="20">
        <f t="shared" si="0"/>
        <v>1911726.3900000001</v>
      </c>
    </row>
    <row r="37" spans="1:3" ht="14.1" customHeight="1" x14ac:dyDescent="0.2">
      <c r="A37" s="284" t="s">
        <v>135</v>
      </c>
      <c r="B37" s="285">
        <f>'- 53 -'!D37</f>
        <v>182241700</v>
      </c>
      <c r="C37" s="285">
        <f t="shared" si="0"/>
        <v>1913537.85</v>
      </c>
    </row>
    <row r="38" spans="1:3" ht="14.1" customHeight="1" x14ac:dyDescent="0.2">
      <c r="A38" s="19" t="s">
        <v>136</v>
      </c>
      <c r="B38" s="20">
        <f>'- 53 -'!D38</f>
        <v>392616130</v>
      </c>
      <c r="C38" s="20">
        <f t="shared" si="0"/>
        <v>4122469.3650000002</v>
      </c>
    </row>
    <row r="39" spans="1:3" ht="14.1" customHeight="1" x14ac:dyDescent="0.2">
      <c r="A39" s="284" t="s">
        <v>137</v>
      </c>
      <c r="B39" s="285">
        <f>'- 53 -'!D39</f>
        <v>424960310</v>
      </c>
      <c r="C39" s="285">
        <f t="shared" si="0"/>
        <v>4462083.2549999999</v>
      </c>
    </row>
    <row r="40" spans="1:3" ht="14.1" customHeight="1" x14ac:dyDescent="0.2">
      <c r="A40" s="19" t="s">
        <v>138</v>
      </c>
      <c r="B40" s="20">
        <f>'- 53 -'!D40</f>
        <v>1581603350</v>
      </c>
      <c r="C40" s="20">
        <f t="shared" si="0"/>
        <v>16606835.175000001</v>
      </c>
    </row>
    <row r="41" spans="1:3" ht="14.1" customHeight="1" x14ac:dyDescent="0.2">
      <c r="A41" s="284" t="s">
        <v>139</v>
      </c>
      <c r="B41" s="285">
        <f>'- 53 -'!D41</f>
        <v>439352980</v>
      </c>
      <c r="C41" s="285">
        <f t="shared" si="0"/>
        <v>4613206.29</v>
      </c>
    </row>
    <row r="42" spans="1:3" ht="14.1" customHeight="1" x14ac:dyDescent="0.2">
      <c r="A42" s="19" t="s">
        <v>140</v>
      </c>
      <c r="B42" s="20">
        <f>'- 53 -'!D42</f>
        <v>81636510</v>
      </c>
      <c r="C42" s="20">
        <f t="shared" si="0"/>
        <v>857183.3550000001</v>
      </c>
    </row>
    <row r="43" spans="1:3" ht="14.1" customHeight="1" x14ac:dyDescent="0.2">
      <c r="A43" s="284" t="s">
        <v>141</v>
      </c>
      <c r="B43" s="285">
        <f>'- 53 -'!D43</f>
        <v>65383910</v>
      </c>
      <c r="C43" s="285">
        <f t="shared" si="0"/>
        <v>686531.05500000005</v>
      </c>
    </row>
    <row r="44" spans="1:3" ht="14.1" customHeight="1" x14ac:dyDescent="0.2">
      <c r="A44" s="19" t="s">
        <v>142</v>
      </c>
      <c r="B44" s="20">
        <f>'- 53 -'!D44</f>
        <v>13752250</v>
      </c>
      <c r="C44" s="20">
        <f t="shared" si="0"/>
        <v>144398.625</v>
      </c>
    </row>
    <row r="45" spans="1:3" ht="14.1" customHeight="1" x14ac:dyDescent="0.2">
      <c r="A45" s="284" t="s">
        <v>143</v>
      </c>
      <c r="B45" s="285">
        <f>'- 53 -'!D45</f>
        <v>98873520</v>
      </c>
      <c r="C45" s="285">
        <f t="shared" si="0"/>
        <v>1038171.9600000001</v>
      </c>
    </row>
    <row r="46" spans="1:3" ht="14.1" customHeight="1" x14ac:dyDescent="0.2">
      <c r="A46" s="19" t="s">
        <v>144</v>
      </c>
      <c r="B46" s="20">
        <f>'- 53 -'!D46</f>
        <v>4965888970</v>
      </c>
      <c r="C46" s="20">
        <f t="shared" si="0"/>
        <v>52141834.185000002</v>
      </c>
    </row>
    <row r="47" spans="1:3" ht="6" customHeight="1" x14ac:dyDescent="0.2">
      <c r="A47" s="21"/>
      <c r="B47" s="22"/>
      <c r="C47" s="22"/>
    </row>
    <row r="48" spans="1:3" ht="14.1" customHeight="1" x14ac:dyDescent="0.2">
      <c r="A48" s="286" t="s">
        <v>228</v>
      </c>
      <c r="B48" s="287">
        <f>SUM(B11:B46)</f>
        <v>17223505710</v>
      </c>
      <c r="C48" s="287">
        <f>SUM(C11:C46)</f>
        <v>180846809.95499998</v>
      </c>
    </row>
    <row r="49" spans="1:4" ht="6" customHeight="1" x14ac:dyDescent="0.2">
      <c r="A49" s="21"/>
      <c r="B49" s="22"/>
      <c r="C49" s="22"/>
    </row>
    <row r="50" spans="1:4" ht="14.1" customHeight="1" x14ac:dyDescent="0.2">
      <c r="A50" s="19" t="s">
        <v>229</v>
      </c>
      <c r="B50" s="20">
        <f>'- 53 -'!D50</f>
        <v>3879610</v>
      </c>
      <c r="C50" s="20">
        <v>0</v>
      </c>
    </row>
    <row r="51" spans="1:4" ht="14.1" customHeight="1" x14ac:dyDescent="0.2">
      <c r="A51" s="284" t="s">
        <v>230</v>
      </c>
      <c r="B51" s="285">
        <f>'- 53 -'!D51</f>
        <v>54144440</v>
      </c>
      <c r="C51" s="285">
        <f>B51*C$10</f>
        <v>568516.62</v>
      </c>
    </row>
    <row r="52" spans="1:4" ht="6" customHeight="1" x14ac:dyDescent="0.2">
      <c r="A52" s="130"/>
      <c r="B52" s="152"/>
      <c r="C52" s="152"/>
    </row>
    <row r="53" spans="1:4" ht="14.45" customHeight="1" x14ac:dyDescent="0.2">
      <c r="A53" s="396" t="s">
        <v>145</v>
      </c>
      <c r="B53" s="397">
        <f>SUM(B48,B50:B51)</f>
        <v>17281529760</v>
      </c>
      <c r="C53" s="397">
        <f>SUM(C48,C50:C51)</f>
        <v>181415326.57499999</v>
      </c>
      <c r="D53" s="184"/>
    </row>
    <row r="54" spans="1:4" ht="50.1" customHeight="1" x14ac:dyDescent="0.2">
      <c r="A54" s="223"/>
      <c r="B54" s="223"/>
      <c r="C54" s="223"/>
      <c r="D54" s="23"/>
    </row>
    <row r="55" spans="1:4" ht="14.45" customHeight="1" x14ac:dyDescent="0.2">
      <c r="A55" s="414" t="s">
        <v>638</v>
      </c>
      <c r="B55" s="38"/>
      <c r="C55" s="38"/>
      <c r="D55" s="38"/>
    </row>
    <row r="56" spans="1:4" ht="14.45" customHeight="1" x14ac:dyDescent="0.2">
      <c r="A56" s="25"/>
      <c r="B56" s="38"/>
      <c r="C56" s="38"/>
      <c r="D56" s="38"/>
    </row>
    <row r="57" spans="1:4" ht="14.45" customHeight="1" x14ac:dyDescent="0.2">
      <c r="A57" s="26"/>
      <c r="B57" s="38"/>
      <c r="C57" s="38"/>
      <c r="D57" s="38"/>
    </row>
    <row r="58" spans="1:4" ht="14.45" customHeight="1" x14ac:dyDescent="0.2">
      <c r="B58" s="80"/>
      <c r="C58" s="80"/>
    </row>
    <row r="59" spans="1:4" ht="14.45" customHeight="1" x14ac:dyDescent="0.2"/>
  </sheetData>
  <mergeCells count="2">
    <mergeCell ref="C8:C9"/>
    <mergeCell ref="B7:B9"/>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2"/>
  <dimension ref="A1:M57"/>
  <sheetViews>
    <sheetView showGridLines="0" showZeros="0" workbookViewId="0"/>
  </sheetViews>
  <sheetFormatPr defaultColWidth="15.83203125" defaultRowHeight="12" x14ac:dyDescent="0.2"/>
  <cols>
    <col min="1" max="1" width="30" style="2" customWidth="1"/>
    <col min="2" max="2" width="17.1640625" style="2" customWidth="1"/>
    <col min="3" max="3" width="16.33203125" style="2" customWidth="1"/>
    <col min="4" max="4" width="17" style="2" customWidth="1"/>
    <col min="5" max="5" width="16.1640625" style="2" bestFit="1" customWidth="1"/>
    <col min="6" max="6" width="15.1640625" style="2" customWidth="1"/>
    <col min="7" max="7" width="15.33203125" style="2" customWidth="1"/>
    <col min="8" max="8" width="15.83203125" style="2"/>
    <col min="9" max="9" width="21" style="2" hidden="1" customWidth="1"/>
    <col min="10" max="11" width="0" style="2" hidden="1" customWidth="1"/>
    <col min="12" max="16384" width="15.83203125" style="2"/>
  </cols>
  <sheetData>
    <row r="1" spans="1:13" ht="6.95" customHeight="1" x14ac:dyDescent="0.2">
      <c r="A1" s="7"/>
    </row>
    <row r="2" spans="1:13" ht="15.95" customHeight="1" x14ac:dyDescent="0.2">
      <c r="A2" s="208" t="s">
        <v>48</v>
      </c>
      <c r="B2" s="224"/>
      <c r="C2" s="224"/>
      <c r="D2" s="224"/>
      <c r="E2" s="224"/>
      <c r="F2" s="224"/>
      <c r="G2" s="224"/>
    </row>
    <row r="3" spans="1:13" ht="15.95" customHeight="1" x14ac:dyDescent="0.2">
      <c r="A3" s="233" t="str">
        <f>TAXYEAR</f>
        <v>FOR THE 2016 TAXATION YEAR (2016 IS A REASSESSMENT YEAR)</v>
      </c>
      <c r="B3" s="225"/>
      <c r="C3" s="225"/>
      <c r="D3" s="225"/>
      <c r="E3" s="235"/>
      <c r="F3" s="235"/>
      <c r="G3" s="225"/>
    </row>
    <row r="4" spans="1:13" ht="15.95" customHeight="1" x14ac:dyDescent="0.2">
      <c r="B4" s="8"/>
      <c r="C4" s="8"/>
      <c r="D4" s="8"/>
      <c r="E4" s="43"/>
      <c r="F4" s="43"/>
      <c r="G4" s="43"/>
    </row>
    <row r="5" spans="1:13" ht="15.95" customHeight="1" x14ac:dyDescent="0.2">
      <c r="B5" s="8"/>
      <c r="C5" s="8"/>
      <c r="D5" s="8"/>
      <c r="E5" s="8"/>
      <c r="F5" s="8"/>
      <c r="G5" s="8"/>
      <c r="M5" s="133"/>
    </row>
    <row r="6" spans="1:13" ht="15.95" customHeight="1" x14ac:dyDescent="0.2">
      <c r="B6" s="206" t="s">
        <v>55</v>
      </c>
      <c r="C6" s="172"/>
      <c r="D6" s="172"/>
      <c r="E6" s="170"/>
      <c r="F6" s="8"/>
      <c r="G6" s="8"/>
      <c r="H6" s="4" t="s">
        <v>64</v>
      </c>
    </row>
    <row r="7" spans="1:13" ht="15.95" customHeight="1" x14ac:dyDescent="0.2">
      <c r="B7" s="778" t="s">
        <v>562</v>
      </c>
      <c r="C7" s="778" t="s">
        <v>561</v>
      </c>
      <c r="D7" s="346"/>
      <c r="E7" s="303"/>
      <c r="F7" s="347"/>
      <c r="G7" s="634" t="s">
        <v>560</v>
      </c>
      <c r="H7" s="4" t="s">
        <v>62</v>
      </c>
    </row>
    <row r="8" spans="1:13" ht="15.95" customHeight="1" x14ac:dyDescent="0.2">
      <c r="A8" s="33"/>
      <c r="B8" s="779"/>
      <c r="C8" s="779"/>
      <c r="D8" s="348" t="s">
        <v>7</v>
      </c>
      <c r="E8" s="349"/>
      <c r="F8" s="732" t="s">
        <v>559</v>
      </c>
      <c r="G8" s="732"/>
      <c r="H8" s="4" t="s">
        <v>104</v>
      </c>
    </row>
    <row r="9" spans="1:13" ht="15.95" customHeight="1" x14ac:dyDescent="0.2">
      <c r="A9" s="236" t="s">
        <v>42</v>
      </c>
      <c r="B9" s="780"/>
      <c r="C9" s="780"/>
      <c r="D9" s="351" t="s">
        <v>68</v>
      </c>
      <c r="E9" s="307" t="s">
        <v>31</v>
      </c>
      <c r="F9" s="635"/>
      <c r="G9" s="733"/>
      <c r="H9" s="4" t="s">
        <v>105</v>
      </c>
    </row>
    <row r="10" spans="1:13" ht="5.0999999999999996" customHeight="1" x14ac:dyDescent="0.2">
      <c r="A10" s="18"/>
      <c r="B10" s="207"/>
      <c r="C10" s="7"/>
      <c r="D10" s="207"/>
      <c r="E10" s="207"/>
      <c r="F10" s="7"/>
      <c r="G10" s="7"/>
    </row>
    <row r="11" spans="1:13" ht="14.1" customHeight="1" x14ac:dyDescent="0.2">
      <c r="A11" s="354" t="s">
        <v>110</v>
      </c>
      <c r="B11" s="352">
        <v>295950050</v>
      </c>
      <c r="C11" s="352">
        <v>271873200</v>
      </c>
      <c r="D11" s="352">
        <v>149041600</v>
      </c>
      <c r="E11" s="352">
        <f t="shared" ref="E11:E46" si="0">SUM(B11:D11)</f>
        <v>716864850</v>
      </c>
      <c r="F11" s="352">
        <f>'- 55 -'!C11</f>
        <v>8208918</v>
      </c>
      <c r="G11" s="353">
        <f>F11/E11*1000</f>
        <v>11.451137547056465</v>
      </c>
      <c r="I11" s="234" t="str">
        <f>A11</f>
        <v xml:space="preserve"> BEAUTIFUL PLAINS</v>
      </c>
      <c r="J11" s="5">
        <f>G11</f>
        <v>11.451137547056465</v>
      </c>
      <c r="M11" s="510"/>
    </row>
    <row r="12" spans="1:13" ht="14.1" customHeight="1" x14ac:dyDescent="0.2">
      <c r="A12" s="237" t="s">
        <v>111</v>
      </c>
      <c r="B12" s="151">
        <v>333891570</v>
      </c>
      <c r="C12" s="151">
        <v>359191110</v>
      </c>
      <c r="D12" s="151">
        <v>202589750</v>
      </c>
      <c r="E12" s="151">
        <f t="shared" si="0"/>
        <v>895672430</v>
      </c>
      <c r="F12" s="151">
        <f>'- 55 -'!C12</f>
        <v>13402666</v>
      </c>
      <c r="G12" s="238">
        <f>F12/E12*1000</f>
        <v>14.963803228821055</v>
      </c>
      <c r="I12" s="234" t="str">
        <f>A12</f>
        <v xml:space="preserve"> BORDER LAND</v>
      </c>
      <c r="J12" s="5">
        <f>G12</f>
        <v>14.963803228821055</v>
      </c>
      <c r="M12" s="510"/>
    </row>
    <row r="13" spans="1:13" ht="14.1" customHeight="1" x14ac:dyDescent="0.2">
      <c r="A13" s="354" t="s">
        <v>112</v>
      </c>
      <c r="B13" s="352">
        <v>2055161630</v>
      </c>
      <c r="C13" s="352">
        <v>87169740</v>
      </c>
      <c r="D13" s="352">
        <v>891977080</v>
      </c>
      <c r="E13" s="352">
        <f t="shared" si="0"/>
        <v>3034308450</v>
      </c>
      <c r="F13" s="352">
        <f>'- 55 -'!C13</f>
        <v>43987372</v>
      </c>
      <c r="G13" s="353">
        <f>F13/E13*1000</f>
        <v>14.496671226684288</v>
      </c>
      <c r="I13" s="234" t="str">
        <f>A13</f>
        <v xml:space="preserve"> BRANDON</v>
      </c>
      <c r="J13" s="5">
        <f>G13</f>
        <v>14.496671226684288</v>
      </c>
      <c r="M13" s="510"/>
    </row>
    <row r="14" spans="1:13" ht="14.1" customHeight="1" x14ac:dyDescent="0.2">
      <c r="A14" s="237" t="s">
        <v>359</v>
      </c>
      <c r="B14" s="151"/>
      <c r="C14" s="151"/>
      <c r="D14" s="151"/>
      <c r="E14" s="151">
        <f t="shared" si="0"/>
        <v>0</v>
      </c>
      <c r="F14" s="151"/>
      <c r="G14" s="238"/>
      <c r="I14" s="234" t="str">
        <f>A15</f>
        <v xml:space="preserve"> EVERGREEN</v>
      </c>
      <c r="J14" s="5">
        <f>G15</f>
        <v>10.697684987662338</v>
      </c>
      <c r="M14" s="510"/>
    </row>
    <row r="15" spans="1:13" ht="14.1" customHeight="1" x14ac:dyDescent="0.2">
      <c r="A15" s="354" t="s">
        <v>113</v>
      </c>
      <c r="B15" s="352">
        <v>735757380</v>
      </c>
      <c r="C15" s="352">
        <v>94236470</v>
      </c>
      <c r="D15" s="352">
        <v>115724220</v>
      </c>
      <c r="E15" s="352">
        <f t="shared" si="0"/>
        <v>945718070</v>
      </c>
      <c r="F15" s="352">
        <f>'- 55 -'!C15</f>
        <v>10116994</v>
      </c>
      <c r="G15" s="353">
        <f>F15/E15*1000</f>
        <v>10.697684987662338</v>
      </c>
      <c r="I15" s="234" t="str">
        <f t="shared" ref="I15:I44" si="1">A16</f>
        <v xml:space="preserve"> FLIN FLON</v>
      </c>
      <c r="J15" s="5">
        <f t="shared" ref="J15:J44" si="2">G16</f>
        <v>19.707525662850252</v>
      </c>
      <c r="M15" s="510"/>
    </row>
    <row r="16" spans="1:13" ht="14.1" customHeight="1" x14ac:dyDescent="0.2">
      <c r="A16" s="237" t="s">
        <v>114</v>
      </c>
      <c r="B16" s="151">
        <v>100926570</v>
      </c>
      <c r="C16" s="151">
        <v>0</v>
      </c>
      <c r="D16" s="151">
        <v>34365300</v>
      </c>
      <c r="E16" s="151">
        <f t="shared" si="0"/>
        <v>135291870</v>
      </c>
      <c r="F16" s="151">
        <f>'- 55 -'!C16</f>
        <v>4102586</v>
      </c>
      <c r="G16" s="238">
        <f>(F16-H16)/E16*1000</f>
        <v>19.707525662850252</v>
      </c>
      <c r="H16" s="2">
        <v>1436318</v>
      </c>
      <c r="I16" s="234" t="str">
        <f t="shared" si="1"/>
        <v xml:space="preserve"> FORT LA BOSSE</v>
      </c>
      <c r="J16" s="5">
        <f t="shared" si="2"/>
        <v>7.7675100411131464</v>
      </c>
      <c r="M16" s="510"/>
    </row>
    <row r="17" spans="1:13" ht="14.1" customHeight="1" x14ac:dyDescent="0.2">
      <c r="A17" s="354" t="s">
        <v>115</v>
      </c>
      <c r="B17" s="352">
        <v>336882080</v>
      </c>
      <c r="C17" s="352">
        <v>205808560</v>
      </c>
      <c r="D17" s="352">
        <v>567888420</v>
      </c>
      <c r="E17" s="352">
        <f t="shared" si="0"/>
        <v>1110579060</v>
      </c>
      <c r="F17" s="352">
        <f>'- 55 -'!C17</f>
        <v>8626434</v>
      </c>
      <c r="G17" s="353">
        <f>F17/E17*1000</f>
        <v>7.7675100411131464</v>
      </c>
      <c r="H17" s="443"/>
      <c r="I17" s="234" t="str">
        <f t="shared" si="1"/>
        <v xml:space="preserve"> FRONTIER</v>
      </c>
      <c r="J17" s="5">
        <f t="shared" si="2"/>
        <v>13.501126808906184</v>
      </c>
      <c r="M17" s="510"/>
    </row>
    <row r="18" spans="1:13" ht="14.1" customHeight="1" x14ac:dyDescent="0.2">
      <c r="A18" s="237" t="s">
        <v>116</v>
      </c>
      <c r="B18" s="151">
        <v>148094620</v>
      </c>
      <c r="C18" s="151">
        <v>22066610</v>
      </c>
      <c r="D18" s="151">
        <v>73229640</v>
      </c>
      <c r="E18" s="151">
        <f t="shared" si="0"/>
        <v>243390870</v>
      </c>
      <c r="F18" s="151">
        <f>'- 55 -'!C18</f>
        <v>3286051</v>
      </c>
      <c r="G18" s="238">
        <f>(F18-H18)/E18*1000</f>
        <v>13.501126808906184</v>
      </c>
      <c r="I18" s="234" t="str">
        <f t="shared" si="1"/>
        <v xml:space="preserve"> GARDEN VALLEY</v>
      </c>
      <c r="J18" s="5">
        <f t="shared" si="2"/>
        <v>15.986978437482181</v>
      </c>
      <c r="M18" s="510"/>
    </row>
    <row r="19" spans="1:13" ht="14.1" customHeight="1" x14ac:dyDescent="0.2">
      <c r="A19" s="354" t="s">
        <v>117</v>
      </c>
      <c r="B19" s="352">
        <v>597302200</v>
      </c>
      <c r="C19" s="352">
        <v>228537000</v>
      </c>
      <c r="D19" s="352">
        <v>299276160</v>
      </c>
      <c r="E19" s="352">
        <f t="shared" si="0"/>
        <v>1125115360</v>
      </c>
      <c r="F19" s="352">
        <f>'- 55 -'!C19</f>
        <v>17987195</v>
      </c>
      <c r="G19" s="353">
        <f t="shared" ref="G19:G26" si="3">F19/E19*1000</f>
        <v>15.986978437482181</v>
      </c>
      <c r="I19" s="234" t="str">
        <f t="shared" si="1"/>
        <v xml:space="preserve"> HANOVER</v>
      </c>
      <c r="J19" s="5">
        <f t="shared" si="2"/>
        <v>14.943420292054606</v>
      </c>
      <c r="M19" s="510"/>
    </row>
    <row r="20" spans="1:13" ht="14.1" customHeight="1" x14ac:dyDescent="0.2">
      <c r="A20" s="237" t="s">
        <v>118</v>
      </c>
      <c r="B20" s="151">
        <v>1473692220</v>
      </c>
      <c r="C20" s="151">
        <v>201043980</v>
      </c>
      <c r="D20" s="151">
        <v>398430210</v>
      </c>
      <c r="E20" s="151">
        <f t="shared" si="0"/>
        <v>2073166410</v>
      </c>
      <c r="F20" s="151">
        <f>'- 55 -'!C20</f>
        <v>30980197</v>
      </c>
      <c r="G20" s="238">
        <f t="shared" si="3"/>
        <v>14.943420292054606</v>
      </c>
      <c r="I20" s="234" t="str">
        <f t="shared" si="1"/>
        <v xml:space="preserve"> INTERLAKE</v>
      </c>
      <c r="J20" s="5">
        <f t="shared" si="2"/>
        <v>13.156761198914246</v>
      </c>
      <c r="M20" s="510"/>
    </row>
    <row r="21" spans="1:13" ht="14.1" customHeight="1" x14ac:dyDescent="0.2">
      <c r="A21" s="354" t="s">
        <v>119</v>
      </c>
      <c r="B21" s="352">
        <v>808024710</v>
      </c>
      <c r="C21" s="352">
        <v>213641450</v>
      </c>
      <c r="D21" s="352">
        <v>272372680</v>
      </c>
      <c r="E21" s="352">
        <f t="shared" si="0"/>
        <v>1294038840</v>
      </c>
      <c r="F21" s="352">
        <f>'- 55 -'!C21</f>
        <v>17025360</v>
      </c>
      <c r="G21" s="353">
        <f t="shared" si="3"/>
        <v>13.156761198914246</v>
      </c>
      <c r="I21" s="234" t="str">
        <f t="shared" si="1"/>
        <v xml:space="preserve"> KELSEY</v>
      </c>
      <c r="J21" s="5">
        <f t="shared" si="2"/>
        <v>17.338417914110664</v>
      </c>
      <c r="M21" s="510"/>
    </row>
    <row r="22" spans="1:13" ht="14.1" customHeight="1" x14ac:dyDescent="0.2">
      <c r="A22" s="237" t="s">
        <v>120</v>
      </c>
      <c r="B22" s="151">
        <v>177380850</v>
      </c>
      <c r="C22" s="151">
        <v>18771590</v>
      </c>
      <c r="D22" s="151">
        <v>66668310</v>
      </c>
      <c r="E22" s="151">
        <f t="shared" si="0"/>
        <v>262820750</v>
      </c>
      <c r="F22" s="151">
        <f>'- 55 -'!C22</f>
        <v>4556896</v>
      </c>
      <c r="G22" s="238">
        <f t="shared" si="3"/>
        <v>17.338417914110664</v>
      </c>
      <c r="I22" s="234" t="str">
        <f t="shared" si="1"/>
        <v xml:space="preserve"> LAKESHORE</v>
      </c>
      <c r="J22" s="5">
        <f t="shared" si="2"/>
        <v>16.116129461525475</v>
      </c>
      <c r="M22" s="510"/>
    </row>
    <row r="23" spans="1:13" ht="14.1" customHeight="1" x14ac:dyDescent="0.2">
      <c r="A23" s="354" t="s">
        <v>121</v>
      </c>
      <c r="B23" s="352">
        <v>148995060</v>
      </c>
      <c r="C23" s="352">
        <v>102306630</v>
      </c>
      <c r="D23" s="352">
        <v>31250210</v>
      </c>
      <c r="E23" s="352">
        <f t="shared" si="0"/>
        <v>282551900</v>
      </c>
      <c r="F23" s="352">
        <f>'- 55 -'!C23</f>
        <v>4553643</v>
      </c>
      <c r="G23" s="353">
        <f t="shared" si="3"/>
        <v>16.116129461525475</v>
      </c>
      <c r="H23" s="239"/>
      <c r="I23" s="234" t="str">
        <f t="shared" si="1"/>
        <v xml:space="preserve"> LORD SELKIRK</v>
      </c>
      <c r="J23" s="5">
        <f t="shared" si="2"/>
        <v>13.819839248448121</v>
      </c>
      <c r="M23" s="510"/>
    </row>
    <row r="24" spans="1:13" ht="14.1" customHeight="1" x14ac:dyDescent="0.2">
      <c r="A24" s="237" t="s">
        <v>122</v>
      </c>
      <c r="B24" s="151">
        <v>1705815380</v>
      </c>
      <c r="C24" s="151">
        <v>71863790</v>
      </c>
      <c r="D24" s="151">
        <v>251100000</v>
      </c>
      <c r="E24" s="151">
        <f t="shared" si="0"/>
        <v>2028779170</v>
      </c>
      <c r="F24" s="151">
        <f>'- 55 -'!C24</f>
        <v>28037402</v>
      </c>
      <c r="G24" s="238">
        <f t="shared" si="3"/>
        <v>13.819839248448121</v>
      </c>
      <c r="I24" s="234" t="str">
        <f t="shared" si="1"/>
        <v xml:space="preserve"> LOUIS RIEL</v>
      </c>
      <c r="J24" s="5">
        <f t="shared" si="2"/>
        <v>12.679022158127459</v>
      </c>
      <c r="M24" s="510"/>
    </row>
    <row r="25" spans="1:13" ht="14.1" customHeight="1" x14ac:dyDescent="0.2">
      <c r="A25" s="354" t="s">
        <v>123</v>
      </c>
      <c r="B25" s="352">
        <v>6208694550</v>
      </c>
      <c r="C25" s="352">
        <v>19786660</v>
      </c>
      <c r="D25" s="352">
        <v>1394287470</v>
      </c>
      <c r="E25" s="352">
        <f t="shared" si="0"/>
        <v>7622768680</v>
      </c>
      <c r="F25" s="352">
        <f>'- 55 -'!C25</f>
        <v>96649253</v>
      </c>
      <c r="G25" s="353">
        <f t="shared" si="3"/>
        <v>12.679022158127459</v>
      </c>
      <c r="I25" s="234" t="str">
        <f t="shared" si="1"/>
        <v xml:space="preserve"> MOUNTAIN VIEW</v>
      </c>
      <c r="J25" s="5">
        <f t="shared" si="2"/>
        <v>14.996851936873073</v>
      </c>
      <c r="M25" s="510"/>
    </row>
    <row r="26" spans="1:13" ht="14.1" customHeight="1" x14ac:dyDescent="0.2">
      <c r="A26" s="237" t="s">
        <v>124</v>
      </c>
      <c r="B26" s="151">
        <v>523023260</v>
      </c>
      <c r="C26" s="151">
        <v>345623840</v>
      </c>
      <c r="D26" s="151">
        <v>132889360</v>
      </c>
      <c r="E26" s="151">
        <f t="shared" si="0"/>
        <v>1001536460</v>
      </c>
      <c r="F26" s="151">
        <f>'- 55 -'!C26</f>
        <v>15019894</v>
      </c>
      <c r="G26" s="238">
        <f t="shared" si="3"/>
        <v>14.996851936873073</v>
      </c>
      <c r="I26" s="234" t="str">
        <f t="shared" si="1"/>
        <v xml:space="preserve"> MYSTERY LAKE</v>
      </c>
      <c r="J26" s="5">
        <f t="shared" si="2"/>
        <v>18.528571178179497</v>
      </c>
      <c r="M26" s="510"/>
    </row>
    <row r="27" spans="1:13" ht="14.1" customHeight="1" x14ac:dyDescent="0.2">
      <c r="A27" s="354" t="s">
        <v>125</v>
      </c>
      <c r="B27" s="352">
        <v>325910110</v>
      </c>
      <c r="C27" s="352">
        <v>0</v>
      </c>
      <c r="D27" s="352">
        <v>143639480</v>
      </c>
      <c r="E27" s="352">
        <f t="shared" si="0"/>
        <v>469549590</v>
      </c>
      <c r="F27" s="352">
        <f>'- 55 -'!C27</f>
        <v>8700083</v>
      </c>
      <c r="G27" s="353">
        <f t="shared" ref="G27:G34" si="4">F27/E27*1000</f>
        <v>18.528571178179497</v>
      </c>
      <c r="I27" s="234" t="str">
        <f t="shared" si="1"/>
        <v xml:space="preserve"> PARK WEST</v>
      </c>
      <c r="J27" s="5">
        <f t="shared" si="2"/>
        <v>10.63448002179722</v>
      </c>
      <c r="M27" s="510"/>
    </row>
    <row r="28" spans="1:13" ht="14.1" customHeight="1" x14ac:dyDescent="0.2">
      <c r="A28" s="237" t="s">
        <v>126</v>
      </c>
      <c r="B28" s="151">
        <v>267075420</v>
      </c>
      <c r="C28" s="151">
        <v>377927070</v>
      </c>
      <c r="D28" s="151">
        <v>194480680</v>
      </c>
      <c r="E28" s="151">
        <f t="shared" si="0"/>
        <v>839483170</v>
      </c>
      <c r="F28" s="151">
        <f>'- 55 -'!C28</f>
        <v>8927467</v>
      </c>
      <c r="G28" s="238">
        <f t="shared" si="4"/>
        <v>10.63448002179722</v>
      </c>
      <c r="I28" s="234" t="str">
        <f t="shared" si="1"/>
        <v xml:space="preserve"> PEMBINA TRAILS</v>
      </c>
      <c r="J28" s="5">
        <f t="shared" si="2"/>
        <v>12.001809868751904</v>
      </c>
      <c r="M28" s="510"/>
    </row>
    <row r="29" spans="1:13" ht="14.1" customHeight="1" x14ac:dyDescent="0.2">
      <c r="A29" s="354" t="s">
        <v>127</v>
      </c>
      <c r="B29" s="352">
        <v>6366332960</v>
      </c>
      <c r="C29" s="352">
        <v>21505590</v>
      </c>
      <c r="D29" s="352">
        <v>1468488040</v>
      </c>
      <c r="E29" s="352">
        <f t="shared" si="0"/>
        <v>7856326590</v>
      </c>
      <c r="F29" s="352">
        <f>'- 55 -'!C29</f>
        <v>94290138</v>
      </c>
      <c r="G29" s="353">
        <f t="shared" si="4"/>
        <v>12.001809868751904</v>
      </c>
      <c r="I29" s="234" t="str">
        <f t="shared" si="1"/>
        <v xml:space="preserve"> PINE CREEK</v>
      </c>
      <c r="J29" s="5">
        <f t="shared" si="2"/>
        <v>13.831392067473258</v>
      </c>
      <c r="M29" s="510"/>
    </row>
    <row r="30" spans="1:13" ht="14.1" customHeight="1" x14ac:dyDescent="0.2">
      <c r="A30" s="237" t="s">
        <v>128</v>
      </c>
      <c r="B30" s="151">
        <v>151665570</v>
      </c>
      <c r="C30" s="151">
        <v>221450580</v>
      </c>
      <c r="D30" s="151">
        <v>95687060</v>
      </c>
      <c r="E30" s="151">
        <f t="shared" si="0"/>
        <v>468803210</v>
      </c>
      <c r="F30" s="151">
        <f>'- 55 -'!C30</f>
        <v>6484201</v>
      </c>
      <c r="G30" s="238">
        <f t="shared" si="4"/>
        <v>13.831392067473258</v>
      </c>
      <c r="I30" s="234" t="str">
        <f t="shared" si="1"/>
        <v xml:space="preserve"> PORTAGE LA PRAIRIE</v>
      </c>
      <c r="J30" s="5">
        <f t="shared" si="2"/>
        <v>13.22893093788228</v>
      </c>
      <c r="M30" s="510"/>
    </row>
    <row r="31" spans="1:13" ht="14.1" customHeight="1" x14ac:dyDescent="0.2">
      <c r="A31" s="354" t="s">
        <v>129</v>
      </c>
      <c r="B31" s="352">
        <v>585226820</v>
      </c>
      <c r="C31" s="352">
        <v>325531910</v>
      </c>
      <c r="D31" s="352">
        <v>340909230</v>
      </c>
      <c r="E31" s="352">
        <f t="shared" si="0"/>
        <v>1251667960</v>
      </c>
      <c r="F31" s="352">
        <f>'- 55 -'!C31</f>
        <v>16558229</v>
      </c>
      <c r="G31" s="353">
        <f t="shared" si="4"/>
        <v>13.22893093788228</v>
      </c>
      <c r="I31" s="234" t="str">
        <f t="shared" si="1"/>
        <v xml:space="preserve"> PRAIRIE ROSE</v>
      </c>
      <c r="J31" s="5">
        <f t="shared" si="2"/>
        <v>11.56324914800193</v>
      </c>
      <c r="M31" s="510"/>
    </row>
    <row r="32" spans="1:13" ht="14.1" customHeight="1" x14ac:dyDescent="0.2">
      <c r="A32" s="237" t="s">
        <v>130</v>
      </c>
      <c r="B32" s="151">
        <v>503667080</v>
      </c>
      <c r="C32" s="151">
        <v>663034440</v>
      </c>
      <c r="D32" s="151">
        <v>146423520</v>
      </c>
      <c r="E32" s="151">
        <f t="shared" si="0"/>
        <v>1313125040</v>
      </c>
      <c r="F32" s="151">
        <f>'- 55 -'!C32</f>
        <v>15183992</v>
      </c>
      <c r="G32" s="238">
        <f t="shared" si="4"/>
        <v>11.56324914800193</v>
      </c>
      <c r="I32" s="234" t="str">
        <f t="shared" si="1"/>
        <v xml:space="preserve"> PRAIRIE SPIRIT</v>
      </c>
      <c r="J32" s="5">
        <f t="shared" si="2"/>
        <v>10.569852746667964</v>
      </c>
      <c r="M32" s="510"/>
    </row>
    <row r="33" spans="1:13" ht="14.1" customHeight="1" x14ac:dyDescent="0.2">
      <c r="A33" s="354" t="s">
        <v>131</v>
      </c>
      <c r="B33" s="352">
        <v>320360930</v>
      </c>
      <c r="C33" s="352">
        <v>800378570</v>
      </c>
      <c r="D33" s="352">
        <v>174002000</v>
      </c>
      <c r="E33" s="352">
        <f t="shared" si="0"/>
        <v>1294741500</v>
      </c>
      <c r="F33" s="352">
        <f>'- 55 -'!C33</f>
        <v>13685227</v>
      </c>
      <c r="G33" s="353">
        <f t="shared" si="4"/>
        <v>10.569852746667964</v>
      </c>
      <c r="I33" s="234" t="str">
        <f t="shared" si="1"/>
        <v xml:space="preserve"> RED RIVER VALLEY</v>
      </c>
      <c r="J33" s="5">
        <f t="shared" si="2"/>
        <v>12.966003036364162</v>
      </c>
      <c r="M33" s="510"/>
    </row>
    <row r="34" spans="1:13" ht="14.1" customHeight="1" x14ac:dyDescent="0.2">
      <c r="A34" s="237" t="s">
        <v>132</v>
      </c>
      <c r="B34" s="151">
        <v>512844060</v>
      </c>
      <c r="C34" s="151">
        <v>572911260</v>
      </c>
      <c r="D34" s="151">
        <v>267422290</v>
      </c>
      <c r="E34" s="151">
        <f t="shared" si="0"/>
        <v>1353177610</v>
      </c>
      <c r="F34" s="151">
        <f>'- 55 -'!C34</f>
        <v>17545305</v>
      </c>
      <c r="G34" s="238">
        <f t="shared" si="4"/>
        <v>12.966003036364162</v>
      </c>
      <c r="I34" s="234" t="str">
        <f t="shared" si="1"/>
        <v xml:space="preserve"> RIVER EAST TRANSCONA</v>
      </c>
      <c r="J34" s="5">
        <f t="shared" si="2"/>
        <v>12.851057459864924</v>
      </c>
      <c r="M34" s="510"/>
    </row>
    <row r="35" spans="1:13" ht="14.1" customHeight="1" x14ac:dyDescent="0.2">
      <c r="A35" s="354" t="s">
        <v>133</v>
      </c>
      <c r="B35" s="352">
        <v>5459112110</v>
      </c>
      <c r="C35" s="352">
        <v>16118560</v>
      </c>
      <c r="D35" s="352">
        <v>1082984190</v>
      </c>
      <c r="E35" s="352">
        <f t="shared" si="0"/>
        <v>6558214860</v>
      </c>
      <c r="F35" s="352">
        <f>'- 55 -'!C35</f>
        <v>84279996</v>
      </c>
      <c r="G35" s="353">
        <f t="shared" ref="G35:G46" si="5">F35/E35*1000</f>
        <v>12.851057459864924</v>
      </c>
      <c r="I35" s="234" t="str">
        <f t="shared" si="1"/>
        <v xml:space="preserve"> ROLLING RIVER</v>
      </c>
      <c r="J35" s="5">
        <f t="shared" si="2"/>
        <v>11.298269102446946</v>
      </c>
      <c r="M35" s="510"/>
    </row>
    <row r="36" spans="1:13" ht="14.1" customHeight="1" x14ac:dyDescent="0.2">
      <c r="A36" s="237" t="s">
        <v>134</v>
      </c>
      <c r="B36" s="151">
        <v>483486740</v>
      </c>
      <c r="C36" s="151">
        <v>267341580</v>
      </c>
      <c r="D36" s="151">
        <v>182069180</v>
      </c>
      <c r="E36" s="151">
        <f t="shared" si="0"/>
        <v>932897500</v>
      </c>
      <c r="F36" s="151">
        <f>'- 55 -'!C36</f>
        <v>10540127</v>
      </c>
      <c r="G36" s="238">
        <f t="shared" si="5"/>
        <v>11.298269102446946</v>
      </c>
      <c r="I36" s="234" t="str">
        <f t="shared" si="1"/>
        <v xml:space="preserve"> SEINE RIVER</v>
      </c>
      <c r="J36" s="5">
        <f t="shared" si="2"/>
        <v>14.036827695365218</v>
      </c>
      <c r="M36" s="510"/>
    </row>
    <row r="37" spans="1:13" ht="14.1" customHeight="1" x14ac:dyDescent="0.2">
      <c r="A37" s="354" t="s">
        <v>135</v>
      </c>
      <c r="B37" s="352">
        <v>1369032570</v>
      </c>
      <c r="C37" s="352">
        <v>140289630</v>
      </c>
      <c r="D37" s="352">
        <v>182241700</v>
      </c>
      <c r="E37" s="352">
        <f t="shared" si="0"/>
        <v>1691563900</v>
      </c>
      <c r="F37" s="352">
        <f>'- 55 -'!C37</f>
        <v>23744191</v>
      </c>
      <c r="G37" s="353">
        <f t="shared" si="5"/>
        <v>14.036827695365218</v>
      </c>
      <c r="I37" s="234" t="str">
        <f t="shared" si="1"/>
        <v xml:space="preserve"> SEVEN OAKS</v>
      </c>
      <c r="J37" s="5">
        <f t="shared" si="2"/>
        <v>15.238621334558534</v>
      </c>
      <c r="M37" s="510"/>
    </row>
    <row r="38" spans="1:13" ht="14.1" customHeight="1" x14ac:dyDescent="0.2">
      <c r="A38" s="237" t="s">
        <v>136</v>
      </c>
      <c r="B38" s="151">
        <v>2942220230</v>
      </c>
      <c r="C38" s="151">
        <v>15101530</v>
      </c>
      <c r="D38" s="151">
        <v>392616130</v>
      </c>
      <c r="E38" s="151">
        <f t="shared" si="0"/>
        <v>3349937890</v>
      </c>
      <c r="F38" s="151">
        <f>'- 55 -'!C38</f>
        <v>51048435</v>
      </c>
      <c r="G38" s="238">
        <f t="shared" si="5"/>
        <v>15.238621334558534</v>
      </c>
      <c r="I38" s="234" t="str">
        <f t="shared" si="1"/>
        <v xml:space="preserve"> SOUTHWEST HORIZON</v>
      </c>
      <c r="J38" s="5">
        <f t="shared" si="2"/>
        <v>10.001962097911349</v>
      </c>
      <c r="M38" s="510"/>
    </row>
    <row r="39" spans="1:13" ht="14.1" customHeight="1" x14ac:dyDescent="0.2">
      <c r="A39" s="354" t="s">
        <v>137</v>
      </c>
      <c r="B39" s="352">
        <v>330672730</v>
      </c>
      <c r="C39" s="352">
        <v>472083470</v>
      </c>
      <c r="D39" s="352">
        <v>424960310</v>
      </c>
      <c r="E39" s="352">
        <f t="shared" si="0"/>
        <v>1227716510</v>
      </c>
      <c r="F39" s="352">
        <f>'- 55 -'!C39</f>
        <v>12279574</v>
      </c>
      <c r="G39" s="353">
        <f t="shared" si="5"/>
        <v>10.001962097911349</v>
      </c>
      <c r="I39" s="234" t="str">
        <f t="shared" si="1"/>
        <v xml:space="preserve"> ST. JAMES-ASSINIBOIA</v>
      </c>
      <c r="J39" s="5">
        <f t="shared" si="2"/>
        <v>12.243473305972472</v>
      </c>
      <c r="M39" s="510"/>
    </row>
    <row r="40" spans="1:13" ht="14.1" customHeight="1" x14ac:dyDescent="0.2">
      <c r="A40" s="237" t="s">
        <v>138</v>
      </c>
      <c r="B40" s="151">
        <v>2960006960</v>
      </c>
      <c r="C40" s="151">
        <v>21920610</v>
      </c>
      <c r="D40" s="151">
        <v>1581603350</v>
      </c>
      <c r="E40" s="151">
        <f t="shared" si="0"/>
        <v>4563530920</v>
      </c>
      <c r="F40" s="151">
        <f>'- 55 -'!C40</f>
        <v>55873469</v>
      </c>
      <c r="G40" s="238">
        <f t="shared" si="5"/>
        <v>12.243473305972472</v>
      </c>
      <c r="I40" s="234" t="str">
        <f t="shared" si="1"/>
        <v xml:space="preserve"> SUNRISE</v>
      </c>
      <c r="J40" s="5">
        <f t="shared" si="2"/>
        <v>13.294637840180883</v>
      </c>
      <c r="M40" s="510"/>
    </row>
    <row r="41" spans="1:13" ht="14.1" customHeight="1" x14ac:dyDescent="0.2">
      <c r="A41" s="354" t="s">
        <v>139</v>
      </c>
      <c r="B41" s="352">
        <v>1851318370</v>
      </c>
      <c r="C41" s="352">
        <v>241399580</v>
      </c>
      <c r="D41" s="352">
        <v>439352980</v>
      </c>
      <c r="E41" s="352">
        <f t="shared" si="0"/>
        <v>2532070930</v>
      </c>
      <c r="F41" s="352">
        <f>'- 55 -'!C41</f>
        <v>33662966</v>
      </c>
      <c r="G41" s="353">
        <f t="shared" si="5"/>
        <v>13.294637840180883</v>
      </c>
      <c r="I41" s="234" t="str">
        <f t="shared" si="1"/>
        <v xml:space="preserve"> SWAN VALLEY</v>
      </c>
      <c r="J41" s="5">
        <f t="shared" si="2"/>
        <v>13.435665187773052</v>
      </c>
      <c r="M41" s="510"/>
    </row>
    <row r="42" spans="1:13" ht="14.1" customHeight="1" x14ac:dyDescent="0.2">
      <c r="A42" s="237" t="s">
        <v>140</v>
      </c>
      <c r="B42" s="151">
        <v>224375780</v>
      </c>
      <c r="C42" s="151">
        <v>224600590</v>
      </c>
      <c r="D42" s="151">
        <v>81636510</v>
      </c>
      <c r="E42" s="151">
        <f t="shared" si="0"/>
        <v>530612880</v>
      </c>
      <c r="F42" s="151">
        <f>'- 55 -'!C42</f>
        <v>7129137</v>
      </c>
      <c r="G42" s="238">
        <f t="shared" si="5"/>
        <v>13.435665187773052</v>
      </c>
      <c r="I42" s="234" t="str">
        <f t="shared" si="1"/>
        <v xml:space="preserve"> TURTLE MOUNTAIN</v>
      </c>
      <c r="J42" s="5">
        <f t="shared" si="2"/>
        <v>11.520951505411723</v>
      </c>
      <c r="M42" s="510"/>
    </row>
    <row r="43" spans="1:13" ht="14.1" customHeight="1" x14ac:dyDescent="0.2">
      <c r="A43" s="354" t="s">
        <v>141</v>
      </c>
      <c r="B43" s="352">
        <v>234970150</v>
      </c>
      <c r="C43" s="352">
        <v>277182960</v>
      </c>
      <c r="D43" s="352">
        <v>65383910</v>
      </c>
      <c r="E43" s="352">
        <f t="shared" si="0"/>
        <v>577537020</v>
      </c>
      <c r="F43" s="352">
        <f>'- 55 -'!C43</f>
        <v>6653776</v>
      </c>
      <c r="G43" s="353">
        <f t="shared" si="5"/>
        <v>11.520951505411723</v>
      </c>
      <c r="I43" s="234" t="str">
        <f t="shared" si="1"/>
        <v xml:space="preserve"> TURTLE RIVER</v>
      </c>
      <c r="J43" s="5">
        <f t="shared" si="2"/>
        <v>15.943048102976809</v>
      </c>
      <c r="M43" s="510"/>
    </row>
    <row r="44" spans="1:13" ht="14.1" customHeight="1" x14ac:dyDescent="0.2">
      <c r="A44" s="237" t="s">
        <v>142</v>
      </c>
      <c r="B44" s="151">
        <v>95491560</v>
      </c>
      <c r="C44" s="151">
        <v>92934530</v>
      </c>
      <c r="D44" s="151">
        <v>13752250</v>
      </c>
      <c r="E44" s="151">
        <f t="shared" si="0"/>
        <v>202178340</v>
      </c>
      <c r="F44" s="151">
        <f>'- 55 -'!C44</f>
        <v>3223339</v>
      </c>
      <c r="G44" s="238">
        <f t="shared" si="5"/>
        <v>15.943048102976809</v>
      </c>
      <c r="I44" s="234" t="str">
        <f t="shared" si="1"/>
        <v xml:space="preserve"> WESTERN</v>
      </c>
      <c r="J44" s="5">
        <f t="shared" si="2"/>
        <v>15.993254874992084</v>
      </c>
      <c r="M44" s="510"/>
    </row>
    <row r="45" spans="1:13" ht="14.1" customHeight="1" x14ac:dyDescent="0.2">
      <c r="A45" s="354" t="s">
        <v>143</v>
      </c>
      <c r="B45" s="352">
        <v>330187440</v>
      </c>
      <c r="C45" s="352">
        <v>92269630</v>
      </c>
      <c r="D45" s="352">
        <v>98873520</v>
      </c>
      <c r="E45" s="352">
        <f t="shared" si="0"/>
        <v>521330590</v>
      </c>
      <c r="F45" s="352">
        <f>'- 55 -'!C45</f>
        <v>8337773</v>
      </c>
      <c r="G45" s="353">
        <f t="shared" si="5"/>
        <v>15.993254874992084</v>
      </c>
      <c r="I45" s="234" t="str">
        <f>A46</f>
        <v xml:space="preserve"> WINNIPEG</v>
      </c>
      <c r="J45" s="5">
        <f>G46</f>
        <v>14.190948621361464</v>
      </c>
      <c r="M45" s="510"/>
    </row>
    <row r="46" spans="1:13" ht="14.1" customHeight="1" x14ac:dyDescent="0.2">
      <c r="A46" s="237" t="s">
        <v>144</v>
      </c>
      <c r="B46" s="151">
        <v>7134935210</v>
      </c>
      <c r="C46" s="151">
        <v>5527170</v>
      </c>
      <c r="D46" s="151">
        <v>4965888970</v>
      </c>
      <c r="E46" s="151">
        <f t="shared" si="0"/>
        <v>12106351350</v>
      </c>
      <c r="F46" s="151">
        <f>'- 55 -'!C46</f>
        <v>171800610</v>
      </c>
      <c r="G46" s="238">
        <f t="shared" si="5"/>
        <v>14.190948621361464</v>
      </c>
      <c r="M46" s="510"/>
    </row>
    <row r="47" spans="1:13" ht="5.0999999999999996" customHeight="1" x14ac:dyDescent="0.2">
      <c r="A47" s="130"/>
      <c r="B47" s="152"/>
      <c r="C47" s="152"/>
      <c r="D47" s="152"/>
      <c r="E47" s="152"/>
      <c r="F47" s="152"/>
      <c r="G47" s="240"/>
      <c r="M47" s="510"/>
    </row>
    <row r="48" spans="1:13" ht="14.1" customHeight="1" x14ac:dyDescent="0.2">
      <c r="A48" s="355" t="s">
        <v>228</v>
      </c>
      <c r="B48" s="356">
        <f>SUM(B11:B46)</f>
        <v>48098484930</v>
      </c>
      <c r="C48" s="356">
        <f>SUM(C11:C46)</f>
        <v>7091429890</v>
      </c>
      <c r="D48" s="356">
        <f>SUM(D11:D46)</f>
        <v>17223505710</v>
      </c>
      <c r="E48" s="356">
        <f>SUM(E11:E46)</f>
        <v>72413420530</v>
      </c>
      <c r="F48" s="356">
        <f>SUM(F11:F46)</f>
        <v>956488896</v>
      </c>
      <c r="G48" s="357">
        <f>F48/E48*1000</f>
        <v>13.20872414256054</v>
      </c>
      <c r="M48" s="510"/>
    </row>
    <row r="49" spans="1:10" ht="5.0999999999999996" customHeight="1" x14ac:dyDescent="0.2">
      <c r="A49" s="130"/>
      <c r="B49" s="152"/>
      <c r="C49" s="152"/>
      <c r="D49" s="152"/>
      <c r="E49" s="152"/>
      <c r="F49" s="152"/>
      <c r="G49" s="152"/>
    </row>
    <row r="50" spans="1:10" ht="14.1" customHeight="1" x14ac:dyDescent="0.2">
      <c r="A50" s="237" t="s">
        <v>229</v>
      </c>
      <c r="B50" s="151">
        <v>64661530</v>
      </c>
      <c r="C50" s="151">
        <v>383760</v>
      </c>
      <c r="D50" s="151">
        <v>3879610</v>
      </c>
      <c r="E50" s="151">
        <f>SUM(B50:D50)</f>
        <v>68924900</v>
      </c>
      <c r="F50" s="152"/>
      <c r="G50" s="152"/>
    </row>
    <row r="51" spans="1:10" ht="14.1" customHeight="1" x14ac:dyDescent="0.2">
      <c r="A51" s="354" t="s">
        <v>230</v>
      </c>
      <c r="B51" s="352">
        <v>18764980</v>
      </c>
      <c r="C51" s="352">
        <v>14995580</v>
      </c>
      <c r="D51" s="352">
        <v>54144440</v>
      </c>
      <c r="E51" s="352">
        <f>SUM(B51:D51)</f>
        <v>87905000</v>
      </c>
      <c r="F51" s="152"/>
      <c r="G51" s="241"/>
    </row>
    <row r="52" spans="1:10" ht="5.0999999999999996" customHeight="1" x14ac:dyDescent="0.2">
      <c r="A52" s="130"/>
      <c r="B52" s="152"/>
      <c r="C52" s="152"/>
      <c r="D52" s="152"/>
      <c r="E52" s="152"/>
      <c r="F52" s="152"/>
      <c r="G52" s="152"/>
    </row>
    <row r="53" spans="1:10" ht="14.1" customHeight="1" x14ac:dyDescent="0.2">
      <c r="A53" s="355" t="s">
        <v>145</v>
      </c>
      <c r="B53" s="356">
        <f>SUM(B48,B50:B51)</f>
        <v>48181911440</v>
      </c>
      <c r="C53" s="356">
        <f>SUM(C48,C50:C51)</f>
        <v>7106809230</v>
      </c>
      <c r="D53" s="356">
        <f>SUM(D48,D50:D51)</f>
        <v>17281529760</v>
      </c>
      <c r="E53" s="356">
        <f>SUM(E48,E50:E51)</f>
        <v>72570250430</v>
      </c>
      <c r="F53" s="152"/>
      <c r="G53" s="241"/>
    </row>
    <row r="54" spans="1:10" ht="50.1" customHeight="1" x14ac:dyDescent="0.2">
      <c r="A54" s="23"/>
      <c r="B54" s="23"/>
      <c r="C54" s="23"/>
      <c r="D54" s="23"/>
      <c r="E54" s="23"/>
      <c r="F54" s="23"/>
      <c r="G54" s="23"/>
    </row>
    <row r="55" spans="1:10" ht="15" customHeight="1" x14ac:dyDescent="0.2">
      <c r="A55" s="619" t="s">
        <v>639</v>
      </c>
      <c r="B55" s="619"/>
      <c r="C55" s="619"/>
      <c r="D55" s="619"/>
      <c r="E55" s="619"/>
      <c r="F55" s="619"/>
      <c r="G55" s="619"/>
      <c r="H55" s="38"/>
      <c r="I55" s="38"/>
      <c r="J55" s="38"/>
    </row>
    <row r="56" spans="1:10" ht="12" customHeight="1" x14ac:dyDescent="0.2">
      <c r="A56" s="620"/>
      <c r="B56" s="620"/>
      <c r="C56" s="620"/>
      <c r="D56" s="620"/>
      <c r="E56" s="620"/>
      <c r="F56" s="620"/>
      <c r="G56" s="620"/>
      <c r="H56" s="38"/>
      <c r="I56" s="38"/>
      <c r="J56" s="38"/>
    </row>
    <row r="57" spans="1:10" ht="12" customHeight="1" x14ac:dyDescent="0.2">
      <c r="A57" s="2" t="s">
        <v>356</v>
      </c>
      <c r="B57" s="38"/>
      <c r="C57" s="38"/>
      <c r="D57" s="38"/>
      <c r="E57" s="38"/>
      <c r="F57" s="38"/>
      <c r="G57" s="38"/>
      <c r="H57" s="38"/>
      <c r="I57" s="38"/>
      <c r="J57" s="38"/>
    </row>
  </sheetData>
  <mergeCells count="5">
    <mergeCell ref="A55:G56"/>
    <mergeCell ref="F8:F9"/>
    <mergeCell ref="G7:G9"/>
    <mergeCell ref="C7:C9"/>
    <mergeCell ref="B7:B9"/>
  </mergeCells>
  <phoneticPr fontId="0" type="noConversion"/>
  <pageMargins left="0.51181102362204722" right="0.51181102362204722" top="0.59055118110236227" bottom="0.19685039370078741" header="0.31496062992125984" footer="0.51181102362204722"/>
  <pageSetup scale="86" orientation="portrait" r:id="rId1"/>
  <headerFooter alignWithMargins="0">
    <oddHeader>&amp;C&amp;"Arial,Regular"&amp;11&amp;A</oddHeader>
  </headerFooter>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F58"/>
  <sheetViews>
    <sheetView showGridLines="0" showZeros="0" workbookViewId="0"/>
  </sheetViews>
  <sheetFormatPr defaultColWidth="13.6640625" defaultRowHeight="12" x14ac:dyDescent="0.2"/>
  <cols>
    <col min="1" max="1" width="37.5" style="2" customWidth="1"/>
    <col min="2" max="2" width="22" style="2" customWidth="1"/>
    <col min="3" max="4" width="22.5" style="2" customWidth="1"/>
    <col min="5" max="5" width="14.33203125" style="2" customWidth="1"/>
    <col min="6" max="6" width="19.6640625" style="2" customWidth="1"/>
    <col min="7" max="16384" width="13.6640625" style="2"/>
  </cols>
  <sheetData>
    <row r="1" spans="1:6" ht="6.95" customHeight="1" x14ac:dyDescent="0.2">
      <c r="A1" s="509"/>
      <c r="B1" s="23"/>
      <c r="C1" s="23"/>
      <c r="D1" s="23"/>
      <c r="E1" s="23"/>
      <c r="F1" s="23"/>
    </row>
    <row r="2" spans="1:6" ht="15.95" customHeight="1" x14ac:dyDescent="0.2">
      <c r="A2" s="736" t="s">
        <v>328</v>
      </c>
      <c r="B2" s="736"/>
      <c r="C2" s="736"/>
      <c r="D2" s="736"/>
      <c r="E2" s="736"/>
      <c r="F2" s="736"/>
    </row>
    <row r="3" spans="1:6" ht="21" customHeight="1" x14ac:dyDescent="0.2">
      <c r="A3" s="233" t="str">
        <f>+'- 53 -'!A3</f>
        <v>FOR THE 2016 TAXATION YEAR (2016 IS A REASSESSMENT YEAR)</v>
      </c>
      <c r="B3" s="225"/>
      <c r="C3" s="225"/>
      <c r="D3" s="225"/>
      <c r="E3" s="235"/>
      <c r="F3" s="235"/>
    </row>
    <row r="4" spans="1:6" ht="14.25" customHeight="1" x14ac:dyDescent="0.2">
      <c r="B4" s="8"/>
      <c r="C4" s="8"/>
      <c r="D4" s="8"/>
    </row>
    <row r="5" spans="1:6" ht="15.95" customHeight="1" x14ac:dyDescent="0.2">
      <c r="B5" s="8"/>
      <c r="C5" s="8"/>
      <c r="D5" s="8"/>
    </row>
    <row r="6" spans="1:6" ht="15.95" customHeight="1" x14ac:dyDescent="0.2">
      <c r="B6" s="483"/>
      <c r="C6" s="483"/>
      <c r="D6" s="483"/>
    </row>
    <row r="7" spans="1:6" ht="15.95" customHeight="1" x14ac:dyDescent="0.2">
      <c r="B7" s="485"/>
      <c r="C7" s="486"/>
      <c r="D7" s="487"/>
    </row>
    <row r="8" spans="1:6" ht="15.95" customHeight="1" x14ac:dyDescent="0.2">
      <c r="A8" s="16"/>
      <c r="B8" s="783" t="s">
        <v>565</v>
      </c>
      <c r="C8" s="781" t="s">
        <v>564</v>
      </c>
      <c r="D8" s="781" t="s">
        <v>563</v>
      </c>
    </row>
    <row r="9" spans="1:6" ht="15.95" customHeight="1" x14ac:dyDescent="0.2">
      <c r="A9" s="17" t="s">
        <v>42</v>
      </c>
      <c r="B9" s="784"/>
      <c r="C9" s="782"/>
      <c r="D9" s="782"/>
    </row>
    <row r="10" spans="1:6" ht="5.0999999999999996" customHeight="1" x14ac:dyDescent="0.2">
      <c r="A10" s="18"/>
      <c r="B10" s="207"/>
      <c r="C10" s="207"/>
      <c r="D10" s="207"/>
    </row>
    <row r="11" spans="1:6" ht="14.1" customHeight="1" x14ac:dyDescent="0.2">
      <c r="A11" s="354" t="s">
        <v>110</v>
      </c>
      <c r="B11" s="352">
        <f>+Data!Y11</f>
        <v>8713249</v>
      </c>
      <c r="C11" s="352">
        <v>504331</v>
      </c>
      <c r="D11" s="352">
        <f>+Data!Z11</f>
        <v>8208918</v>
      </c>
    </row>
    <row r="12" spans="1:6" ht="14.1" customHeight="1" x14ac:dyDescent="0.2">
      <c r="A12" s="237" t="s">
        <v>111</v>
      </c>
      <c r="B12" s="151">
        <f>+Data!Y12</f>
        <v>16139621</v>
      </c>
      <c r="C12" s="151">
        <v>2736955</v>
      </c>
      <c r="D12" s="151">
        <f>+Data!Z12</f>
        <v>13402666</v>
      </c>
    </row>
    <row r="13" spans="1:6" ht="14.1" customHeight="1" x14ac:dyDescent="0.2">
      <c r="A13" s="354" t="s">
        <v>112</v>
      </c>
      <c r="B13" s="352">
        <f>+Data!Y13</f>
        <v>45835385</v>
      </c>
      <c r="C13" s="352">
        <v>1848013</v>
      </c>
      <c r="D13" s="352">
        <f>+Data!Z13</f>
        <v>43987372</v>
      </c>
    </row>
    <row r="14" spans="1:6" ht="14.1" customHeight="1" x14ac:dyDescent="0.2">
      <c r="A14" s="237" t="s">
        <v>359</v>
      </c>
      <c r="B14" s="151">
        <f>+Data!Y14</f>
        <v>0</v>
      </c>
      <c r="C14" s="151">
        <v>0</v>
      </c>
      <c r="D14" s="151">
        <f>+Data!Z14</f>
        <v>0</v>
      </c>
    </row>
    <row r="15" spans="1:6" ht="14.1" customHeight="1" x14ac:dyDescent="0.2">
      <c r="A15" s="354" t="s">
        <v>113</v>
      </c>
      <c r="B15" s="352">
        <f>+Data!Y15</f>
        <v>11712311</v>
      </c>
      <c r="C15" s="352">
        <v>1595317</v>
      </c>
      <c r="D15" s="352">
        <f>+Data!Z15</f>
        <v>10116994</v>
      </c>
    </row>
    <row r="16" spans="1:6" ht="14.1" customHeight="1" x14ac:dyDescent="0.2">
      <c r="A16" s="237" t="s">
        <v>114</v>
      </c>
      <c r="B16" s="151">
        <f>+Data!Y16</f>
        <v>4855299</v>
      </c>
      <c r="C16" s="151">
        <v>752713</v>
      </c>
      <c r="D16" s="151">
        <f>+Data!Z16</f>
        <v>4102586</v>
      </c>
    </row>
    <row r="17" spans="1:4" ht="14.1" customHeight="1" x14ac:dyDescent="0.2">
      <c r="A17" s="354" t="s">
        <v>115</v>
      </c>
      <c r="B17" s="352">
        <f>+Data!Y17</f>
        <v>9114219</v>
      </c>
      <c r="C17" s="352">
        <v>487785</v>
      </c>
      <c r="D17" s="352">
        <f>+Data!Z17</f>
        <v>8626434</v>
      </c>
    </row>
    <row r="18" spans="1:4" ht="14.1" customHeight="1" x14ac:dyDescent="0.2">
      <c r="A18" s="237" t="s">
        <v>116</v>
      </c>
      <c r="B18" s="151">
        <f>+Data!Y18</f>
        <v>3604525</v>
      </c>
      <c r="C18" s="151">
        <v>318474</v>
      </c>
      <c r="D18" s="151">
        <f>+Data!Z18</f>
        <v>3286051</v>
      </c>
    </row>
    <row r="19" spans="1:4" ht="14.1" customHeight="1" x14ac:dyDescent="0.2">
      <c r="A19" s="354" t="s">
        <v>117</v>
      </c>
      <c r="B19" s="352">
        <f>+Data!Y19</f>
        <v>18633368</v>
      </c>
      <c r="C19" s="352">
        <v>646173</v>
      </c>
      <c r="D19" s="352">
        <f>+Data!Z19</f>
        <v>17987195</v>
      </c>
    </row>
    <row r="20" spans="1:4" ht="14.1" customHeight="1" x14ac:dyDescent="0.2">
      <c r="A20" s="237" t="s">
        <v>118</v>
      </c>
      <c r="B20" s="151">
        <f>+Data!Y20</f>
        <v>32488323</v>
      </c>
      <c r="C20" s="151">
        <v>1508126</v>
      </c>
      <c r="D20" s="151">
        <f>+Data!Z20</f>
        <v>30980197</v>
      </c>
    </row>
    <row r="21" spans="1:4" ht="14.1" customHeight="1" x14ac:dyDescent="0.2">
      <c r="A21" s="354" t="s">
        <v>119</v>
      </c>
      <c r="B21" s="352">
        <f>+Data!Y21</f>
        <v>18314911</v>
      </c>
      <c r="C21" s="352">
        <v>1289551</v>
      </c>
      <c r="D21" s="352">
        <f>+Data!Z21</f>
        <v>17025360</v>
      </c>
    </row>
    <row r="22" spans="1:4" ht="14.1" customHeight="1" x14ac:dyDescent="0.2">
      <c r="A22" s="237" t="s">
        <v>120</v>
      </c>
      <c r="B22" s="151">
        <f>+Data!Y22</f>
        <v>4866303</v>
      </c>
      <c r="C22" s="151">
        <v>309407</v>
      </c>
      <c r="D22" s="151">
        <f>+Data!Z22</f>
        <v>4556896</v>
      </c>
    </row>
    <row r="23" spans="1:4" ht="14.1" customHeight="1" x14ac:dyDescent="0.2">
      <c r="A23" s="354" t="s">
        <v>121</v>
      </c>
      <c r="B23" s="352">
        <f>+Data!Y23</f>
        <v>4993716</v>
      </c>
      <c r="C23" s="352">
        <v>440073</v>
      </c>
      <c r="D23" s="352">
        <f>+Data!Z23</f>
        <v>4553643</v>
      </c>
    </row>
    <row r="24" spans="1:4" ht="14.1" customHeight="1" x14ac:dyDescent="0.2">
      <c r="A24" s="237" t="s">
        <v>122</v>
      </c>
      <c r="B24" s="151">
        <f>+Data!Y24</f>
        <v>30730305</v>
      </c>
      <c r="C24" s="151">
        <v>2692903</v>
      </c>
      <c r="D24" s="151">
        <f>+Data!Z24</f>
        <v>28037402</v>
      </c>
    </row>
    <row r="25" spans="1:4" ht="14.1" customHeight="1" x14ac:dyDescent="0.2">
      <c r="A25" s="354" t="s">
        <v>123</v>
      </c>
      <c r="B25" s="352">
        <f>+Data!Y25</f>
        <v>103190256</v>
      </c>
      <c r="C25" s="352">
        <v>6541003</v>
      </c>
      <c r="D25" s="352">
        <f>+Data!Z25</f>
        <v>96649253</v>
      </c>
    </row>
    <row r="26" spans="1:4" ht="14.1" customHeight="1" x14ac:dyDescent="0.2">
      <c r="A26" s="237" t="s">
        <v>124</v>
      </c>
      <c r="B26" s="151">
        <f>+Data!Y26</f>
        <v>15710254</v>
      </c>
      <c r="C26" s="151">
        <v>690360</v>
      </c>
      <c r="D26" s="151">
        <f>+Data!Z26</f>
        <v>15019894</v>
      </c>
    </row>
    <row r="27" spans="1:4" ht="14.1" customHeight="1" x14ac:dyDescent="0.2">
      <c r="A27" s="354" t="s">
        <v>125</v>
      </c>
      <c r="B27" s="352">
        <f>+Data!Y27</f>
        <v>9786133</v>
      </c>
      <c r="C27" s="352">
        <v>1086050</v>
      </c>
      <c r="D27" s="352">
        <f>+Data!Z27</f>
        <v>8700083</v>
      </c>
    </row>
    <row r="28" spans="1:4" ht="14.1" customHeight="1" x14ac:dyDescent="0.2">
      <c r="A28" s="237" t="s">
        <v>126</v>
      </c>
      <c r="B28" s="151">
        <f>+Data!Y28</f>
        <v>9744820</v>
      </c>
      <c r="C28" s="151">
        <v>817353</v>
      </c>
      <c r="D28" s="151">
        <f>+Data!Z28</f>
        <v>8927467</v>
      </c>
    </row>
    <row r="29" spans="1:4" ht="14.1" customHeight="1" x14ac:dyDescent="0.2">
      <c r="A29" s="354" t="s">
        <v>127</v>
      </c>
      <c r="B29" s="352">
        <f>+Data!Y29</f>
        <v>99149827</v>
      </c>
      <c r="C29" s="352">
        <v>4859689</v>
      </c>
      <c r="D29" s="352">
        <f>+Data!Z29</f>
        <v>94290138</v>
      </c>
    </row>
    <row r="30" spans="1:4" ht="14.1" customHeight="1" x14ac:dyDescent="0.2">
      <c r="A30" s="237" t="s">
        <v>128</v>
      </c>
      <c r="B30" s="151">
        <f>+Data!Y30</f>
        <v>6816416</v>
      </c>
      <c r="C30" s="151">
        <v>332215</v>
      </c>
      <c r="D30" s="151">
        <f>+Data!Z30</f>
        <v>6484201</v>
      </c>
    </row>
    <row r="31" spans="1:4" ht="14.1" customHeight="1" x14ac:dyDescent="0.2">
      <c r="A31" s="354" t="s">
        <v>129</v>
      </c>
      <c r="B31" s="352">
        <f>+Data!Y31</f>
        <v>17081265</v>
      </c>
      <c r="C31" s="352">
        <v>523036</v>
      </c>
      <c r="D31" s="352">
        <f>+Data!Z31</f>
        <v>16558229</v>
      </c>
    </row>
    <row r="32" spans="1:4" ht="14.1" customHeight="1" x14ac:dyDescent="0.2">
      <c r="A32" s="237" t="s">
        <v>130</v>
      </c>
      <c r="B32" s="151">
        <f>+Data!Y32</f>
        <v>16337101</v>
      </c>
      <c r="C32" s="151">
        <v>1153109</v>
      </c>
      <c r="D32" s="151">
        <f>+Data!Z32</f>
        <v>15183992</v>
      </c>
    </row>
    <row r="33" spans="1:4" ht="14.1" customHeight="1" x14ac:dyDescent="0.2">
      <c r="A33" s="354" t="s">
        <v>131</v>
      </c>
      <c r="B33" s="352">
        <f>+Data!Y33</f>
        <v>14579212</v>
      </c>
      <c r="C33" s="352">
        <v>893985</v>
      </c>
      <c r="D33" s="352">
        <f>+Data!Z33</f>
        <v>13685227</v>
      </c>
    </row>
    <row r="34" spans="1:4" ht="14.1" customHeight="1" x14ac:dyDescent="0.2">
      <c r="A34" s="237" t="s">
        <v>132</v>
      </c>
      <c r="B34" s="151">
        <f>+Data!Y34</f>
        <v>18415181</v>
      </c>
      <c r="C34" s="151">
        <v>869876</v>
      </c>
      <c r="D34" s="151">
        <f>+Data!Z34</f>
        <v>17545305</v>
      </c>
    </row>
    <row r="35" spans="1:4" ht="14.1" customHeight="1" x14ac:dyDescent="0.2">
      <c r="A35" s="354" t="s">
        <v>133</v>
      </c>
      <c r="B35" s="352">
        <f>+Data!Y35</f>
        <v>85770519</v>
      </c>
      <c r="C35" s="352">
        <v>1490523</v>
      </c>
      <c r="D35" s="352">
        <f>+Data!Z35</f>
        <v>84279996</v>
      </c>
    </row>
    <row r="36" spans="1:4" ht="14.1" customHeight="1" x14ac:dyDescent="0.2">
      <c r="A36" s="237" t="s">
        <v>134</v>
      </c>
      <c r="B36" s="151">
        <f>+Data!Y36</f>
        <v>11304018</v>
      </c>
      <c r="C36" s="151">
        <v>763891</v>
      </c>
      <c r="D36" s="151">
        <f>+Data!Z36</f>
        <v>10540127</v>
      </c>
    </row>
    <row r="37" spans="1:4" ht="14.1" customHeight="1" x14ac:dyDescent="0.2">
      <c r="A37" s="354" t="s">
        <v>135</v>
      </c>
      <c r="B37" s="352">
        <f>+Data!Y37</f>
        <v>26323285</v>
      </c>
      <c r="C37" s="352">
        <v>2579094</v>
      </c>
      <c r="D37" s="352">
        <f>+Data!Z37</f>
        <v>23744191</v>
      </c>
    </row>
    <row r="38" spans="1:4" ht="14.1" customHeight="1" x14ac:dyDescent="0.2">
      <c r="A38" s="237" t="s">
        <v>136</v>
      </c>
      <c r="B38" s="151">
        <f>+Data!Y38</f>
        <v>56412269</v>
      </c>
      <c r="C38" s="151">
        <v>5363834</v>
      </c>
      <c r="D38" s="151">
        <f>+Data!Z38</f>
        <v>51048435</v>
      </c>
    </row>
    <row r="39" spans="1:4" ht="14.1" customHeight="1" x14ac:dyDescent="0.2">
      <c r="A39" s="354" t="s">
        <v>137</v>
      </c>
      <c r="B39" s="352">
        <f>+Data!Y39</f>
        <v>13038030</v>
      </c>
      <c r="C39" s="352">
        <v>758456</v>
      </c>
      <c r="D39" s="352">
        <f>+Data!Z39</f>
        <v>12279574</v>
      </c>
    </row>
    <row r="40" spans="1:4" ht="14.1" customHeight="1" x14ac:dyDescent="0.2">
      <c r="A40" s="237" t="s">
        <v>138</v>
      </c>
      <c r="B40" s="151">
        <f>+Data!Y40</f>
        <v>59353992</v>
      </c>
      <c r="C40" s="151">
        <v>3480523</v>
      </c>
      <c r="D40" s="151">
        <f>+Data!Z40</f>
        <v>55873469</v>
      </c>
    </row>
    <row r="41" spans="1:4" ht="14.1" customHeight="1" x14ac:dyDescent="0.2">
      <c r="A41" s="354" t="s">
        <v>139</v>
      </c>
      <c r="B41" s="352">
        <f>+Data!Y41</f>
        <v>36642663</v>
      </c>
      <c r="C41" s="352">
        <v>2979697</v>
      </c>
      <c r="D41" s="352">
        <f>+Data!Z41</f>
        <v>33662966</v>
      </c>
    </row>
    <row r="42" spans="1:4" ht="14.1" customHeight="1" x14ac:dyDescent="0.2">
      <c r="A42" s="237" t="s">
        <v>140</v>
      </c>
      <c r="B42" s="151">
        <f>+Data!Y42</f>
        <v>8185634</v>
      </c>
      <c r="C42" s="151">
        <v>1056497</v>
      </c>
      <c r="D42" s="151">
        <f>+Data!Z42</f>
        <v>7129137</v>
      </c>
    </row>
    <row r="43" spans="1:4" ht="14.1" customHeight="1" x14ac:dyDescent="0.2">
      <c r="A43" s="354" t="s">
        <v>141</v>
      </c>
      <c r="B43" s="352">
        <f>+Data!Y43</f>
        <v>6653776</v>
      </c>
      <c r="C43" s="352">
        <v>0</v>
      </c>
      <c r="D43" s="352">
        <f>+Data!Z43</f>
        <v>6653776</v>
      </c>
    </row>
    <row r="44" spans="1:4" ht="14.1" customHeight="1" x14ac:dyDescent="0.2">
      <c r="A44" s="237" t="s">
        <v>142</v>
      </c>
      <c r="B44" s="151">
        <f>+Data!Y44</f>
        <v>3692258</v>
      </c>
      <c r="C44" s="151">
        <v>468919</v>
      </c>
      <c r="D44" s="151">
        <f>+Data!Z44</f>
        <v>3223339</v>
      </c>
    </row>
    <row r="45" spans="1:4" ht="14.1" customHeight="1" x14ac:dyDescent="0.2">
      <c r="A45" s="354" t="s">
        <v>143</v>
      </c>
      <c r="B45" s="352">
        <f>+Data!Y45</f>
        <v>8337773</v>
      </c>
      <c r="C45" s="352">
        <v>0</v>
      </c>
      <c r="D45" s="352">
        <f>+Data!Z45</f>
        <v>8337773</v>
      </c>
    </row>
    <row r="46" spans="1:4" ht="14.1" customHeight="1" x14ac:dyDescent="0.2">
      <c r="A46" s="237" t="s">
        <v>144</v>
      </c>
      <c r="B46" s="151">
        <f>+Data!Y46</f>
        <v>181381006</v>
      </c>
      <c r="C46" s="151">
        <v>9580396</v>
      </c>
      <c r="D46" s="151">
        <f>+Data!Z46</f>
        <v>171800610</v>
      </c>
    </row>
    <row r="47" spans="1:4" ht="5.0999999999999996" customHeight="1" x14ac:dyDescent="0.2">
      <c r="A47" s="130"/>
      <c r="B47" s="152"/>
      <c r="C47" s="152"/>
      <c r="D47" s="152"/>
    </row>
    <row r="48" spans="1:4" ht="14.1" customHeight="1" x14ac:dyDescent="0.2">
      <c r="A48" s="355" t="s">
        <v>145</v>
      </c>
      <c r="B48" s="356">
        <f>SUM(B11:B47)</f>
        <v>1017907223</v>
      </c>
      <c r="C48" s="356">
        <f t="shared" ref="C48" si="0">SUM(C11:C46)</f>
        <v>61418327</v>
      </c>
      <c r="D48" s="356">
        <f>SUM(D11:D47)</f>
        <v>956488896</v>
      </c>
    </row>
    <row r="49" spans="1:6" s="184" customFormat="1" ht="53.25" customHeight="1" x14ac:dyDescent="0.2">
      <c r="A49" s="484"/>
      <c r="B49" s="484"/>
      <c r="C49" s="484"/>
      <c r="D49" s="484"/>
      <c r="E49" s="23"/>
      <c r="F49" s="23"/>
    </row>
    <row r="50" spans="1:6" s="184" customFormat="1" ht="15" customHeight="1" x14ac:dyDescent="0.2">
      <c r="A50" s="666" t="s">
        <v>640</v>
      </c>
      <c r="B50" s="666"/>
      <c r="C50" s="666"/>
      <c r="D50" s="666"/>
      <c r="E50" s="666"/>
      <c r="F50" s="666"/>
    </row>
    <row r="51" spans="1:6" ht="12" customHeight="1" x14ac:dyDescent="0.2">
      <c r="A51" s="785"/>
      <c r="B51" s="785"/>
      <c r="C51" s="785"/>
      <c r="D51" s="785"/>
      <c r="E51" s="785"/>
      <c r="F51" s="785"/>
    </row>
    <row r="52" spans="1:6" ht="11.25" customHeight="1" x14ac:dyDescent="0.2">
      <c r="A52" s="785"/>
      <c r="B52" s="785"/>
      <c r="C52" s="785"/>
      <c r="D52" s="785"/>
      <c r="E52" s="785"/>
      <c r="F52" s="785"/>
    </row>
    <row r="53" spans="1:6" ht="14.45" customHeight="1" x14ac:dyDescent="0.2"/>
    <row r="54" spans="1:6" ht="14.45" customHeight="1" x14ac:dyDescent="0.2"/>
    <row r="55" spans="1:6" ht="14.45" customHeight="1" x14ac:dyDescent="0.2"/>
    <row r="56" spans="1:6" ht="14.45" customHeight="1" x14ac:dyDescent="0.2"/>
    <row r="57" spans="1:6" ht="14.45" customHeight="1" x14ac:dyDescent="0.2"/>
    <row r="58" spans="1:6" ht="14.45" customHeight="1" x14ac:dyDescent="0.2"/>
  </sheetData>
  <mergeCells count="5">
    <mergeCell ref="A2:F2"/>
    <mergeCell ref="D8:D9"/>
    <mergeCell ref="C8:C9"/>
    <mergeCell ref="B8:B9"/>
    <mergeCell ref="A50:F52"/>
  </mergeCells>
  <phoneticPr fontId="0" type="noConversion"/>
  <printOptions horizontalCentered="1"/>
  <pageMargins left="0.5" right="0.511811023622047" top="0.59055118110236204" bottom="0" header="0.31496062992126" footer="0"/>
  <pageSetup scale="85" orientation="portrait" r:id="rId1"/>
  <headerFooter alignWithMargins="0">
    <oddHeader>&amp;C&amp;"Arial,Regular"&amp;11 &amp;A</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F52"/>
  <sheetViews>
    <sheetView showGridLines="0" showZeros="0" workbookViewId="0"/>
  </sheetViews>
  <sheetFormatPr defaultColWidth="15.83203125" defaultRowHeight="12" x14ac:dyDescent="0.2"/>
  <cols>
    <col min="1" max="1" width="35.83203125" style="2" customWidth="1"/>
    <col min="2" max="3" width="21.83203125" style="2" customWidth="1"/>
    <col min="4" max="4" width="23.83203125" style="2" customWidth="1"/>
    <col min="5" max="5" width="2.83203125" style="2" customWidth="1"/>
    <col min="6" max="6" width="27.83203125" style="2" customWidth="1"/>
    <col min="7" max="19" width="15.83203125" style="2"/>
    <col min="20" max="20" width="21" style="2" bestFit="1" customWidth="1"/>
    <col min="21" max="21" width="15" style="2" bestFit="1" customWidth="1"/>
    <col min="22" max="16384" width="15.83203125" style="2"/>
  </cols>
  <sheetData>
    <row r="1" spans="1:6" ht="6.95" customHeight="1" x14ac:dyDescent="0.2">
      <c r="A1" s="7"/>
    </row>
    <row r="2" spans="1:6" ht="15.95" customHeight="1" x14ac:dyDescent="0.2">
      <c r="A2" s="399"/>
      <c r="B2" s="208" t="s">
        <v>225</v>
      </c>
      <c r="C2" s="209"/>
      <c r="D2" s="209"/>
      <c r="E2" s="210"/>
      <c r="F2" s="210"/>
    </row>
    <row r="3" spans="1:6" ht="15.95" customHeight="1" x14ac:dyDescent="0.2">
      <c r="A3" s="539"/>
      <c r="B3" s="391" t="str">
        <f>TAXYEAR</f>
        <v>FOR THE 2016 TAXATION YEAR (2016 IS A REASSESSMENT YEAR)</v>
      </c>
      <c r="C3" s="390"/>
      <c r="D3" s="390"/>
      <c r="E3" s="398"/>
      <c r="F3" s="398"/>
    </row>
    <row r="4" spans="1:6" ht="15.95" customHeight="1" x14ac:dyDescent="0.2">
      <c r="B4"/>
      <c r="C4" s="8"/>
      <c r="D4" s="8"/>
      <c r="E4" s="8"/>
      <c r="F4" s="8"/>
    </row>
    <row r="5" spans="1:6" ht="15.95" customHeight="1" x14ac:dyDescent="0.2">
      <c r="B5"/>
      <c r="C5" s="8"/>
      <c r="D5" s="8"/>
      <c r="E5" s="8"/>
      <c r="F5" s="8"/>
    </row>
    <row r="6" spans="1:6" ht="15.95" customHeight="1" x14ac:dyDescent="0.2">
      <c r="B6"/>
      <c r="C6" s="8"/>
      <c r="D6" s="8"/>
      <c r="E6" s="8"/>
      <c r="F6" s="8"/>
    </row>
    <row r="7" spans="1:6" ht="15.95" customHeight="1" x14ac:dyDescent="0.2">
      <c r="B7" s="763" t="s">
        <v>566</v>
      </c>
      <c r="C7" s="556"/>
      <c r="D7" s="358"/>
      <c r="E7" s="8"/>
      <c r="F7" s="634" t="s">
        <v>567</v>
      </c>
    </row>
    <row r="8" spans="1:6" ht="15.95" customHeight="1" x14ac:dyDescent="0.2">
      <c r="A8" s="566"/>
      <c r="B8" s="735"/>
      <c r="C8" s="565"/>
      <c r="D8" s="359"/>
      <c r="E8" s="8"/>
      <c r="F8" s="732"/>
    </row>
    <row r="9" spans="1:6" ht="15.95" customHeight="1" x14ac:dyDescent="0.2">
      <c r="A9" s="567" t="s">
        <v>42</v>
      </c>
      <c r="B9" s="640"/>
      <c r="C9" s="299" t="s">
        <v>69</v>
      </c>
      <c r="D9" s="307" t="s">
        <v>31</v>
      </c>
      <c r="E9" s="8"/>
      <c r="F9" s="733"/>
    </row>
    <row r="10" spans="1:6" ht="5.0999999999999996" customHeight="1" x14ac:dyDescent="0.2">
      <c r="A10" s="18"/>
      <c r="B10" s="207">
        <v>38577</v>
      </c>
      <c r="C10" s="207"/>
      <c r="D10" s="207"/>
      <c r="E10" s="207"/>
      <c r="F10" s="207"/>
    </row>
    <row r="11" spans="1:6" ht="14.1" customHeight="1" x14ac:dyDescent="0.2">
      <c r="A11" s="354" t="s">
        <v>110</v>
      </c>
      <c r="B11" s="352">
        <f>'- 51 -'!C11</f>
        <v>1564936.8</v>
      </c>
      <c r="C11" s="352">
        <f>+Data!Z11</f>
        <v>8208918</v>
      </c>
      <c r="D11" s="352">
        <f t="shared" ref="D11:D46" si="0">SUM(B11,C11)</f>
        <v>9773854.8000000007</v>
      </c>
      <c r="F11" s="352">
        <f>+Data!W11</f>
        <v>426198</v>
      </c>
    </row>
    <row r="12" spans="1:6" ht="14.1" customHeight="1" x14ac:dyDescent="0.2">
      <c r="A12" s="237" t="s">
        <v>111</v>
      </c>
      <c r="B12" s="151">
        <f>'- 51 -'!C12</f>
        <v>2127192.375</v>
      </c>
      <c r="C12" s="151">
        <f>+Data!Z12</f>
        <v>13402666</v>
      </c>
      <c r="D12" s="151">
        <f t="shared" si="0"/>
        <v>15529858.375</v>
      </c>
      <c r="F12" s="151">
        <f>+Data!W12</f>
        <v>431678</v>
      </c>
    </row>
    <row r="13" spans="1:6" ht="14.1" customHeight="1" x14ac:dyDescent="0.2">
      <c r="A13" s="354" t="s">
        <v>112</v>
      </c>
      <c r="B13" s="352">
        <f>'- 51 -'!C13</f>
        <v>9365759.3399999999</v>
      </c>
      <c r="C13" s="352">
        <f>+Data!Z13</f>
        <v>43987372</v>
      </c>
      <c r="D13" s="352">
        <f t="shared" si="0"/>
        <v>53353131.340000004</v>
      </c>
      <c r="F13" s="352">
        <f>+Data!W13</f>
        <v>367136</v>
      </c>
    </row>
    <row r="14" spans="1:6" ht="14.1" customHeight="1" x14ac:dyDescent="0.2">
      <c r="A14" s="237" t="s">
        <v>359</v>
      </c>
      <c r="B14" s="151">
        <f>'- 51 -'!C14</f>
        <v>0</v>
      </c>
      <c r="C14" s="151">
        <f>+Data!Z14</f>
        <v>0</v>
      </c>
      <c r="D14" s="151">
        <f t="shared" si="0"/>
        <v>0</v>
      </c>
      <c r="F14" s="151">
        <f>+Data!W14</f>
        <v>447781</v>
      </c>
    </row>
    <row r="15" spans="1:6" ht="14.1" customHeight="1" x14ac:dyDescent="0.2">
      <c r="A15" s="354" t="s">
        <v>113</v>
      </c>
      <c r="B15" s="352">
        <f>'- 51 -'!C15</f>
        <v>1215104.31</v>
      </c>
      <c r="C15" s="352">
        <f>+Data!Z15</f>
        <v>10116994</v>
      </c>
      <c r="D15" s="352">
        <f t="shared" si="0"/>
        <v>11332098.310000001</v>
      </c>
      <c r="F15" s="352">
        <f>+Data!W15</f>
        <v>655610</v>
      </c>
    </row>
    <row r="16" spans="1:6" ht="14.1" customHeight="1" x14ac:dyDescent="0.2">
      <c r="A16" s="237" t="s">
        <v>114</v>
      </c>
      <c r="B16" s="151">
        <f>'- 51 -'!C16</f>
        <v>360835.65</v>
      </c>
      <c r="C16" s="151">
        <f>+Data!Z16</f>
        <v>4102586</v>
      </c>
      <c r="D16" s="151">
        <f t="shared" si="0"/>
        <v>4463421.6500000004</v>
      </c>
      <c r="F16" s="151">
        <f>+Data!W16</f>
        <v>200703</v>
      </c>
    </row>
    <row r="17" spans="1:6" ht="14.1" customHeight="1" x14ac:dyDescent="0.2">
      <c r="A17" s="354" t="s">
        <v>115</v>
      </c>
      <c r="B17" s="352">
        <f>'- 51 -'!C17</f>
        <v>5962828.4100000001</v>
      </c>
      <c r="C17" s="352">
        <f>+Data!Z17</f>
        <v>8626434</v>
      </c>
      <c r="D17" s="352">
        <f t="shared" si="0"/>
        <v>14589262.41</v>
      </c>
      <c r="F17" s="352">
        <f>+Data!W17</f>
        <v>865949</v>
      </c>
    </row>
    <row r="18" spans="1:6" ht="14.1" customHeight="1" x14ac:dyDescent="0.2">
      <c r="A18" s="237" t="s">
        <v>116</v>
      </c>
      <c r="B18" s="151">
        <f>'- 51 -'!C18</f>
        <v>768911.22000000009</v>
      </c>
      <c r="C18" s="151">
        <f>+Data!Z18</f>
        <v>3286051</v>
      </c>
      <c r="D18" s="151">
        <f t="shared" si="0"/>
        <v>4054962.22</v>
      </c>
      <c r="F18" s="151">
        <f>+Data!W18</f>
        <v>101055</v>
      </c>
    </row>
    <row r="19" spans="1:6" ht="14.1" customHeight="1" x14ac:dyDescent="0.2">
      <c r="A19" s="354" t="s">
        <v>117</v>
      </c>
      <c r="B19" s="352">
        <f>'- 51 -'!C19</f>
        <v>3142399.68</v>
      </c>
      <c r="C19" s="352">
        <f>+Data!Z19</f>
        <v>17987195</v>
      </c>
      <c r="D19" s="352">
        <f t="shared" si="0"/>
        <v>21129594.68</v>
      </c>
      <c r="F19" s="352">
        <f>+Data!W19</f>
        <v>269173</v>
      </c>
    </row>
    <row r="20" spans="1:6" ht="14.1" customHeight="1" x14ac:dyDescent="0.2">
      <c r="A20" s="237" t="s">
        <v>118</v>
      </c>
      <c r="B20" s="151">
        <f>'- 51 -'!C20</f>
        <v>4183517.2050000001</v>
      </c>
      <c r="C20" s="151">
        <f>+Data!Z20</f>
        <v>30980197</v>
      </c>
      <c r="D20" s="151">
        <f t="shared" si="0"/>
        <v>35163714.204999998</v>
      </c>
      <c r="F20" s="151">
        <f>+Data!W20</f>
        <v>263343</v>
      </c>
    </row>
    <row r="21" spans="1:6" ht="14.1" customHeight="1" x14ac:dyDescent="0.2">
      <c r="A21" s="354" t="s">
        <v>119</v>
      </c>
      <c r="B21" s="352">
        <f>'- 51 -'!C21</f>
        <v>2859913.14</v>
      </c>
      <c r="C21" s="352">
        <f>+Data!Z21</f>
        <v>17025360</v>
      </c>
      <c r="D21" s="352">
        <f t="shared" si="0"/>
        <v>19885273.140000001</v>
      </c>
      <c r="F21" s="352">
        <f>+Data!W21</f>
        <v>468821</v>
      </c>
    </row>
    <row r="22" spans="1:6" ht="14.1" customHeight="1" x14ac:dyDescent="0.2">
      <c r="A22" s="237" t="s">
        <v>120</v>
      </c>
      <c r="B22" s="151">
        <f>'- 51 -'!C22</f>
        <v>700017.255</v>
      </c>
      <c r="C22" s="151">
        <f>+Data!Z22</f>
        <v>4556896</v>
      </c>
      <c r="D22" s="151">
        <f t="shared" si="0"/>
        <v>5256913.2549999999</v>
      </c>
      <c r="F22" s="151">
        <f>+Data!W22</f>
        <v>171241</v>
      </c>
    </row>
    <row r="23" spans="1:6" ht="14.1" customHeight="1" x14ac:dyDescent="0.2">
      <c r="A23" s="354" t="s">
        <v>121</v>
      </c>
      <c r="B23" s="352">
        <f>'- 51 -'!C23</f>
        <v>328127.20500000002</v>
      </c>
      <c r="C23" s="352">
        <f>+Data!Z23</f>
        <v>4553643</v>
      </c>
      <c r="D23" s="352">
        <f t="shared" si="0"/>
        <v>4881770.2050000001</v>
      </c>
      <c r="F23" s="352">
        <f>+Data!W23</f>
        <v>280115</v>
      </c>
    </row>
    <row r="24" spans="1:6" ht="14.1" customHeight="1" x14ac:dyDescent="0.2">
      <c r="A24" s="237" t="s">
        <v>122</v>
      </c>
      <c r="B24" s="151">
        <f>'- 51 -'!C24</f>
        <v>2636550</v>
      </c>
      <c r="C24" s="151">
        <f>+Data!Z24</f>
        <v>28037402</v>
      </c>
      <c r="D24" s="151">
        <f t="shared" si="0"/>
        <v>30673952</v>
      </c>
      <c r="F24" s="151">
        <f>+Data!W24</f>
        <v>506891</v>
      </c>
    </row>
    <row r="25" spans="1:6" ht="14.1" customHeight="1" x14ac:dyDescent="0.2">
      <c r="A25" s="354" t="s">
        <v>123</v>
      </c>
      <c r="B25" s="352">
        <f>'- 51 -'!C25</f>
        <v>14640018.435000001</v>
      </c>
      <c r="C25" s="352">
        <f>+Data!Z25</f>
        <v>96649253</v>
      </c>
      <c r="D25" s="352">
        <f t="shared" si="0"/>
        <v>111289271.435</v>
      </c>
      <c r="F25" s="352">
        <f>+Data!W25</f>
        <v>484170</v>
      </c>
    </row>
    <row r="26" spans="1:6" ht="14.1" customHeight="1" x14ac:dyDescent="0.2">
      <c r="A26" s="237" t="s">
        <v>124</v>
      </c>
      <c r="B26" s="151">
        <f>'- 51 -'!C26</f>
        <v>1395338.28</v>
      </c>
      <c r="C26" s="151">
        <f>+Data!Z26</f>
        <v>15019894</v>
      </c>
      <c r="D26" s="151">
        <f t="shared" si="0"/>
        <v>16415232.279999999</v>
      </c>
      <c r="F26" s="151">
        <f>+Data!W26</f>
        <v>350850</v>
      </c>
    </row>
    <row r="27" spans="1:6" ht="14.1" customHeight="1" x14ac:dyDescent="0.2">
      <c r="A27" s="354" t="s">
        <v>125</v>
      </c>
      <c r="B27" s="352">
        <f>'- 51 -'!C27</f>
        <v>1508214.54</v>
      </c>
      <c r="C27" s="352">
        <f>+Data!Z27</f>
        <v>8700083</v>
      </c>
      <c r="D27" s="352">
        <f t="shared" si="0"/>
        <v>10208297.539999999</v>
      </c>
      <c r="F27" s="352">
        <f>+Data!W27</f>
        <v>184869</v>
      </c>
    </row>
    <row r="28" spans="1:6" ht="14.1" customHeight="1" x14ac:dyDescent="0.2">
      <c r="A28" s="237" t="s">
        <v>126</v>
      </c>
      <c r="B28" s="151">
        <f>'- 51 -'!C28</f>
        <v>2042047.1400000001</v>
      </c>
      <c r="C28" s="151">
        <f>+Data!Z28</f>
        <v>8927467</v>
      </c>
      <c r="D28" s="151">
        <f t="shared" si="0"/>
        <v>10969514.140000001</v>
      </c>
      <c r="F28" s="151">
        <f>+Data!W28</f>
        <v>532498</v>
      </c>
    </row>
    <row r="29" spans="1:6" ht="14.1" customHeight="1" x14ac:dyDescent="0.2">
      <c r="A29" s="354" t="s">
        <v>127</v>
      </c>
      <c r="B29" s="352">
        <f>'- 51 -'!C29</f>
        <v>15419124.420000002</v>
      </c>
      <c r="C29" s="352">
        <f>+Data!Z29</f>
        <v>94290138</v>
      </c>
      <c r="D29" s="352">
        <f t="shared" si="0"/>
        <v>109709262.42</v>
      </c>
      <c r="F29" s="352">
        <f>+Data!W29</f>
        <v>609410</v>
      </c>
    </row>
    <row r="30" spans="1:6" ht="14.1" customHeight="1" x14ac:dyDescent="0.2">
      <c r="A30" s="237" t="s">
        <v>128</v>
      </c>
      <c r="B30" s="151">
        <f>'- 51 -'!C30</f>
        <v>1004714.13</v>
      </c>
      <c r="C30" s="151">
        <f>+Data!Z30</f>
        <v>6484201</v>
      </c>
      <c r="D30" s="151">
        <f t="shared" si="0"/>
        <v>7488915.1299999999</v>
      </c>
      <c r="F30" s="151">
        <f>+Data!W30</f>
        <v>450654</v>
      </c>
    </row>
    <row r="31" spans="1:6" ht="14.1" customHeight="1" x14ac:dyDescent="0.2">
      <c r="A31" s="354" t="s">
        <v>129</v>
      </c>
      <c r="B31" s="352">
        <f>'- 51 -'!C31</f>
        <v>3579546.915</v>
      </c>
      <c r="C31" s="352">
        <f>+Data!Z31</f>
        <v>16558229</v>
      </c>
      <c r="D31" s="352">
        <f t="shared" si="0"/>
        <v>20137775.914999999</v>
      </c>
      <c r="F31" s="352">
        <f>+Data!W31</f>
        <v>401369</v>
      </c>
    </row>
    <row r="32" spans="1:6" ht="14.1" customHeight="1" x14ac:dyDescent="0.2">
      <c r="A32" s="237" t="s">
        <v>130</v>
      </c>
      <c r="B32" s="151">
        <f>'- 51 -'!C32</f>
        <v>1537446.9600000002</v>
      </c>
      <c r="C32" s="151">
        <f>+Data!Z32</f>
        <v>15183992</v>
      </c>
      <c r="D32" s="151">
        <f t="shared" si="0"/>
        <v>16721438.960000001</v>
      </c>
      <c r="F32" s="151">
        <f>+Data!W32</f>
        <v>574923</v>
      </c>
    </row>
    <row r="33" spans="1:6" ht="14.1" customHeight="1" x14ac:dyDescent="0.2">
      <c r="A33" s="354" t="s">
        <v>131</v>
      </c>
      <c r="B33" s="352">
        <f>'- 51 -'!C33</f>
        <v>1827021</v>
      </c>
      <c r="C33" s="352">
        <f>+Data!Z33</f>
        <v>13685227</v>
      </c>
      <c r="D33" s="352">
        <f t="shared" si="0"/>
        <v>15512248</v>
      </c>
      <c r="F33" s="352">
        <f>+Data!W33</f>
        <v>582797</v>
      </c>
    </row>
    <row r="34" spans="1:6" ht="14.1" customHeight="1" x14ac:dyDescent="0.2">
      <c r="A34" s="237" t="s">
        <v>132</v>
      </c>
      <c r="B34" s="151">
        <f>'- 51 -'!C34</f>
        <v>2807934.0450000004</v>
      </c>
      <c r="C34" s="151">
        <f>+Data!Z34</f>
        <v>17545305</v>
      </c>
      <c r="D34" s="151">
        <f t="shared" si="0"/>
        <v>20353239.045000002</v>
      </c>
      <c r="F34" s="151">
        <f>+Data!W34</f>
        <v>610264</v>
      </c>
    </row>
    <row r="35" spans="1:6" ht="14.1" customHeight="1" x14ac:dyDescent="0.2">
      <c r="A35" s="354" t="s">
        <v>133</v>
      </c>
      <c r="B35" s="352">
        <f>'- 51 -'!C35</f>
        <v>11371333.995000001</v>
      </c>
      <c r="C35" s="352">
        <f>+Data!Z35</f>
        <v>84279996</v>
      </c>
      <c r="D35" s="352">
        <f t="shared" si="0"/>
        <v>95651329.995000005</v>
      </c>
      <c r="F35" s="352">
        <f>+Data!W35</f>
        <v>425693</v>
      </c>
    </row>
    <row r="36" spans="1:6" ht="14.1" customHeight="1" x14ac:dyDescent="0.2">
      <c r="A36" s="237" t="s">
        <v>134</v>
      </c>
      <c r="B36" s="151">
        <f>'- 51 -'!C36</f>
        <v>1911726.3900000001</v>
      </c>
      <c r="C36" s="151">
        <f>+Data!Z36</f>
        <v>10540127</v>
      </c>
      <c r="D36" s="151">
        <f t="shared" si="0"/>
        <v>12451853.390000001</v>
      </c>
      <c r="F36" s="151">
        <f>+Data!W36</f>
        <v>597054</v>
      </c>
    </row>
    <row r="37" spans="1:6" ht="14.1" customHeight="1" x14ac:dyDescent="0.2">
      <c r="A37" s="354" t="s">
        <v>135</v>
      </c>
      <c r="B37" s="352">
        <f>'- 51 -'!C37</f>
        <v>1913537.85</v>
      </c>
      <c r="C37" s="352">
        <f>+Data!Z37</f>
        <v>23744191</v>
      </c>
      <c r="D37" s="352">
        <f t="shared" si="0"/>
        <v>25657728.850000001</v>
      </c>
      <c r="F37" s="352">
        <f>+Data!W37</f>
        <v>313398</v>
      </c>
    </row>
    <row r="38" spans="1:6" ht="14.1" customHeight="1" x14ac:dyDescent="0.2">
      <c r="A38" s="237" t="s">
        <v>136</v>
      </c>
      <c r="B38" s="151">
        <f>'- 51 -'!C38</f>
        <v>4122469.3650000002</v>
      </c>
      <c r="C38" s="151">
        <f>+Data!Z38</f>
        <v>51048435</v>
      </c>
      <c r="D38" s="151">
        <f t="shared" si="0"/>
        <v>55170904.365000002</v>
      </c>
      <c r="F38" s="151">
        <f>+Data!W38</f>
        <v>323900</v>
      </c>
    </row>
    <row r="39" spans="1:6" ht="14.1" customHeight="1" x14ac:dyDescent="0.2">
      <c r="A39" s="354" t="s">
        <v>137</v>
      </c>
      <c r="B39" s="352">
        <f>'- 51 -'!C39</f>
        <v>4462083.2549999999</v>
      </c>
      <c r="C39" s="352">
        <f>+Data!Z39</f>
        <v>12279574</v>
      </c>
      <c r="D39" s="352">
        <f t="shared" si="0"/>
        <v>16741657.254999999</v>
      </c>
      <c r="F39" s="352">
        <f>+Data!W39</f>
        <v>794896</v>
      </c>
    </row>
    <row r="40" spans="1:6" ht="14.1" customHeight="1" x14ac:dyDescent="0.2">
      <c r="A40" s="237" t="s">
        <v>138</v>
      </c>
      <c r="B40" s="151">
        <f>'- 51 -'!C40</f>
        <v>16606835.175000001</v>
      </c>
      <c r="C40" s="151">
        <f>+Data!Z40</f>
        <v>55873469</v>
      </c>
      <c r="D40" s="151">
        <f t="shared" si="0"/>
        <v>72480304.174999997</v>
      </c>
      <c r="F40" s="151">
        <f>+Data!W40</f>
        <v>589299</v>
      </c>
    </row>
    <row r="41" spans="1:6" ht="14.1" customHeight="1" x14ac:dyDescent="0.2">
      <c r="A41" s="354" t="s">
        <v>139</v>
      </c>
      <c r="B41" s="352">
        <f>'- 51 -'!C41</f>
        <v>4613206.29</v>
      </c>
      <c r="C41" s="352">
        <f>+Data!Z41</f>
        <v>33662966</v>
      </c>
      <c r="D41" s="352">
        <f t="shared" si="0"/>
        <v>38276172.289999999</v>
      </c>
      <c r="F41" s="352">
        <f>+Data!W41</f>
        <v>540810</v>
      </c>
    </row>
    <row r="42" spans="1:6" ht="14.1" customHeight="1" x14ac:dyDescent="0.2">
      <c r="A42" s="237" t="s">
        <v>140</v>
      </c>
      <c r="B42" s="151">
        <f>'- 51 -'!C42</f>
        <v>857183.3550000001</v>
      </c>
      <c r="C42" s="151">
        <f>+Data!Z42</f>
        <v>7129137</v>
      </c>
      <c r="D42" s="151">
        <f t="shared" si="0"/>
        <v>7986320.3550000004</v>
      </c>
      <c r="F42" s="151">
        <f>+Data!W42</f>
        <v>389698</v>
      </c>
    </row>
    <row r="43" spans="1:6" ht="14.1" customHeight="1" x14ac:dyDescent="0.2">
      <c r="A43" s="354" t="s">
        <v>141</v>
      </c>
      <c r="B43" s="352">
        <f>'- 51 -'!C43</f>
        <v>686531.05500000005</v>
      </c>
      <c r="C43" s="352">
        <f>+Data!Z43</f>
        <v>6653776</v>
      </c>
      <c r="D43" s="352">
        <f t="shared" si="0"/>
        <v>7340307.0549999997</v>
      </c>
      <c r="F43" s="352">
        <f>+Data!W43</f>
        <v>604941</v>
      </c>
    </row>
    <row r="44" spans="1:6" ht="14.1" customHeight="1" x14ac:dyDescent="0.2">
      <c r="A44" s="237" t="s">
        <v>142</v>
      </c>
      <c r="B44" s="151">
        <f>'- 51 -'!C44</f>
        <v>144398.625</v>
      </c>
      <c r="C44" s="151">
        <f>+Data!Z44</f>
        <v>3223339</v>
      </c>
      <c r="D44" s="151">
        <f t="shared" si="0"/>
        <v>3367737.625</v>
      </c>
      <c r="F44" s="151">
        <f>+Data!W44</f>
        <v>262413</v>
      </c>
    </row>
    <row r="45" spans="1:6" ht="14.1" customHeight="1" x14ac:dyDescent="0.2">
      <c r="A45" s="354" t="s">
        <v>143</v>
      </c>
      <c r="B45" s="352">
        <f>'- 51 -'!C45</f>
        <v>1038171.9600000001</v>
      </c>
      <c r="C45" s="352">
        <f>+Data!Z45</f>
        <v>8337773</v>
      </c>
      <c r="D45" s="352">
        <f t="shared" si="0"/>
        <v>9375944.9600000009</v>
      </c>
      <c r="F45" s="352">
        <f>+Data!W45</f>
        <v>326648</v>
      </c>
    </row>
    <row r="46" spans="1:6" ht="14.1" customHeight="1" x14ac:dyDescent="0.2">
      <c r="A46" s="237" t="s">
        <v>144</v>
      </c>
      <c r="B46" s="151">
        <f>'- 51 -'!C46</f>
        <v>52141834.185000002</v>
      </c>
      <c r="C46" s="151">
        <f>+Data!Z46</f>
        <v>171800610</v>
      </c>
      <c r="D46" s="151">
        <f t="shared" si="0"/>
        <v>223942444.185</v>
      </c>
      <c r="F46" s="151">
        <f>+Data!W46</f>
        <v>417464</v>
      </c>
    </row>
    <row r="47" spans="1:6" ht="5.0999999999999996" customHeight="1" x14ac:dyDescent="0.2">
      <c r="A47" s="130"/>
      <c r="B47" s="152"/>
      <c r="C47" s="152"/>
      <c r="D47" s="152"/>
      <c r="F47" s="152"/>
    </row>
    <row r="48" spans="1:6" ht="14.1" customHeight="1" x14ac:dyDescent="0.2">
      <c r="A48" s="355" t="s">
        <v>145</v>
      </c>
      <c r="B48" s="356">
        <f>SUM(B11:B46)</f>
        <v>180846809.95499998</v>
      </c>
      <c r="C48" s="356">
        <f>+Data!Z48</f>
        <v>956488896</v>
      </c>
      <c r="D48" s="356">
        <f>SUM(D11:D46)</f>
        <v>1137335705.9549999</v>
      </c>
      <c r="F48" s="356">
        <f>+Data!W48</f>
        <v>435010.95248891297</v>
      </c>
    </row>
    <row r="49" spans="1:6" ht="50.1" customHeight="1" x14ac:dyDescent="0.2">
      <c r="A49" s="244" t="s">
        <v>7</v>
      </c>
      <c r="B49" s="23"/>
      <c r="C49" s="23"/>
      <c r="D49" s="23"/>
      <c r="E49" s="23"/>
      <c r="F49" s="23"/>
    </row>
    <row r="50" spans="1:6" ht="15" customHeight="1" x14ac:dyDescent="0.2">
      <c r="A50" s="607" t="s">
        <v>568</v>
      </c>
      <c r="B50" s="607"/>
      <c r="C50" s="607"/>
      <c r="D50" s="607"/>
      <c r="E50" s="607"/>
      <c r="F50" s="607"/>
    </row>
    <row r="51" spans="1:6" ht="12" customHeight="1" x14ac:dyDescent="0.2">
      <c r="A51" s="608"/>
      <c r="B51" s="608"/>
      <c r="C51" s="608"/>
      <c r="D51" s="608"/>
      <c r="E51" s="608"/>
      <c r="F51" s="608"/>
    </row>
    <row r="52" spans="1:6" ht="12" customHeight="1" x14ac:dyDescent="0.2">
      <c r="A52" s="608"/>
      <c r="B52" s="608"/>
      <c r="C52" s="608"/>
      <c r="D52" s="608"/>
      <c r="E52" s="608"/>
      <c r="F52" s="608"/>
    </row>
  </sheetData>
  <mergeCells count="3">
    <mergeCell ref="B7:B9"/>
    <mergeCell ref="F7:F9"/>
    <mergeCell ref="A50:F52"/>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5"/>
  <sheetViews>
    <sheetView showGridLines="0" showZeros="0" workbookViewId="0"/>
  </sheetViews>
  <sheetFormatPr defaultColWidth="15.83203125" defaultRowHeight="12" x14ac:dyDescent="0.2"/>
  <cols>
    <col min="1" max="1" width="34.83203125" style="2" customWidth="1"/>
    <col min="2" max="3" width="18.83203125" style="2" customWidth="1"/>
    <col min="4" max="4" width="1.83203125" style="2" customWidth="1"/>
    <col min="5" max="6" width="18.83203125" style="2" customWidth="1"/>
    <col min="7" max="7" width="21.1640625" style="2" customWidth="1"/>
    <col min="8" max="16384" width="15.83203125" style="2"/>
  </cols>
  <sheetData>
    <row r="1" spans="1:7" ht="6.95" customHeight="1" x14ac:dyDescent="0.2">
      <c r="A1" s="7"/>
      <c r="B1" s="7"/>
      <c r="C1" s="7"/>
      <c r="D1" s="8"/>
      <c r="E1" s="8"/>
    </row>
    <row r="2" spans="1:7" ht="15.95" customHeight="1" x14ac:dyDescent="0.2">
      <c r="A2" s="63"/>
      <c r="B2" s="9" t="s">
        <v>10</v>
      </c>
      <c r="C2" s="10"/>
      <c r="D2" s="10"/>
      <c r="E2" s="73"/>
      <c r="F2" s="81"/>
      <c r="G2" s="81" t="s">
        <v>12</v>
      </c>
    </row>
    <row r="3" spans="1:7" ht="15.95" customHeight="1" x14ac:dyDescent="0.2">
      <c r="A3" s="542"/>
      <c r="B3" s="11" t="str">
        <f>STATDATE</f>
        <v>ACTUAL SEPTEMBER 30, 2016</v>
      </c>
      <c r="C3" s="12"/>
      <c r="D3" s="12"/>
      <c r="E3" s="75"/>
      <c r="F3" s="75"/>
      <c r="G3" s="75"/>
    </row>
    <row r="4" spans="1:7" ht="15.95" customHeight="1" x14ac:dyDescent="0.2">
      <c r="D4" s="8"/>
      <c r="E4" s="8"/>
    </row>
    <row r="5" spans="1:7" ht="15.95" customHeight="1" x14ac:dyDescent="0.2"/>
    <row r="6" spans="1:7" ht="15.95" customHeight="1" x14ac:dyDescent="0.2">
      <c r="B6" s="492"/>
      <c r="C6" s="585"/>
      <c r="D6" s="184"/>
      <c r="E6" s="412"/>
    </row>
    <row r="7" spans="1:7" ht="15.95" customHeight="1" x14ac:dyDescent="0.2">
      <c r="B7" s="493" t="s">
        <v>334</v>
      </c>
      <c r="C7" s="494"/>
      <c r="D7" s="184"/>
      <c r="E7" s="413" t="s">
        <v>31</v>
      </c>
    </row>
    <row r="8" spans="1:7" ht="15.95" customHeight="1" x14ac:dyDescent="0.2">
      <c r="A8" s="33"/>
      <c r="B8" s="618" t="s">
        <v>455</v>
      </c>
      <c r="C8" s="138"/>
      <c r="D8" s="15"/>
      <c r="E8" s="617" t="s">
        <v>454</v>
      </c>
    </row>
    <row r="9" spans="1:7" ht="15.95" customHeight="1" x14ac:dyDescent="0.2">
      <c r="A9" s="82" t="s">
        <v>42</v>
      </c>
      <c r="B9" s="603"/>
      <c r="C9" s="78" t="s">
        <v>31</v>
      </c>
      <c r="D9" s="84"/>
      <c r="E9" s="598"/>
    </row>
    <row r="10" spans="1:7" ht="5.0999999999999996" customHeight="1" x14ac:dyDescent="0.2">
      <c r="A10" s="6"/>
      <c r="B10" s="85"/>
      <c r="C10" s="6"/>
      <c r="D10" s="86"/>
    </row>
    <row r="11" spans="1:7" ht="14.1" customHeight="1" x14ac:dyDescent="0.2">
      <c r="A11" s="284" t="s">
        <v>110</v>
      </c>
      <c r="B11" s="291">
        <v>0</v>
      </c>
      <c r="C11" s="291">
        <f>SUM('- 6 -'!B11:H11,B11)</f>
        <v>1766</v>
      </c>
      <c r="D11" s="87"/>
      <c r="E11" s="291">
        <f>C11</f>
        <v>1766</v>
      </c>
      <c r="G11" s="131"/>
    </row>
    <row r="12" spans="1:7" ht="14.1" customHeight="1" x14ac:dyDescent="0.2">
      <c r="A12" s="19" t="s">
        <v>111</v>
      </c>
      <c r="B12" s="70">
        <v>223.67</v>
      </c>
      <c r="C12" s="70">
        <f>SUM('- 6 -'!B12:H12,B12)</f>
        <v>2119.5500000000002</v>
      </c>
      <c r="D12" s="87"/>
      <c r="E12" s="70">
        <f t="shared" ref="E12:E46" si="0">C12</f>
        <v>2119.5500000000002</v>
      </c>
      <c r="G12" s="131"/>
    </row>
    <row r="13" spans="1:7" ht="14.1" customHeight="1" x14ac:dyDescent="0.2">
      <c r="A13" s="284" t="s">
        <v>112</v>
      </c>
      <c r="B13" s="291">
        <v>438.9</v>
      </c>
      <c r="C13" s="291">
        <f>SUM('- 6 -'!B13:H13,B13)</f>
        <v>8373.5</v>
      </c>
      <c r="D13" s="87"/>
      <c r="E13" s="291">
        <f t="shared" si="0"/>
        <v>8373.5</v>
      </c>
      <c r="G13" s="131"/>
    </row>
    <row r="14" spans="1:7" ht="14.1" customHeight="1" x14ac:dyDescent="0.2">
      <c r="A14" s="19" t="s">
        <v>359</v>
      </c>
      <c r="B14" s="70">
        <v>16.14</v>
      </c>
      <c r="C14" s="70">
        <f>SUM('- 6 -'!B14:H14,B14)</f>
        <v>5483.14</v>
      </c>
      <c r="D14" s="87"/>
      <c r="E14" s="70">
        <f t="shared" si="0"/>
        <v>5483.14</v>
      </c>
      <c r="G14" s="131"/>
    </row>
    <row r="15" spans="1:7" ht="14.1" customHeight="1" x14ac:dyDescent="0.2">
      <c r="A15" s="284" t="s">
        <v>113</v>
      </c>
      <c r="B15" s="291">
        <v>25</v>
      </c>
      <c r="C15" s="291">
        <f>SUM('- 6 -'!B15:H15,B15)</f>
        <v>1399.2</v>
      </c>
      <c r="D15" s="87"/>
      <c r="E15" s="291">
        <f t="shared" si="0"/>
        <v>1399.2</v>
      </c>
      <c r="G15" s="131"/>
    </row>
    <row r="16" spans="1:7" ht="14.1" customHeight="1" x14ac:dyDescent="0.2">
      <c r="A16" s="19" t="s">
        <v>114</v>
      </c>
      <c r="B16" s="70">
        <v>6.5</v>
      </c>
      <c r="C16" s="70">
        <f>SUM('- 6 -'!B16:H16,B16)</f>
        <v>903.8</v>
      </c>
      <c r="D16" s="87"/>
      <c r="E16" s="70">
        <f t="shared" si="0"/>
        <v>903.8</v>
      </c>
      <c r="G16" s="131"/>
    </row>
    <row r="17" spans="1:7" ht="14.1" customHeight="1" x14ac:dyDescent="0.2">
      <c r="A17" s="284" t="s">
        <v>115</v>
      </c>
      <c r="B17" s="291">
        <v>21</v>
      </c>
      <c r="C17" s="291">
        <f>SUM('- 6 -'!B17:H17,B17)</f>
        <v>1397.5</v>
      </c>
      <c r="D17" s="87"/>
      <c r="E17" s="291">
        <f t="shared" si="0"/>
        <v>1397.5</v>
      </c>
      <c r="G17" s="131"/>
    </row>
    <row r="18" spans="1:7" ht="14.1" customHeight="1" x14ac:dyDescent="0.2">
      <c r="A18" s="19" t="s">
        <v>116</v>
      </c>
      <c r="B18" s="70">
        <v>34</v>
      </c>
      <c r="C18" s="70">
        <f>SUM('- 6 -'!B18:H18,B18)</f>
        <v>6094.9</v>
      </c>
      <c r="D18" s="87"/>
      <c r="E18" s="70">
        <f t="shared" si="0"/>
        <v>6094.9</v>
      </c>
      <c r="G18" s="131"/>
    </row>
    <row r="19" spans="1:7" ht="14.1" customHeight="1" x14ac:dyDescent="0.2">
      <c r="A19" s="284" t="s">
        <v>117</v>
      </c>
      <c r="B19" s="291">
        <v>116.10000000000001</v>
      </c>
      <c r="C19" s="291">
        <f>SUM('- 6 -'!B19:H19,B19)</f>
        <v>4381</v>
      </c>
      <c r="D19" s="87"/>
      <c r="E19" s="291">
        <f t="shared" si="0"/>
        <v>4381</v>
      </c>
      <c r="G19" s="131"/>
    </row>
    <row r="20" spans="1:7" ht="14.1" customHeight="1" x14ac:dyDescent="0.2">
      <c r="A20" s="19" t="s">
        <v>118</v>
      </c>
      <c r="B20" s="70">
        <v>474.57</v>
      </c>
      <c r="C20" s="70">
        <f>SUM('- 6 -'!B20:H20,B20)</f>
        <v>7635.5</v>
      </c>
      <c r="D20" s="87"/>
      <c r="E20" s="70">
        <f t="shared" si="0"/>
        <v>7635.5</v>
      </c>
      <c r="G20" s="131"/>
    </row>
    <row r="21" spans="1:7" ht="14.1" customHeight="1" x14ac:dyDescent="0.2">
      <c r="A21" s="284" t="s">
        <v>119</v>
      </c>
      <c r="B21" s="291">
        <v>0</v>
      </c>
      <c r="C21" s="291">
        <f>SUM('- 6 -'!B21:H21,B21)</f>
        <v>2742.1</v>
      </c>
      <c r="D21" s="87"/>
      <c r="E21" s="291">
        <f t="shared" si="0"/>
        <v>2742.1</v>
      </c>
      <c r="G21" s="131"/>
    </row>
    <row r="22" spans="1:7" ht="14.1" customHeight="1" x14ac:dyDescent="0.2">
      <c r="A22" s="19" t="s">
        <v>120</v>
      </c>
      <c r="B22" s="70">
        <v>0</v>
      </c>
      <c r="C22" s="70">
        <f>SUM('- 6 -'!B22:H22,B22)</f>
        <v>1523.6</v>
      </c>
      <c r="D22" s="87"/>
      <c r="E22" s="70">
        <f t="shared" si="0"/>
        <v>1523.6</v>
      </c>
      <c r="G22" s="131"/>
    </row>
    <row r="23" spans="1:7" ht="14.1" customHeight="1" x14ac:dyDescent="0.2">
      <c r="A23" s="284" t="s">
        <v>121</v>
      </c>
      <c r="B23" s="291">
        <v>20</v>
      </c>
      <c r="C23" s="291">
        <f>SUM('- 6 -'!B23:H23,B23)</f>
        <v>1114.5</v>
      </c>
      <c r="D23" s="87"/>
      <c r="E23" s="291">
        <f t="shared" si="0"/>
        <v>1114.5</v>
      </c>
      <c r="G23" s="131"/>
    </row>
    <row r="24" spans="1:7" ht="14.1" customHeight="1" x14ac:dyDescent="0.2">
      <c r="A24" s="19" t="s">
        <v>122</v>
      </c>
      <c r="B24" s="70">
        <v>255</v>
      </c>
      <c r="C24" s="70">
        <f>SUM('- 6 -'!B24:H24,B24)</f>
        <v>3948.3</v>
      </c>
      <c r="D24" s="87"/>
      <c r="E24" s="70">
        <f t="shared" si="0"/>
        <v>3948.3</v>
      </c>
      <c r="G24" s="131"/>
    </row>
    <row r="25" spans="1:7" ht="14.1" customHeight="1" x14ac:dyDescent="0.2">
      <c r="A25" s="284" t="s">
        <v>123</v>
      </c>
      <c r="B25" s="291">
        <v>96.9</v>
      </c>
      <c r="C25" s="291">
        <f>SUM('- 6 -'!B25:H25,B25)</f>
        <v>14335.9</v>
      </c>
      <c r="D25" s="87"/>
      <c r="E25" s="291">
        <f t="shared" si="0"/>
        <v>14335.9</v>
      </c>
      <c r="G25" s="131"/>
    </row>
    <row r="26" spans="1:7" ht="14.1" customHeight="1" x14ac:dyDescent="0.2">
      <c r="A26" s="19" t="s">
        <v>124</v>
      </c>
      <c r="B26" s="70">
        <v>137.6</v>
      </c>
      <c r="C26" s="70">
        <f>SUM('- 6 -'!B26:H26,B26)</f>
        <v>3056</v>
      </c>
      <c r="D26" s="87"/>
      <c r="E26" s="70">
        <f t="shared" si="0"/>
        <v>3056</v>
      </c>
      <c r="G26" s="131"/>
    </row>
    <row r="27" spans="1:7" ht="14.1" customHeight="1" x14ac:dyDescent="0.2">
      <c r="A27" s="284" t="s">
        <v>125</v>
      </c>
      <c r="B27" s="291">
        <v>109.3</v>
      </c>
      <c r="C27" s="291">
        <f>SUM('- 6 -'!B27:H27,B27)</f>
        <v>2987.7500000000005</v>
      </c>
      <c r="D27" s="87"/>
      <c r="E27" s="291">
        <f t="shared" si="0"/>
        <v>2987.7500000000005</v>
      </c>
      <c r="G27" s="131"/>
    </row>
    <row r="28" spans="1:7" ht="14.1" customHeight="1" x14ac:dyDescent="0.2">
      <c r="A28" s="19" t="s">
        <v>126</v>
      </c>
      <c r="B28" s="70">
        <v>0</v>
      </c>
      <c r="C28" s="70">
        <f>SUM('- 6 -'!B28:H28,B28)</f>
        <v>1963</v>
      </c>
      <c r="D28" s="87"/>
      <c r="E28" s="70">
        <f t="shared" si="0"/>
        <v>1963</v>
      </c>
      <c r="G28" s="131"/>
    </row>
    <row r="29" spans="1:7" ht="14.1" customHeight="1" x14ac:dyDescent="0.2">
      <c r="A29" s="284" t="s">
        <v>127</v>
      </c>
      <c r="B29" s="291">
        <v>0</v>
      </c>
      <c r="C29" s="291">
        <f>SUM('- 6 -'!B29:H29,B29)</f>
        <v>13082.4</v>
      </c>
      <c r="D29" s="87"/>
      <c r="E29" s="291">
        <f t="shared" si="0"/>
        <v>13082.4</v>
      </c>
      <c r="G29" s="131"/>
    </row>
    <row r="30" spans="1:7" ht="14.1" customHeight="1" x14ac:dyDescent="0.2">
      <c r="A30" s="19" t="s">
        <v>128</v>
      </c>
      <c r="B30" s="70">
        <v>9.1428571428571423</v>
      </c>
      <c r="C30" s="70">
        <f>SUM('- 6 -'!B30:H30,B30)</f>
        <v>999.14285714285711</v>
      </c>
      <c r="D30" s="87"/>
      <c r="E30" s="70">
        <f t="shared" si="0"/>
        <v>999.14285714285711</v>
      </c>
      <c r="G30" s="131"/>
    </row>
    <row r="31" spans="1:7" ht="14.1" customHeight="1" x14ac:dyDescent="0.2">
      <c r="A31" s="284" t="s">
        <v>129</v>
      </c>
      <c r="B31" s="291">
        <v>148</v>
      </c>
      <c r="C31" s="291">
        <f>SUM('- 6 -'!B31:H31,B31)</f>
        <v>3253</v>
      </c>
      <c r="D31" s="87"/>
      <c r="E31" s="291">
        <f t="shared" si="0"/>
        <v>3253</v>
      </c>
      <c r="G31" s="131"/>
    </row>
    <row r="32" spans="1:7" ht="14.1" customHeight="1" x14ac:dyDescent="0.2">
      <c r="A32" s="19" t="s">
        <v>130</v>
      </c>
      <c r="B32" s="70">
        <v>119.4</v>
      </c>
      <c r="C32" s="70">
        <f>SUM('- 6 -'!B32:H32,B32)</f>
        <v>2153.1999999999998</v>
      </c>
      <c r="D32" s="87"/>
      <c r="E32" s="70">
        <f t="shared" si="0"/>
        <v>2153.1999999999998</v>
      </c>
      <c r="G32" s="131"/>
    </row>
    <row r="33" spans="1:7" ht="14.1" customHeight="1" x14ac:dyDescent="0.2">
      <c r="A33" s="284" t="s">
        <v>131</v>
      </c>
      <c r="B33" s="291">
        <v>51.9</v>
      </c>
      <c r="C33" s="291">
        <f>SUM('- 6 -'!B33:H33,B33)</f>
        <v>2019.5</v>
      </c>
      <c r="D33" s="87"/>
      <c r="E33" s="291">
        <f t="shared" si="0"/>
        <v>2019.5</v>
      </c>
      <c r="G33" s="131"/>
    </row>
    <row r="34" spans="1:7" ht="14.1" customHeight="1" x14ac:dyDescent="0.2">
      <c r="A34" s="19" t="s">
        <v>132</v>
      </c>
      <c r="B34" s="70">
        <v>18.8</v>
      </c>
      <c r="C34" s="70">
        <f>SUM('- 6 -'!B34:H34,B34)</f>
        <v>2034.9</v>
      </c>
      <c r="D34" s="87"/>
      <c r="E34" s="70">
        <f t="shared" si="0"/>
        <v>2034.9</v>
      </c>
      <c r="G34" s="131"/>
    </row>
    <row r="35" spans="1:7" ht="14.1" customHeight="1" x14ac:dyDescent="0.2">
      <c r="A35" s="284" t="s">
        <v>133</v>
      </c>
      <c r="B35" s="291">
        <v>649</v>
      </c>
      <c r="C35" s="291">
        <f>SUM('- 6 -'!B35:H35,B35)</f>
        <v>15608</v>
      </c>
      <c r="D35" s="87"/>
      <c r="E35" s="291">
        <f t="shared" si="0"/>
        <v>15608</v>
      </c>
      <c r="G35" s="131"/>
    </row>
    <row r="36" spans="1:7" ht="14.1" customHeight="1" x14ac:dyDescent="0.2">
      <c r="A36" s="19" t="s">
        <v>134</v>
      </c>
      <c r="B36" s="70">
        <v>7.6</v>
      </c>
      <c r="C36" s="70">
        <f>SUM('- 6 -'!B36:H36,B36)</f>
        <v>1667.5</v>
      </c>
      <c r="D36" s="87"/>
      <c r="E36" s="70">
        <f t="shared" si="0"/>
        <v>1667.5</v>
      </c>
      <c r="G36" s="131"/>
    </row>
    <row r="37" spans="1:7" ht="14.1" customHeight="1" x14ac:dyDescent="0.2">
      <c r="A37" s="284" t="s">
        <v>135</v>
      </c>
      <c r="B37" s="291">
        <v>0</v>
      </c>
      <c r="C37" s="291">
        <f>SUM('- 6 -'!B37:H37,B37)</f>
        <v>4183</v>
      </c>
      <c r="D37" s="87"/>
      <c r="E37" s="291">
        <f t="shared" si="0"/>
        <v>4183</v>
      </c>
      <c r="G37" s="131"/>
    </row>
    <row r="38" spans="1:7" ht="14.1" customHeight="1" x14ac:dyDescent="0.2">
      <c r="A38" s="19" t="s">
        <v>136</v>
      </c>
      <c r="B38" s="70">
        <v>166</v>
      </c>
      <c r="C38" s="70">
        <f>SUM('- 6 -'!B38:H38,B38)</f>
        <v>10993.8</v>
      </c>
      <c r="D38" s="87"/>
      <c r="E38" s="70">
        <f t="shared" si="0"/>
        <v>10993.8</v>
      </c>
      <c r="G38" s="131"/>
    </row>
    <row r="39" spans="1:7" ht="14.1" customHeight="1" x14ac:dyDescent="0.2">
      <c r="A39" s="284" t="s">
        <v>137</v>
      </c>
      <c r="B39" s="291">
        <v>46</v>
      </c>
      <c r="C39" s="291">
        <f>SUM('- 6 -'!B39:H39,B39)</f>
        <v>1500</v>
      </c>
      <c r="D39" s="87"/>
      <c r="E39" s="291">
        <f t="shared" si="0"/>
        <v>1500</v>
      </c>
      <c r="G39" s="131"/>
    </row>
    <row r="40" spans="1:7" ht="14.1" customHeight="1" x14ac:dyDescent="0.2">
      <c r="A40" s="19" t="s">
        <v>138</v>
      </c>
      <c r="B40" s="70">
        <v>264.3</v>
      </c>
      <c r="C40" s="70">
        <f>SUM('- 6 -'!B40:H40,B40)</f>
        <v>8260.4</v>
      </c>
      <c r="D40" s="87"/>
      <c r="E40" s="70">
        <f t="shared" si="0"/>
        <v>8260.4</v>
      </c>
      <c r="G40" s="131"/>
    </row>
    <row r="41" spans="1:7" ht="14.1" customHeight="1" x14ac:dyDescent="0.2">
      <c r="A41" s="284" t="s">
        <v>139</v>
      </c>
      <c r="B41" s="291">
        <v>0</v>
      </c>
      <c r="C41" s="291">
        <f>SUM('- 6 -'!B41:H41,B41)</f>
        <v>4458.5</v>
      </c>
      <c r="D41" s="87"/>
      <c r="E41" s="291">
        <f t="shared" si="0"/>
        <v>4458.5</v>
      </c>
      <c r="G41" s="131"/>
    </row>
    <row r="42" spans="1:7" ht="14.1" customHeight="1" x14ac:dyDescent="0.2">
      <c r="A42" s="19" t="s">
        <v>140</v>
      </c>
      <c r="B42" s="70">
        <v>127</v>
      </c>
      <c r="C42" s="70">
        <f>SUM('- 6 -'!B42:H42,B42)</f>
        <v>1378.6</v>
      </c>
      <c r="D42" s="87"/>
      <c r="E42" s="70">
        <f t="shared" si="0"/>
        <v>1378.6</v>
      </c>
      <c r="G42" s="131"/>
    </row>
    <row r="43" spans="1:7" ht="14.1" customHeight="1" x14ac:dyDescent="0.2">
      <c r="A43" s="284" t="s">
        <v>141</v>
      </c>
      <c r="B43" s="291">
        <v>21</v>
      </c>
      <c r="C43" s="291">
        <f>SUM('- 6 -'!B43:H43,B43)</f>
        <v>962.7</v>
      </c>
      <c r="D43" s="87"/>
      <c r="E43" s="291">
        <f t="shared" si="0"/>
        <v>962.7</v>
      </c>
      <c r="G43" s="131"/>
    </row>
    <row r="44" spans="1:7" ht="14.1" customHeight="1" x14ac:dyDescent="0.2">
      <c r="A44" s="19" t="s">
        <v>142</v>
      </c>
      <c r="B44" s="70">
        <v>0</v>
      </c>
      <c r="C44" s="70">
        <f>SUM('- 6 -'!B44:H44,B44)</f>
        <v>693.5</v>
      </c>
      <c r="D44" s="87"/>
      <c r="E44" s="70">
        <f t="shared" si="0"/>
        <v>693.5</v>
      </c>
      <c r="G44" s="131"/>
    </row>
    <row r="45" spans="1:7" ht="14.1" customHeight="1" x14ac:dyDescent="0.2">
      <c r="A45" s="284" t="s">
        <v>143</v>
      </c>
      <c r="B45" s="291">
        <v>42</v>
      </c>
      <c r="C45" s="291">
        <f>SUM('- 6 -'!B45:H45,B45)</f>
        <v>1685</v>
      </c>
      <c r="D45" s="87"/>
      <c r="E45" s="291">
        <f t="shared" si="0"/>
        <v>1685</v>
      </c>
      <c r="G45" s="131"/>
    </row>
    <row r="46" spans="1:7" ht="14.1" customHeight="1" x14ac:dyDescent="0.2">
      <c r="A46" s="19" t="s">
        <v>144</v>
      </c>
      <c r="B46" s="70">
        <v>698.1</v>
      </c>
      <c r="C46" s="70">
        <f>SUM('- 6 -'!B46:H46,B46)</f>
        <v>29879</v>
      </c>
      <c r="D46" s="87"/>
      <c r="E46" s="70">
        <f t="shared" si="0"/>
        <v>29879</v>
      </c>
      <c r="G46" s="131"/>
    </row>
    <row r="47" spans="1:7" ht="5.0999999999999996" customHeight="1" x14ac:dyDescent="0.2">
      <c r="A47"/>
      <c r="B47"/>
      <c r="C47"/>
      <c r="D47"/>
      <c r="E47"/>
      <c r="F47"/>
      <c r="G47" s="131"/>
    </row>
    <row r="48" spans="1:7" ht="14.1" customHeight="1" x14ac:dyDescent="0.2">
      <c r="A48" s="286" t="s">
        <v>145</v>
      </c>
      <c r="B48" s="294">
        <f>SUM(B11:B46)</f>
        <v>4342.9228571428575</v>
      </c>
      <c r="C48" s="294">
        <f>SUM(C11:C46)</f>
        <v>176037.38285714286</v>
      </c>
      <c r="D48" s="88"/>
      <c r="E48" s="294">
        <f>SUM(E11:E46)</f>
        <v>176037.38285714286</v>
      </c>
      <c r="G48" s="131"/>
    </row>
    <row r="49" spans="1:7" ht="5.0999999999999996" customHeight="1" x14ac:dyDescent="0.2">
      <c r="A49" s="21" t="s">
        <v>7</v>
      </c>
      <c r="B49" s="71"/>
      <c r="C49" s="71"/>
      <c r="D49" s="86"/>
      <c r="E49" s="71"/>
      <c r="G49" s="131"/>
    </row>
    <row r="50" spans="1:7" ht="14.1" customHeight="1" x14ac:dyDescent="0.2">
      <c r="A50" s="19" t="s">
        <v>146</v>
      </c>
      <c r="B50" s="70">
        <v>0</v>
      </c>
      <c r="C50" s="70">
        <f>SUM('- 6 -'!B50:H50,B50)</f>
        <v>155</v>
      </c>
      <c r="D50" s="87"/>
      <c r="E50" s="70">
        <f>C50</f>
        <v>155</v>
      </c>
      <c r="G50" s="131"/>
    </row>
    <row r="51" spans="1:7" ht="14.1" customHeight="1" x14ac:dyDescent="0.2">
      <c r="A51" s="284" t="s">
        <v>609</v>
      </c>
      <c r="B51" s="291">
        <v>1062.5</v>
      </c>
      <c r="C51" s="291">
        <f>SUM('- 6 -'!B51:H51,B51)</f>
        <v>1182.5</v>
      </c>
      <c r="D51" s="87"/>
      <c r="E51" s="291">
        <f>C51</f>
        <v>1182.5</v>
      </c>
      <c r="G51" s="131"/>
    </row>
    <row r="52" spans="1:7" ht="50.1" customHeight="1" x14ac:dyDescent="0.2">
      <c r="A52" s="433"/>
      <c r="B52" s="433"/>
      <c r="C52" s="433"/>
      <c r="D52" s="433"/>
      <c r="E52" s="433"/>
      <c r="F52" s="433"/>
      <c r="G52" s="433"/>
    </row>
    <row r="53" spans="1:7" x14ac:dyDescent="0.2">
      <c r="A53" s="619" t="s">
        <v>456</v>
      </c>
      <c r="B53" s="619"/>
      <c r="C53" s="619"/>
      <c r="D53" s="619"/>
      <c r="E53" s="619"/>
      <c r="F53" s="619"/>
      <c r="G53" s="619"/>
    </row>
    <row r="54" spans="1:7" x14ac:dyDescent="0.2">
      <c r="A54" s="620"/>
      <c r="B54" s="620"/>
      <c r="C54" s="620"/>
      <c r="D54" s="620"/>
      <c r="E54" s="620"/>
      <c r="F54" s="620"/>
      <c r="G54" s="620"/>
    </row>
    <row r="55" spans="1:7" x14ac:dyDescent="0.2">
      <c r="A55" s="25"/>
    </row>
  </sheetData>
  <mergeCells count="3">
    <mergeCell ref="E8:E9"/>
    <mergeCell ref="B8:B9"/>
    <mergeCell ref="A53:G54"/>
  </mergeCells>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G54"/>
  <sheetViews>
    <sheetView showGridLines="0" showZeros="0" workbookViewId="0"/>
  </sheetViews>
  <sheetFormatPr defaultColWidth="19.83203125" defaultRowHeight="12" x14ac:dyDescent="0.2"/>
  <cols>
    <col min="1" max="1" width="32.83203125" style="2" customWidth="1"/>
    <col min="2" max="2" width="18.1640625" style="2" customWidth="1"/>
    <col min="3" max="3" width="19.33203125" style="2" customWidth="1"/>
    <col min="4" max="4" width="15" style="2" customWidth="1"/>
    <col min="5" max="6" width="16" style="2" customWidth="1"/>
    <col min="7" max="7" width="15.6640625" style="2" customWidth="1"/>
    <col min="8" max="16384" width="19.83203125" style="2"/>
  </cols>
  <sheetData>
    <row r="1" spans="1:7" ht="6.95" customHeight="1" x14ac:dyDescent="0.2">
      <c r="A1" s="7"/>
      <c r="B1" s="7"/>
      <c r="C1" s="7"/>
      <c r="D1" s="7"/>
      <c r="E1" s="7"/>
      <c r="F1" s="7"/>
      <c r="G1" s="7"/>
    </row>
    <row r="2" spans="1:7" ht="15.95" customHeight="1" x14ac:dyDescent="0.2">
      <c r="A2" s="261"/>
      <c r="B2" s="266" t="str">
        <f>REVYEAR</f>
        <v>ANALYSIS OF OPERATING FUND REVENUE: 2016/2017 ACTUAL</v>
      </c>
      <c r="C2" s="266"/>
      <c r="D2" s="267"/>
      <c r="E2" s="264"/>
      <c r="F2" s="264"/>
      <c r="G2" s="215" t="s">
        <v>98</v>
      </c>
    </row>
    <row r="3" spans="1:7" ht="9.75" customHeight="1" x14ac:dyDescent="0.2">
      <c r="A3" s="537"/>
      <c r="B3" s="7"/>
      <c r="C3" s="7"/>
      <c r="D3" s="7"/>
      <c r="E3" s="7"/>
      <c r="F3" s="7"/>
      <c r="G3" s="7"/>
    </row>
    <row r="4" spans="1:7" ht="15.95" customHeight="1" x14ac:dyDescent="0.2">
      <c r="B4" s="789" t="s">
        <v>573</v>
      </c>
      <c r="C4" s="790"/>
      <c r="D4" s="790"/>
      <c r="E4" s="790"/>
      <c r="F4" s="790"/>
      <c r="G4" s="791"/>
    </row>
    <row r="5" spans="1:7" ht="15.95" customHeight="1" x14ac:dyDescent="0.2">
      <c r="B5" s="792"/>
      <c r="C5" s="793"/>
      <c r="D5" s="793"/>
      <c r="E5" s="793"/>
      <c r="F5" s="793"/>
      <c r="G5" s="794"/>
    </row>
    <row r="6" spans="1:7" ht="15.95" customHeight="1" x14ac:dyDescent="0.2">
      <c r="B6" s="786" t="s">
        <v>51</v>
      </c>
      <c r="C6" s="787"/>
      <c r="D6" s="787"/>
      <c r="E6" s="787"/>
      <c r="F6" s="787"/>
      <c r="G6" s="788"/>
    </row>
    <row r="7" spans="1:7" ht="15.95" customHeight="1" x14ac:dyDescent="0.2">
      <c r="B7" s="220"/>
      <c r="C7" s="795" t="s">
        <v>365</v>
      </c>
      <c r="D7" s="33"/>
      <c r="E7" s="33"/>
      <c r="F7" s="33"/>
      <c r="G7" s="33"/>
    </row>
    <row r="8" spans="1:7" ht="20.25" customHeight="1" x14ac:dyDescent="0.2">
      <c r="A8" s="67"/>
      <c r="B8" s="798" t="s">
        <v>569</v>
      </c>
      <c r="C8" s="796"/>
      <c r="D8" s="533"/>
      <c r="E8" s="800" t="s">
        <v>570</v>
      </c>
      <c r="F8" s="800" t="s">
        <v>571</v>
      </c>
      <c r="G8" s="800" t="s">
        <v>572</v>
      </c>
    </row>
    <row r="9" spans="1:7" ht="13.5" x14ac:dyDescent="0.2">
      <c r="A9" s="35" t="s">
        <v>42</v>
      </c>
      <c r="B9" s="799"/>
      <c r="C9" s="797"/>
      <c r="D9" s="534" t="s">
        <v>388</v>
      </c>
      <c r="E9" s="801"/>
      <c r="F9" s="801"/>
      <c r="G9" s="801"/>
    </row>
    <row r="10" spans="1:7" ht="5.0999999999999996" customHeight="1" x14ac:dyDescent="0.2">
      <c r="A10" s="6"/>
      <c r="E10" s="7"/>
      <c r="F10" s="7"/>
      <c r="G10" s="7"/>
    </row>
    <row r="11" spans="1:7" ht="14.1" customHeight="1" x14ac:dyDescent="0.2">
      <c r="A11" s="354" t="s">
        <v>110</v>
      </c>
      <c r="B11" s="352">
        <v>3248729</v>
      </c>
      <c r="C11" s="352">
        <v>108525</v>
      </c>
      <c r="D11" s="352">
        <v>186643</v>
      </c>
      <c r="E11" s="352">
        <v>101154</v>
      </c>
      <c r="F11" s="352">
        <v>104526</v>
      </c>
      <c r="G11" s="352">
        <v>155103</v>
      </c>
    </row>
    <row r="12" spans="1:7" ht="14.1" customHeight="1" x14ac:dyDescent="0.2">
      <c r="A12" s="237" t="s">
        <v>111</v>
      </c>
      <c r="B12" s="151">
        <v>3850371</v>
      </c>
      <c r="C12" s="151">
        <v>0</v>
      </c>
      <c r="D12" s="151">
        <v>396137</v>
      </c>
      <c r="E12" s="151">
        <v>59946</v>
      </c>
      <c r="F12" s="151">
        <v>123888</v>
      </c>
      <c r="G12" s="151">
        <v>183834</v>
      </c>
    </row>
    <row r="13" spans="1:7" ht="14.1" customHeight="1" x14ac:dyDescent="0.2">
      <c r="A13" s="354" t="s">
        <v>112</v>
      </c>
      <c r="B13" s="352">
        <v>15816431</v>
      </c>
      <c r="C13" s="352">
        <v>0</v>
      </c>
      <c r="D13" s="352">
        <v>122762</v>
      </c>
      <c r="E13" s="352">
        <v>492468</v>
      </c>
      <c r="F13" s="352">
        <v>508884</v>
      </c>
      <c r="G13" s="352">
        <v>755118</v>
      </c>
    </row>
    <row r="14" spans="1:7" ht="14.1" customHeight="1" x14ac:dyDescent="0.2">
      <c r="A14" s="237" t="s">
        <v>359</v>
      </c>
      <c r="B14" s="151">
        <v>9768927</v>
      </c>
      <c r="C14" s="151">
        <v>25971</v>
      </c>
      <c r="D14" s="151">
        <v>765929</v>
      </c>
      <c r="E14" s="151">
        <v>304170</v>
      </c>
      <c r="F14" s="151">
        <v>314309</v>
      </c>
      <c r="G14" s="151">
        <v>466394</v>
      </c>
    </row>
    <row r="15" spans="1:7" ht="14.1" customHeight="1" x14ac:dyDescent="0.2">
      <c r="A15" s="354" t="s">
        <v>113</v>
      </c>
      <c r="B15" s="352">
        <v>2686238</v>
      </c>
      <c r="C15" s="352">
        <v>0</v>
      </c>
      <c r="D15" s="352">
        <v>242626</v>
      </c>
      <c r="E15" s="352">
        <v>83640</v>
      </c>
      <c r="F15" s="352">
        <v>86428</v>
      </c>
      <c r="G15" s="352">
        <v>128248</v>
      </c>
    </row>
    <row r="16" spans="1:7" ht="14.1" customHeight="1" x14ac:dyDescent="0.2">
      <c r="A16" s="237" t="s">
        <v>114</v>
      </c>
      <c r="B16" s="151">
        <v>1753937</v>
      </c>
      <c r="C16" s="151">
        <v>45608</v>
      </c>
      <c r="D16" s="151">
        <v>0</v>
      </c>
      <c r="E16" s="151">
        <v>54606</v>
      </c>
      <c r="F16" s="151">
        <v>56426</v>
      </c>
      <c r="G16" s="151">
        <v>83729</v>
      </c>
    </row>
    <row r="17" spans="1:7" ht="14.1" customHeight="1" x14ac:dyDescent="0.2">
      <c r="A17" s="354" t="s">
        <v>115</v>
      </c>
      <c r="B17" s="352">
        <v>2475232</v>
      </c>
      <c r="C17" s="352">
        <v>20759</v>
      </c>
      <c r="D17" s="352">
        <v>286554</v>
      </c>
      <c r="E17" s="352">
        <v>77070</v>
      </c>
      <c r="F17" s="352">
        <v>79639</v>
      </c>
      <c r="G17" s="352">
        <v>118174</v>
      </c>
    </row>
    <row r="18" spans="1:7" ht="14.1" customHeight="1" x14ac:dyDescent="0.2">
      <c r="A18" s="237" t="s">
        <v>116</v>
      </c>
      <c r="B18" s="151">
        <v>4395680</v>
      </c>
      <c r="C18" s="151">
        <v>0</v>
      </c>
      <c r="D18" s="151">
        <v>996648</v>
      </c>
      <c r="E18" s="151">
        <v>136866</v>
      </c>
      <c r="F18" s="151">
        <v>141428</v>
      </c>
      <c r="G18" s="151">
        <v>209861</v>
      </c>
    </row>
    <row r="19" spans="1:7" ht="14.1" customHeight="1" x14ac:dyDescent="0.2">
      <c r="A19" s="354" t="s">
        <v>117</v>
      </c>
      <c r="B19" s="352">
        <v>8095327</v>
      </c>
      <c r="C19" s="352">
        <v>18674</v>
      </c>
      <c r="D19" s="352">
        <v>191169</v>
      </c>
      <c r="E19" s="352">
        <v>252060</v>
      </c>
      <c r="F19" s="352">
        <v>260462</v>
      </c>
      <c r="G19" s="352">
        <v>386492</v>
      </c>
    </row>
    <row r="20" spans="1:7" ht="14.1" customHeight="1" x14ac:dyDescent="0.2">
      <c r="A20" s="237" t="s">
        <v>118</v>
      </c>
      <c r="B20" s="151">
        <v>14567927</v>
      </c>
      <c r="C20" s="151">
        <v>0</v>
      </c>
      <c r="D20" s="151">
        <v>235595</v>
      </c>
      <c r="E20" s="151">
        <v>453594</v>
      </c>
      <c r="F20" s="151">
        <v>468714</v>
      </c>
      <c r="G20" s="151">
        <v>695511</v>
      </c>
    </row>
    <row r="21" spans="1:7" ht="14.1" customHeight="1" x14ac:dyDescent="0.2">
      <c r="A21" s="354" t="s">
        <v>119</v>
      </c>
      <c r="B21" s="352">
        <v>5176115</v>
      </c>
      <c r="C21" s="352">
        <v>55181</v>
      </c>
      <c r="D21" s="352">
        <v>471490</v>
      </c>
      <c r="E21" s="352">
        <v>187956</v>
      </c>
      <c r="F21" s="352">
        <v>166538</v>
      </c>
      <c r="G21" s="352">
        <v>247121</v>
      </c>
    </row>
    <row r="22" spans="1:7" ht="14.1" customHeight="1" x14ac:dyDescent="0.2">
      <c r="A22" s="237" t="s">
        <v>120</v>
      </c>
      <c r="B22" s="151">
        <v>2952742</v>
      </c>
      <c r="C22" s="151">
        <v>3441</v>
      </c>
      <c r="D22" s="151">
        <v>23282</v>
      </c>
      <c r="E22" s="151">
        <v>91938</v>
      </c>
      <c r="F22" s="151">
        <v>95003</v>
      </c>
      <c r="G22" s="151">
        <v>140972</v>
      </c>
    </row>
    <row r="23" spans="1:7" ht="14.1" customHeight="1" x14ac:dyDescent="0.2">
      <c r="A23" s="354" t="s">
        <v>121</v>
      </c>
      <c r="B23" s="352">
        <v>1900022</v>
      </c>
      <c r="C23" s="352">
        <v>0</v>
      </c>
      <c r="D23" s="352">
        <v>370759</v>
      </c>
      <c r="E23" s="352">
        <v>59160</v>
      </c>
      <c r="F23" s="352">
        <v>61132</v>
      </c>
      <c r="G23" s="352">
        <v>90712</v>
      </c>
    </row>
    <row r="24" spans="1:7" ht="14.1" customHeight="1" x14ac:dyDescent="0.2">
      <c r="A24" s="237" t="s">
        <v>122</v>
      </c>
      <c r="B24" s="151">
        <v>7548059</v>
      </c>
      <c r="C24" s="151">
        <v>0</v>
      </c>
      <c r="D24" s="151">
        <v>350489</v>
      </c>
      <c r="E24" s="151">
        <v>235020</v>
      </c>
      <c r="F24" s="151">
        <v>242854</v>
      </c>
      <c r="G24" s="151">
        <v>360364</v>
      </c>
    </row>
    <row r="25" spans="1:7" ht="14.1" customHeight="1" x14ac:dyDescent="0.2">
      <c r="A25" s="354" t="s">
        <v>123</v>
      </c>
      <c r="B25" s="352">
        <v>26814205</v>
      </c>
      <c r="C25" s="352">
        <v>18630</v>
      </c>
      <c r="D25" s="352">
        <v>0</v>
      </c>
      <c r="E25" s="352">
        <v>834900</v>
      </c>
      <c r="F25" s="352">
        <v>862730</v>
      </c>
      <c r="G25" s="352">
        <v>1280180</v>
      </c>
    </row>
    <row r="26" spans="1:7" ht="14.1" customHeight="1" x14ac:dyDescent="0.2">
      <c r="A26" s="237" t="s">
        <v>124</v>
      </c>
      <c r="B26" s="151">
        <v>5656901</v>
      </c>
      <c r="C26" s="151">
        <v>0</v>
      </c>
      <c r="D26" s="151">
        <v>568748</v>
      </c>
      <c r="E26" s="151">
        <v>176136</v>
      </c>
      <c r="F26" s="151">
        <v>182007</v>
      </c>
      <c r="G26" s="151">
        <v>270075</v>
      </c>
    </row>
    <row r="27" spans="1:7" ht="14.1" customHeight="1" x14ac:dyDescent="0.2">
      <c r="A27" s="354" t="s">
        <v>125</v>
      </c>
      <c r="B27" s="352">
        <v>5506788</v>
      </c>
      <c r="C27" s="352">
        <v>0</v>
      </c>
      <c r="D27" s="352">
        <v>0</v>
      </c>
      <c r="E27" s="352">
        <v>171462</v>
      </c>
      <c r="F27" s="352">
        <v>177177</v>
      </c>
      <c r="G27" s="352">
        <v>262908</v>
      </c>
    </row>
    <row r="28" spans="1:7" ht="14.1" customHeight="1" x14ac:dyDescent="0.2">
      <c r="A28" s="237" t="s">
        <v>126</v>
      </c>
      <c r="B28" s="151">
        <v>2924030</v>
      </c>
      <c r="C28" s="151">
        <v>22551</v>
      </c>
      <c r="D28" s="151">
        <v>514526</v>
      </c>
      <c r="E28" s="151">
        <v>91044</v>
      </c>
      <c r="F28" s="151">
        <v>94079</v>
      </c>
      <c r="G28" s="151">
        <v>139601</v>
      </c>
    </row>
    <row r="29" spans="1:7" ht="14.1" customHeight="1" x14ac:dyDescent="0.2">
      <c r="A29" s="354" t="s">
        <v>127</v>
      </c>
      <c r="B29" s="352">
        <v>24174408</v>
      </c>
      <c r="C29" s="352">
        <v>26723</v>
      </c>
      <c r="D29" s="352">
        <v>0</v>
      </c>
      <c r="E29" s="352">
        <v>752706</v>
      </c>
      <c r="F29" s="352">
        <v>777796</v>
      </c>
      <c r="G29" s="352">
        <v>1154149</v>
      </c>
    </row>
    <row r="30" spans="1:7" ht="14.1" customHeight="1" x14ac:dyDescent="0.2">
      <c r="A30" s="237" t="s">
        <v>128</v>
      </c>
      <c r="B30" s="151">
        <v>1932781</v>
      </c>
      <c r="C30" s="151">
        <v>47523</v>
      </c>
      <c r="D30" s="151">
        <v>317878</v>
      </c>
      <c r="E30" s="151">
        <v>60180</v>
      </c>
      <c r="F30" s="151">
        <v>62186</v>
      </c>
      <c r="G30" s="151">
        <v>92276</v>
      </c>
    </row>
    <row r="31" spans="1:7" ht="14.1" customHeight="1" x14ac:dyDescent="0.2">
      <c r="A31" s="354" t="s">
        <v>129</v>
      </c>
      <c r="B31" s="352">
        <v>5991043</v>
      </c>
      <c r="C31" s="352">
        <v>0</v>
      </c>
      <c r="D31" s="352">
        <v>203353</v>
      </c>
      <c r="E31" s="352">
        <v>182032</v>
      </c>
      <c r="F31" s="352">
        <v>192758</v>
      </c>
      <c r="G31" s="352">
        <v>286028</v>
      </c>
    </row>
    <row r="32" spans="1:7" ht="14.1" customHeight="1" x14ac:dyDescent="0.2">
      <c r="A32" s="237" t="s">
        <v>130</v>
      </c>
      <c r="B32" s="151">
        <v>4070209</v>
      </c>
      <c r="C32" s="151">
        <v>0</v>
      </c>
      <c r="D32" s="151">
        <v>616364</v>
      </c>
      <c r="E32" s="151">
        <v>126732</v>
      </c>
      <c r="F32" s="151">
        <v>130956</v>
      </c>
      <c r="G32" s="151">
        <v>194322</v>
      </c>
    </row>
    <row r="33" spans="1:7" ht="14.1" customHeight="1" x14ac:dyDescent="0.2">
      <c r="A33" s="354" t="s">
        <v>131</v>
      </c>
      <c r="B33" s="352">
        <v>3855156</v>
      </c>
      <c r="C33" s="352">
        <v>36235</v>
      </c>
      <c r="D33" s="352">
        <v>802944</v>
      </c>
      <c r="E33" s="352">
        <v>120036</v>
      </c>
      <c r="F33" s="352">
        <v>124037</v>
      </c>
      <c r="G33" s="352">
        <v>184055</v>
      </c>
    </row>
    <row r="34" spans="1:7" ht="14.1" customHeight="1" x14ac:dyDescent="0.2">
      <c r="A34" s="237" t="s">
        <v>132</v>
      </c>
      <c r="B34" s="151">
        <v>3813533</v>
      </c>
      <c r="C34" s="151">
        <v>84510</v>
      </c>
      <c r="D34" s="151">
        <v>590119</v>
      </c>
      <c r="E34" s="151">
        <v>107892</v>
      </c>
      <c r="F34" s="151">
        <v>122698</v>
      </c>
      <c r="G34" s="151">
        <v>182068</v>
      </c>
    </row>
    <row r="35" spans="1:7" ht="14.1" customHeight="1" x14ac:dyDescent="0.2">
      <c r="A35" s="354" t="s">
        <v>133</v>
      </c>
      <c r="B35" s="352">
        <v>29505839</v>
      </c>
      <c r="C35" s="352">
        <v>0</v>
      </c>
      <c r="D35" s="352">
        <v>0</v>
      </c>
      <c r="E35" s="352">
        <v>918708</v>
      </c>
      <c r="F35" s="352">
        <v>949332</v>
      </c>
      <c r="G35" s="352">
        <v>1408686</v>
      </c>
    </row>
    <row r="36" spans="1:7" ht="14.1" customHeight="1" x14ac:dyDescent="0.2">
      <c r="A36" s="237" t="s">
        <v>134</v>
      </c>
      <c r="B36" s="151">
        <v>2934821</v>
      </c>
      <c r="C36" s="151">
        <v>71401</v>
      </c>
      <c r="D36" s="151">
        <v>456566</v>
      </c>
      <c r="E36" s="151">
        <v>91380</v>
      </c>
      <c r="F36" s="151">
        <v>94426</v>
      </c>
      <c r="G36" s="151">
        <v>140116</v>
      </c>
    </row>
    <row r="37" spans="1:7" ht="14.1" customHeight="1" x14ac:dyDescent="0.2">
      <c r="A37" s="354" t="s">
        <v>135</v>
      </c>
      <c r="B37" s="352">
        <v>7904939</v>
      </c>
      <c r="C37" s="352">
        <v>0</v>
      </c>
      <c r="D37" s="352">
        <v>451422</v>
      </c>
      <c r="E37" s="352">
        <v>224906</v>
      </c>
      <c r="F37" s="352">
        <v>254336</v>
      </c>
      <c r="G37" s="352">
        <v>377402</v>
      </c>
    </row>
    <row r="38" spans="1:7" ht="14.1" customHeight="1" x14ac:dyDescent="0.2">
      <c r="A38" s="237" t="s">
        <v>136</v>
      </c>
      <c r="B38" s="151">
        <v>20607916</v>
      </c>
      <c r="C38" s="151">
        <v>0</v>
      </c>
      <c r="D38" s="151">
        <v>0</v>
      </c>
      <c r="E38" s="151">
        <v>641658</v>
      </c>
      <c r="F38" s="151">
        <v>663047</v>
      </c>
      <c r="G38" s="151">
        <v>983876</v>
      </c>
    </row>
    <row r="39" spans="1:7" ht="14.1" customHeight="1" x14ac:dyDescent="0.2">
      <c r="A39" s="354" t="s">
        <v>137</v>
      </c>
      <c r="B39" s="352">
        <v>2972205</v>
      </c>
      <c r="C39" s="352">
        <v>0</v>
      </c>
      <c r="D39" s="352">
        <v>526288</v>
      </c>
      <c r="E39" s="352">
        <v>92544</v>
      </c>
      <c r="F39" s="352">
        <v>95629</v>
      </c>
      <c r="G39" s="352">
        <v>141901</v>
      </c>
    </row>
    <row r="40" spans="1:7" ht="14.1" customHeight="1" x14ac:dyDescent="0.2">
      <c r="A40" s="237" t="s">
        <v>138</v>
      </c>
      <c r="B40" s="151">
        <v>15082436</v>
      </c>
      <c r="C40" s="151">
        <v>0</v>
      </c>
      <c r="D40" s="151">
        <v>0</v>
      </c>
      <c r="E40" s="151">
        <v>469614</v>
      </c>
      <c r="F40" s="151">
        <v>485268</v>
      </c>
      <c r="G40" s="151">
        <v>720075</v>
      </c>
    </row>
    <row r="41" spans="1:7" ht="14.1" customHeight="1" x14ac:dyDescent="0.2">
      <c r="A41" s="354" t="s">
        <v>139</v>
      </c>
      <c r="B41" s="352">
        <v>8333615</v>
      </c>
      <c r="C41" s="352">
        <v>0</v>
      </c>
      <c r="D41" s="352">
        <v>494722</v>
      </c>
      <c r="E41" s="352">
        <v>259530</v>
      </c>
      <c r="F41" s="352">
        <v>268181</v>
      </c>
      <c r="G41" s="352">
        <v>397946</v>
      </c>
    </row>
    <row r="42" spans="1:7" ht="14.1" customHeight="1" x14ac:dyDescent="0.2">
      <c r="A42" s="237" t="s">
        <v>140</v>
      </c>
      <c r="B42" s="151">
        <v>2600872</v>
      </c>
      <c r="C42" s="151">
        <v>18384</v>
      </c>
      <c r="D42" s="151">
        <v>267535</v>
      </c>
      <c r="E42" s="151">
        <v>80982</v>
      </c>
      <c r="F42" s="151">
        <v>83681</v>
      </c>
      <c r="G42" s="151">
        <v>124172</v>
      </c>
    </row>
    <row r="43" spans="1:7" ht="14.1" customHeight="1" x14ac:dyDescent="0.2">
      <c r="A43" s="354" t="s">
        <v>141</v>
      </c>
      <c r="B43" s="352">
        <v>1823327</v>
      </c>
      <c r="C43" s="352">
        <v>44602</v>
      </c>
      <c r="D43" s="352">
        <v>254064</v>
      </c>
      <c r="E43" s="352">
        <v>56757</v>
      </c>
      <c r="F43" s="352">
        <v>58664</v>
      </c>
      <c r="G43" s="352">
        <v>87050</v>
      </c>
    </row>
    <row r="44" spans="1:7" ht="14.1" customHeight="1" x14ac:dyDescent="0.2">
      <c r="A44" s="237" t="s">
        <v>142</v>
      </c>
      <c r="B44" s="151">
        <v>1312287</v>
      </c>
      <c r="C44" s="151">
        <v>42203</v>
      </c>
      <c r="D44" s="151">
        <v>292491</v>
      </c>
      <c r="E44" s="151">
        <v>40860</v>
      </c>
      <c r="F44" s="151">
        <v>42222</v>
      </c>
      <c r="G44" s="151">
        <v>62652</v>
      </c>
    </row>
    <row r="45" spans="1:7" ht="14.1" customHeight="1" x14ac:dyDescent="0.2">
      <c r="A45" s="354" t="s">
        <v>143</v>
      </c>
      <c r="B45" s="352">
        <v>3153150</v>
      </c>
      <c r="C45" s="352">
        <v>0</v>
      </c>
      <c r="D45" s="352">
        <v>3221</v>
      </c>
      <c r="E45" s="352">
        <v>98178</v>
      </c>
      <c r="F45" s="352">
        <v>101451</v>
      </c>
      <c r="G45" s="352">
        <v>150540</v>
      </c>
    </row>
    <row r="46" spans="1:7" ht="14.1" customHeight="1" x14ac:dyDescent="0.2">
      <c r="A46" s="237" t="s">
        <v>144</v>
      </c>
      <c r="B46" s="151">
        <v>57012415</v>
      </c>
      <c r="C46" s="151">
        <v>0</v>
      </c>
      <c r="D46" s="151">
        <v>0</v>
      </c>
      <c r="E46" s="151">
        <v>1749785</v>
      </c>
      <c r="F46" s="151">
        <v>1834338</v>
      </c>
      <c r="G46" s="151">
        <v>2721921</v>
      </c>
    </row>
    <row r="47" spans="1:7" ht="5.0999999999999996" customHeight="1" x14ac:dyDescent="0.2">
      <c r="A47" s="130"/>
      <c r="B47" s="152"/>
      <c r="C47" s="152"/>
      <c r="D47" s="152"/>
      <c r="E47" s="152"/>
      <c r="F47" s="152"/>
      <c r="G47" s="152"/>
    </row>
    <row r="48" spans="1:7" ht="14.1" customHeight="1" x14ac:dyDescent="0.2">
      <c r="A48" s="355" t="s">
        <v>145</v>
      </c>
      <c r="B48" s="356">
        <f t="shared" ref="B48:G48" si="0">SUM(B11:B46)</f>
        <v>322218613</v>
      </c>
      <c r="C48" s="356">
        <f t="shared" si="0"/>
        <v>690921</v>
      </c>
      <c r="D48" s="356">
        <f t="shared" si="0"/>
        <v>11000324</v>
      </c>
      <c r="E48" s="356">
        <f t="shared" si="0"/>
        <v>9937670</v>
      </c>
      <c r="F48" s="356">
        <f t="shared" si="0"/>
        <v>10367230</v>
      </c>
      <c r="G48" s="356">
        <f t="shared" si="0"/>
        <v>15383632</v>
      </c>
    </row>
    <row r="49" spans="1:7" ht="5.0999999999999996" customHeight="1" x14ac:dyDescent="0.2">
      <c r="A49" s="130" t="s">
        <v>7</v>
      </c>
      <c r="B49" s="152"/>
      <c r="C49" s="152"/>
      <c r="D49" s="152"/>
      <c r="E49" s="152"/>
      <c r="F49" s="152"/>
      <c r="G49" s="152"/>
    </row>
    <row r="50" spans="1:7" ht="14.1" customHeight="1" x14ac:dyDescent="0.2">
      <c r="A50" s="237" t="s">
        <v>146</v>
      </c>
      <c r="B50" s="151">
        <v>216043</v>
      </c>
      <c r="C50" s="151">
        <v>33957</v>
      </c>
      <c r="D50" s="151">
        <v>0</v>
      </c>
      <c r="E50" s="151">
        <v>10140</v>
      </c>
      <c r="F50" s="151">
        <v>10478</v>
      </c>
      <c r="G50" s="151">
        <v>15548</v>
      </c>
    </row>
    <row r="51" spans="1:7" ht="14.1" customHeight="1" x14ac:dyDescent="0.2">
      <c r="A51" s="354" t="s">
        <v>609</v>
      </c>
      <c r="B51" s="352">
        <v>0</v>
      </c>
      <c r="C51" s="352">
        <v>0</v>
      </c>
      <c r="D51" s="352">
        <v>0</v>
      </c>
      <c r="E51" s="352">
        <v>0</v>
      </c>
      <c r="F51" s="352">
        <v>0</v>
      </c>
      <c r="G51" s="352">
        <v>0</v>
      </c>
    </row>
    <row r="52" spans="1:7" ht="50.1" customHeight="1" x14ac:dyDescent="0.2">
      <c r="A52" s="23"/>
      <c r="B52" s="23"/>
      <c r="C52" s="23"/>
      <c r="D52" s="23"/>
      <c r="E52" s="23"/>
      <c r="F52" s="23"/>
      <c r="G52" s="23"/>
    </row>
    <row r="53" spans="1:7" ht="15" customHeight="1" x14ac:dyDescent="0.2">
      <c r="A53" s="38" t="str">
        <f>"(1)  Based on a grant per eligible pupil at "&amp;Data!C89&amp;" "&amp;Data!B89</f>
        <v>(1)  Based on a grant per eligible pupil at September 30, 2015</v>
      </c>
      <c r="D53" s="38"/>
      <c r="E53" s="38"/>
      <c r="F53" s="38"/>
      <c r="G53" s="38"/>
    </row>
    <row r="54" spans="1:7" ht="12" customHeight="1" x14ac:dyDescent="0.2">
      <c r="A54" s="38" t="s">
        <v>357</v>
      </c>
      <c r="D54" s="38"/>
      <c r="E54" s="38"/>
      <c r="F54" s="38"/>
      <c r="G54" s="38"/>
    </row>
  </sheetData>
  <mergeCells count="7">
    <mergeCell ref="B6:G6"/>
    <mergeCell ref="B4:G5"/>
    <mergeCell ref="C7:C9"/>
    <mergeCell ref="B8:B9"/>
    <mergeCell ref="E8:E9"/>
    <mergeCell ref="F8:F9"/>
    <mergeCell ref="G8:G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1">
    <pageSetUpPr fitToPage="1"/>
  </sheetPr>
  <dimension ref="A1:G54"/>
  <sheetViews>
    <sheetView showGridLines="0" showZeros="0" workbookViewId="0"/>
  </sheetViews>
  <sheetFormatPr defaultColWidth="19.83203125" defaultRowHeight="12" x14ac:dyDescent="0.2"/>
  <cols>
    <col min="1" max="1" width="32.83203125" style="2" customWidth="1"/>
    <col min="2" max="2" width="16.33203125" style="2" customWidth="1"/>
    <col min="3" max="3" width="16.6640625" style="2" customWidth="1"/>
    <col min="4" max="4" width="18.33203125" style="2" customWidth="1"/>
    <col min="5" max="5" width="15.83203125" style="2" customWidth="1"/>
    <col min="6" max="6" width="15.1640625" style="2" customWidth="1"/>
    <col min="7" max="7" width="15.83203125" style="2" customWidth="1"/>
    <col min="8" max="16384" width="19.83203125" style="2"/>
  </cols>
  <sheetData>
    <row r="1" spans="1:7" ht="6.95" customHeight="1" x14ac:dyDescent="0.2">
      <c r="A1" s="7"/>
      <c r="B1" s="7"/>
      <c r="C1" s="7"/>
      <c r="D1" s="7"/>
      <c r="E1" s="7"/>
      <c r="F1" s="7"/>
      <c r="G1" s="7"/>
    </row>
    <row r="2" spans="1:7" ht="15.95" customHeight="1" x14ac:dyDescent="0.2">
      <c r="A2" s="261"/>
      <c r="B2" s="266" t="str">
        <f>REVYEAR</f>
        <v>ANALYSIS OF OPERATING FUND REVENUE: 2016/2017 ACTUAL</v>
      </c>
      <c r="C2" s="267"/>
      <c r="D2" s="264"/>
      <c r="E2" s="264"/>
      <c r="F2" s="268"/>
      <c r="G2" s="215" t="s">
        <v>99</v>
      </c>
    </row>
    <row r="3" spans="1:7" ht="15.95" customHeight="1" x14ac:dyDescent="0.2">
      <c r="A3" s="537"/>
      <c r="B3" s="205"/>
      <c r="C3" s="7"/>
      <c r="D3" s="7"/>
      <c r="E3" s="7"/>
      <c r="F3" s="7"/>
      <c r="G3" s="7"/>
    </row>
    <row r="4" spans="1:7" ht="15.95" customHeight="1" x14ac:dyDescent="0.2">
      <c r="B4" s="802" t="s">
        <v>578</v>
      </c>
      <c r="C4" s="790"/>
      <c r="D4" s="790"/>
      <c r="E4" s="790"/>
      <c r="F4" s="790"/>
      <c r="G4" s="791"/>
    </row>
    <row r="5" spans="1:7" ht="15.95" customHeight="1" x14ac:dyDescent="0.2">
      <c r="B5" s="792"/>
      <c r="C5" s="793"/>
      <c r="D5" s="793"/>
      <c r="E5" s="793"/>
      <c r="F5" s="793"/>
      <c r="G5" s="794"/>
    </row>
    <row r="6" spans="1:7" ht="15.95" customHeight="1" x14ac:dyDescent="0.2">
      <c r="B6" s="803" t="s">
        <v>51</v>
      </c>
      <c r="C6" s="804"/>
      <c r="D6" s="804"/>
      <c r="E6" s="804"/>
      <c r="F6" s="804"/>
      <c r="G6" s="805"/>
    </row>
    <row r="7" spans="1:7" ht="15.95" customHeight="1" x14ac:dyDescent="0.2">
      <c r="B7" s="220"/>
      <c r="C7" s="33"/>
      <c r="D7" s="33"/>
      <c r="E7" s="33"/>
      <c r="F7" s="33"/>
      <c r="G7" s="697" t="s">
        <v>577</v>
      </c>
    </row>
    <row r="8" spans="1:7" ht="15.95" customHeight="1" x14ac:dyDescent="0.2">
      <c r="A8" s="67"/>
      <c r="B8" s="798" t="s">
        <v>614</v>
      </c>
      <c r="C8" s="800" t="s">
        <v>574</v>
      </c>
      <c r="D8" s="800" t="s">
        <v>575</v>
      </c>
      <c r="E8" s="800" t="s">
        <v>576</v>
      </c>
      <c r="F8" s="269"/>
      <c r="G8" s="800"/>
    </row>
    <row r="9" spans="1:7" ht="15.95" customHeight="1" x14ac:dyDescent="0.2">
      <c r="A9" s="35" t="s">
        <v>42</v>
      </c>
      <c r="B9" s="799"/>
      <c r="C9" s="801"/>
      <c r="D9" s="801"/>
      <c r="E9" s="801"/>
      <c r="F9" s="83" t="s">
        <v>66</v>
      </c>
      <c r="G9" s="801"/>
    </row>
    <row r="10" spans="1:7" ht="5.0999999999999996" customHeight="1" x14ac:dyDescent="0.2">
      <c r="A10" s="6"/>
      <c r="B10" s="7"/>
      <c r="F10" s="7"/>
      <c r="G10" s="7"/>
    </row>
    <row r="11" spans="1:7" ht="14.1" customHeight="1" x14ac:dyDescent="0.2">
      <c r="A11" s="354" t="s">
        <v>110</v>
      </c>
      <c r="B11" s="352">
        <v>529474</v>
      </c>
      <c r="C11" s="352">
        <v>139930</v>
      </c>
      <c r="D11" s="352">
        <v>77551</v>
      </c>
      <c r="E11" s="352">
        <v>32625</v>
      </c>
      <c r="F11" s="352">
        <v>884070</v>
      </c>
      <c r="G11" s="352">
        <f>SUM('- 57 -'!$B11:G11,B11:F11)</f>
        <v>5568330</v>
      </c>
    </row>
    <row r="12" spans="1:7" ht="14.1" customHeight="1" x14ac:dyDescent="0.2">
      <c r="A12" s="237" t="s">
        <v>111</v>
      </c>
      <c r="B12" s="151">
        <v>670782</v>
      </c>
      <c r="C12" s="151">
        <v>165851</v>
      </c>
      <c r="D12" s="151">
        <v>91917</v>
      </c>
      <c r="E12" s="151">
        <v>43625</v>
      </c>
      <c r="F12" s="151">
        <v>1227780</v>
      </c>
      <c r="G12" s="151">
        <f>SUM('- 57 -'!$B12:G12,B12:F12)</f>
        <v>6814131</v>
      </c>
    </row>
    <row r="13" spans="1:7" ht="14.1" customHeight="1" x14ac:dyDescent="0.2">
      <c r="A13" s="354" t="s">
        <v>112</v>
      </c>
      <c r="B13" s="352">
        <v>2790480</v>
      </c>
      <c r="C13" s="352">
        <v>681247</v>
      </c>
      <c r="D13" s="352">
        <v>377559</v>
      </c>
      <c r="E13" s="352">
        <v>187750</v>
      </c>
      <c r="F13" s="352">
        <v>3008745</v>
      </c>
      <c r="G13" s="352">
        <f>SUM('- 57 -'!$B13:G13,B13:F13)</f>
        <v>24741444</v>
      </c>
    </row>
    <row r="14" spans="1:7" ht="14.1" customHeight="1" x14ac:dyDescent="0.2">
      <c r="A14" s="237" t="s">
        <v>359</v>
      </c>
      <c r="B14" s="151">
        <v>1605573</v>
      </c>
      <c r="C14" s="151">
        <v>420769</v>
      </c>
      <c r="D14" s="151">
        <v>197711</v>
      </c>
      <c r="E14" s="151">
        <v>80250</v>
      </c>
      <c r="F14" s="151">
        <v>2685555</v>
      </c>
      <c r="G14" s="151">
        <f>SUM('- 57 -'!$B14:G14,B14:F14)</f>
        <v>16635558</v>
      </c>
    </row>
    <row r="15" spans="1:7" ht="14.1" customHeight="1" x14ac:dyDescent="0.2">
      <c r="A15" s="354" t="s">
        <v>113</v>
      </c>
      <c r="B15" s="352">
        <v>467794</v>
      </c>
      <c r="C15" s="352">
        <v>115702</v>
      </c>
      <c r="D15" s="352">
        <v>54366</v>
      </c>
      <c r="E15" s="352">
        <v>30875</v>
      </c>
      <c r="F15" s="352">
        <v>855000</v>
      </c>
      <c r="G15" s="352">
        <f>SUM('- 57 -'!$B15:G15,B15:F15)</f>
        <v>4750917</v>
      </c>
    </row>
    <row r="16" spans="1:7" ht="14.1" customHeight="1" x14ac:dyDescent="0.2">
      <c r="A16" s="237" t="s">
        <v>114</v>
      </c>
      <c r="B16" s="151">
        <v>326051</v>
      </c>
      <c r="C16" s="151">
        <v>75538</v>
      </c>
      <c r="D16" s="151">
        <v>46415</v>
      </c>
      <c r="E16" s="151">
        <v>25125</v>
      </c>
      <c r="F16" s="151">
        <v>597645</v>
      </c>
      <c r="G16" s="151">
        <f>SUM('- 57 -'!$B16:G16,B16:F16)</f>
        <v>3065080</v>
      </c>
    </row>
    <row r="17" spans="1:7" ht="14.1" customHeight="1" x14ac:dyDescent="0.2">
      <c r="A17" s="354" t="s">
        <v>115</v>
      </c>
      <c r="B17" s="352">
        <v>408103</v>
      </c>
      <c r="C17" s="352">
        <v>106614</v>
      </c>
      <c r="D17" s="352">
        <v>59087</v>
      </c>
      <c r="E17" s="352">
        <v>26375</v>
      </c>
      <c r="F17" s="352">
        <v>852435</v>
      </c>
      <c r="G17" s="352">
        <f>SUM('- 57 -'!$B17:G17,B17:F17)</f>
        <v>4510042</v>
      </c>
    </row>
    <row r="18" spans="1:7" ht="14.1" customHeight="1" x14ac:dyDescent="0.2">
      <c r="A18" s="237" t="s">
        <v>116</v>
      </c>
      <c r="B18" s="151">
        <v>1342679</v>
      </c>
      <c r="C18" s="151">
        <v>189331</v>
      </c>
      <c r="D18" s="151">
        <v>88963</v>
      </c>
      <c r="E18" s="151">
        <v>33125</v>
      </c>
      <c r="F18" s="151">
        <v>4180950</v>
      </c>
      <c r="G18" s="151">
        <f>SUM('- 57 -'!$B18:G18,B18:F18)</f>
        <v>11715531</v>
      </c>
    </row>
    <row r="19" spans="1:7" ht="14.1" customHeight="1" x14ac:dyDescent="0.2">
      <c r="A19" s="354" t="s">
        <v>117</v>
      </c>
      <c r="B19" s="352">
        <v>1341081</v>
      </c>
      <c r="C19" s="352">
        <v>348683</v>
      </c>
      <c r="D19" s="352">
        <v>193246</v>
      </c>
      <c r="E19" s="352">
        <v>84513</v>
      </c>
      <c r="F19" s="352">
        <v>1698885</v>
      </c>
      <c r="G19" s="352">
        <f>SUM('- 57 -'!$B19:G19,B19:F19)</f>
        <v>12870592</v>
      </c>
    </row>
    <row r="20" spans="1:7" ht="14.1" customHeight="1" x14ac:dyDescent="0.2">
      <c r="A20" s="237" t="s">
        <v>118</v>
      </c>
      <c r="B20" s="151">
        <v>2504017</v>
      </c>
      <c r="C20" s="151">
        <v>627472</v>
      </c>
      <c r="D20" s="151">
        <v>294836</v>
      </c>
      <c r="E20" s="151">
        <v>150375</v>
      </c>
      <c r="F20" s="151">
        <v>2808675</v>
      </c>
      <c r="G20" s="151">
        <f>SUM('- 57 -'!$B20:G20,B20:F20)</f>
        <v>22806716</v>
      </c>
    </row>
    <row r="21" spans="1:7" ht="14.1" customHeight="1" x14ac:dyDescent="0.2">
      <c r="A21" s="354" t="s">
        <v>119</v>
      </c>
      <c r="B21" s="352">
        <v>870435</v>
      </c>
      <c r="C21" s="352">
        <v>222946</v>
      </c>
      <c r="D21" s="352">
        <v>104758</v>
      </c>
      <c r="E21" s="352">
        <v>56875</v>
      </c>
      <c r="F21" s="352">
        <v>1528740</v>
      </c>
      <c r="G21" s="352">
        <f>SUM('- 57 -'!$B21:G21,B21:F21)</f>
        <v>9088155</v>
      </c>
    </row>
    <row r="22" spans="1:7" ht="14.1" customHeight="1" x14ac:dyDescent="0.2">
      <c r="A22" s="237" t="s">
        <v>120</v>
      </c>
      <c r="B22" s="151">
        <v>523407</v>
      </c>
      <c r="C22" s="151">
        <v>127181</v>
      </c>
      <c r="D22" s="151">
        <v>78147</v>
      </c>
      <c r="E22" s="151">
        <v>33625</v>
      </c>
      <c r="F22" s="151">
        <v>892620</v>
      </c>
      <c r="G22" s="151">
        <f>SUM('- 57 -'!$B22:G22,B22:F22)</f>
        <v>4962358</v>
      </c>
    </row>
    <row r="23" spans="1:7" ht="14.1" customHeight="1" x14ac:dyDescent="0.2">
      <c r="A23" s="354" t="s">
        <v>121</v>
      </c>
      <c r="B23" s="352">
        <v>357609</v>
      </c>
      <c r="C23" s="352">
        <v>81838</v>
      </c>
      <c r="D23" s="352">
        <v>45356</v>
      </c>
      <c r="E23" s="352">
        <v>19000</v>
      </c>
      <c r="F23" s="352">
        <v>802845</v>
      </c>
      <c r="G23" s="352">
        <f>SUM('- 57 -'!$B23:G23,B23:F23)</f>
        <v>3788433</v>
      </c>
    </row>
    <row r="24" spans="1:7" ht="14.1" customHeight="1" x14ac:dyDescent="0.2">
      <c r="A24" s="237" t="s">
        <v>122</v>
      </c>
      <c r="B24" s="151">
        <v>1325830</v>
      </c>
      <c r="C24" s="151">
        <v>325111</v>
      </c>
      <c r="D24" s="151">
        <v>152763</v>
      </c>
      <c r="E24" s="151">
        <v>92000</v>
      </c>
      <c r="F24" s="151">
        <v>2028915</v>
      </c>
      <c r="G24" s="151">
        <f>SUM('- 57 -'!$B24:G24,B24:F24)</f>
        <v>12661405</v>
      </c>
    </row>
    <row r="25" spans="1:7" ht="14.1" customHeight="1" x14ac:dyDescent="0.2">
      <c r="A25" s="354" t="s">
        <v>123</v>
      </c>
      <c r="B25" s="352">
        <v>4833796</v>
      </c>
      <c r="C25" s="352">
        <v>1154945</v>
      </c>
      <c r="D25" s="352">
        <v>542685</v>
      </c>
      <c r="E25" s="352">
        <v>298175</v>
      </c>
      <c r="F25" s="352">
        <v>6382575</v>
      </c>
      <c r="G25" s="352">
        <f>SUM('- 57 -'!$B25:G25,B25:F25)</f>
        <v>43022821</v>
      </c>
    </row>
    <row r="26" spans="1:7" ht="14.1" customHeight="1" x14ac:dyDescent="0.2">
      <c r="A26" s="237" t="s">
        <v>124</v>
      </c>
      <c r="B26" s="151">
        <v>1026267</v>
      </c>
      <c r="C26" s="151">
        <v>243655</v>
      </c>
      <c r="D26" s="151">
        <v>135038</v>
      </c>
      <c r="E26" s="151">
        <v>68663</v>
      </c>
      <c r="F26" s="151">
        <v>2285415</v>
      </c>
      <c r="G26" s="151">
        <f>SUM('- 57 -'!$B26:G26,B26:F26)</f>
        <v>10612905</v>
      </c>
    </row>
    <row r="27" spans="1:7" ht="14.1" customHeight="1" x14ac:dyDescent="0.2">
      <c r="A27" s="354" t="s">
        <v>125</v>
      </c>
      <c r="B27" s="352">
        <v>1049049</v>
      </c>
      <c r="C27" s="352">
        <v>237189</v>
      </c>
      <c r="D27" s="352">
        <v>145743</v>
      </c>
      <c r="E27" s="352">
        <v>61250</v>
      </c>
      <c r="F27" s="352">
        <v>1297890</v>
      </c>
      <c r="G27" s="352">
        <f>SUM('- 57 -'!$B27:G27,B27:F27)</f>
        <v>8909456</v>
      </c>
    </row>
    <row r="28" spans="1:7" ht="14.1" customHeight="1" x14ac:dyDescent="0.2">
      <c r="A28" s="237" t="s">
        <v>126</v>
      </c>
      <c r="B28" s="151">
        <v>492467</v>
      </c>
      <c r="C28" s="151">
        <v>125944</v>
      </c>
      <c r="D28" s="151">
        <v>69800</v>
      </c>
      <c r="E28" s="151">
        <v>37750</v>
      </c>
      <c r="F28" s="151">
        <v>1282500</v>
      </c>
      <c r="G28" s="151">
        <f>SUM('- 57 -'!$B28:G28,B28:F28)</f>
        <v>5794292</v>
      </c>
    </row>
    <row r="29" spans="1:7" ht="14.1" customHeight="1" x14ac:dyDescent="0.2">
      <c r="A29" s="354" t="s">
        <v>127</v>
      </c>
      <c r="B29" s="352">
        <v>4048456</v>
      </c>
      <c r="C29" s="352">
        <v>1041243</v>
      </c>
      <c r="D29" s="352">
        <v>489259</v>
      </c>
      <c r="E29" s="352">
        <v>287750</v>
      </c>
      <c r="F29" s="352">
        <v>5025690</v>
      </c>
      <c r="G29" s="352">
        <f>SUM('- 57 -'!$B29:G29,B29:F29)</f>
        <v>37778180</v>
      </c>
    </row>
    <row r="30" spans="1:7" ht="14.1" customHeight="1" x14ac:dyDescent="0.2">
      <c r="A30" s="237" t="s">
        <v>128</v>
      </c>
      <c r="B30" s="151">
        <v>333035</v>
      </c>
      <c r="C30" s="151">
        <v>83249</v>
      </c>
      <c r="D30" s="151">
        <v>46138</v>
      </c>
      <c r="E30" s="151">
        <v>23000</v>
      </c>
      <c r="F30" s="151">
        <v>791730</v>
      </c>
      <c r="G30" s="151">
        <f>SUM('- 57 -'!$B30:G30,B30:F30)</f>
        <v>3789976</v>
      </c>
    </row>
    <row r="31" spans="1:7" ht="14.1" customHeight="1" x14ac:dyDescent="0.2">
      <c r="A31" s="354" t="s">
        <v>129</v>
      </c>
      <c r="B31" s="352">
        <v>1100513</v>
      </c>
      <c r="C31" s="352">
        <v>258047</v>
      </c>
      <c r="D31" s="352">
        <v>121251</v>
      </c>
      <c r="E31" s="352">
        <v>66500</v>
      </c>
      <c r="F31" s="352">
        <v>1806615</v>
      </c>
      <c r="G31" s="352">
        <f>SUM('- 57 -'!$B31:G31,B31:F31)</f>
        <v>10208140</v>
      </c>
    </row>
    <row r="32" spans="1:7" ht="14.1" customHeight="1" x14ac:dyDescent="0.2">
      <c r="A32" s="237" t="s">
        <v>130</v>
      </c>
      <c r="B32" s="151">
        <v>682230</v>
      </c>
      <c r="C32" s="151">
        <v>175313</v>
      </c>
      <c r="D32" s="151">
        <v>82376</v>
      </c>
      <c r="E32" s="151">
        <v>36500</v>
      </c>
      <c r="F32" s="151">
        <v>1403055</v>
      </c>
      <c r="G32" s="151">
        <f>SUM('- 57 -'!$B32:G32,B32:F32)</f>
        <v>7518057</v>
      </c>
    </row>
    <row r="33" spans="1:7" ht="14.1" customHeight="1" x14ac:dyDescent="0.2">
      <c r="A33" s="354" t="s">
        <v>131</v>
      </c>
      <c r="B33" s="352">
        <v>635323</v>
      </c>
      <c r="C33" s="352">
        <v>166050</v>
      </c>
      <c r="D33" s="352">
        <v>92028</v>
      </c>
      <c r="E33" s="352">
        <v>41000</v>
      </c>
      <c r="F33" s="352">
        <v>1746765</v>
      </c>
      <c r="G33" s="352">
        <f>SUM('- 57 -'!$B33:G33,B33:F33)</f>
        <v>7803629</v>
      </c>
    </row>
    <row r="34" spans="1:7" ht="14.1" customHeight="1" x14ac:dyDescent="0.2">
      <c r="A34" s="237" t="s">
        <v>132</v>
      </c>
      <c r="B34" s="151">
        <v>634170</v>
      </c>
      <c r="C34" s="151">
        <v>164257</v>
      </c>
      <c r="D34" s="151">
        <v>77181</v>
      </c>
      <c r="E34" s="151">
        <v>39125</v>
      </c>
      <c r="F34" s="151">
        <v>1188450</v>
      </c>
      <c r="G34" s="151">
        <f>SUM('- 57 -'!$B34:G34,B34:F34)</f>
        <v>7004003</v>
      </c>
    </row>
    <row r="35" spans="1:7" ht="14.1" customHeight="1" x14ac:dyDescent="0.2">
      <c r="A35" s="354" t="s">
        <v>133</v>
      </c>
      <c r="B35" s="352">
        <v>5135900</v>
      </c>
      <c r="C35" s="352">
        <v>1270879</v>
      </c>
      <c r="D35" s="352">
        <v>597160</v>
      </c>
      <c r="E35" s="352">
        <v>354888</v>
      </c>
      <c r="F35" s="352">
        <v>6968250</v>
      </c>
      <c r="G35" s="352">
        <f>SUM('- 57 -'!$B35:G35,B35:F35)</f>
        <v>47109642</v>
      </c>
    </row>
    <row r="36" spans="1:7" ht="14.1" customHeight="1" x14ac:dyDescent="0.2">
      <c r="A36" s="237" t="s">
        <v>134</v>
      </c>
      <c r="B36" s="151">
        <v>505443</v>
      </c>
      <c r="C36" s="151">
        <v>126409</v>
      </c>
      <c r="D36" s="151">
        <v>70058</v>
      </c>
      <c r="E36" s="151">
        <v>26625</v>
      </c>
      <c r="F36" s="151">
        <v>1165365</v>
      </c>
      <c r="G36" s="151">
        <f>SUM('- 57 -'!$B36:G36,B36:F36)</f>
        <v>5682610</v>
      </c>
    </row>
    <row r="37" spans="1:7" ht="14.1" customHeight="1" x14ac:dyDescent="0.2">
      <c r="A37" s="354" t="s">
        <v>135</v>
      </c>
      <c r="B37" s="352">
        <v>1352698</v>
      </c>
      <c r="C37" s="352">
        <v>340483</v>
      </c>
      <c r="D37" s="352">
        <v>159986</v>
      </c>
      <c r="E37" s="352">
        <v>76750</v>
      </c>
      <c r="F37" s="352">
        <v>1713420</v>
      </c>
      <c r="G37" s="352">
        <f>SUM('- 57 -'!$B37:G37,B37:F37)</f>
        <v>12856342</v>
      </c>
    </row>
    <row r="38" spans="1:7" ht="14.1" customHeight="1" x14ac:dyDescent="0.2">
      <c r="A38" s="237" t="s">
        <v>136</v>
      </c>
      <c r="B38" s="151">
        <v>3691142</v>
      </c>
      <c r="C38" s="151">
        <v>887627</v>
      </c>
      <c r="D38" s="151">
        <v>417078</v>
      </c>
      <c r="E38" s="151">
        <v>265125</v>
      </c>
      <c r="F38" s="151">
        <v>3649995</v>
      </c>
      <c r="G38" s="151">
        <f>SUM('- 57 -'!$B38:G38,B38:F38)</f>
        <v>31807464</v>
      </c>
    </row>
    <row r="39" spans="1:7" ht="14.1" customHeight="1" x14ac:dyDescent="0.2">
      <c r="A39" s="354" t="s">
        <v>137</v>
      </c>
      <c r="B39" s="352">
        <v>481683</v>
      </c>
      <c r="C39" s="352">
        <v>128019</v>
      </c>
      <c r="D39" s="352">
        <v>70950</v>
      </c>
      <c r="E39" s="352">
        <v>28875</v>
      </c>
      <c r="F39" s="352">
        <v>1032840</v>
      </c>
      <c r="G39" s="352">
        <f>SUM('- 57 -'!$B39:G39,B39:F39)</f>
        <v>5570934</v>
      </c>
    </row>
    <row r="40" spans="1:7" ht="14.1" customHeight="1" x14ac:dyDescent="0.2">
      <c r="A40" s="237" t="s">
        <v>138</v>
      </c>
      <c r="B40" s="151">
        <v>2653445</v>
      </c>
      <c r="C40" s="151">
        <v>649633</v>
      </c>
      <c r="D40" s="151">
        <v>305249</v>
      </c>
      <c r="E40" s="151">
        <v>184500</v>
      </c>
      <c r="F40" s="151">
        <v>4162140</v>
      </c>
      <c r="G40" s="151">
        <f>SUM('- 57 -'!$B40:G40,B40:F40)</f>
        <v>24712360</v>
      </c>
    </row>
    <row r="41" spans="1:7" ht="14.1" customHeight="1" x14ac:dyDescent="0.2">
      <c r="A41" s="354" t="s">
        <v>139</v>
      </c>
      <c r="B41" s="352">
        <v>1386965</v>
      </c>
      <c r="C41" s="352">
        <v>359017</v>
      </c>
      <c r="D41" s="352">
        <v>198973</v>
      </c>
      <c r="E41" s="352">
        <v>78875</v>
      </c>
      <c r="F41" s="352">
        <v>2088765</v>
      </c>
      <c r="G41" s="352">
        <f>SUM('- 57 -'!$B41:G41,B41:F41)</f>
        <v>13866589</v>
      </c>
    </row>
    <row r="42" spans="1:7" ht="14.1" customHeight="1" x14ac:dyDescent="0.2">
      <c r="A42" s="237" t="s">
        <v>140</v>
      </c>
      <c r="B42" s="151">
        <v>465966</v>
      </c>
      <c r="C42" s="151">
        <v>112025</v>
      </c>
      <c r="D42" s="151">
        <v>68835</v>
      </c>
      <c r="E42" s="151">
        <v>29875</v>
      </c>
      <c r="F42" s="151">
        <v>1051650</v>
      </c>
      <c r="G42" s="151">
        <f>SUM('- 57 -'!$B42:G42,B42:F42)</f>
        <v>4903977</v>
      </c>
    </row>
    <row r="43" spans="1:7" ht="14.1" customHeight="1" x14ac:dyDescent="0.2">
      <c r="A43" s="354" t="s">
        <v>141</v>
      </c>
      <c r="B43" s="352">
        <v>302325</v>
      </c>
      <c r="C43" s="352">
        <v>78535</v>
      </c>
      <c r="D43" s="352">
        <v>43525</v>
      </c>
      <c r="E43" s="352">
        <v>22125</v>
      </c>
      <c r="F43" s="352">
        <v>591660</v>
      </c>
      <c r="G43" s="352">
        <f>SUM('- 57 -'!$B43:G43,B43:F43)</f>
        <v>3362634</v>
      </c>
    </row>
    <row r="44" spans="1:7" ht="14.1" customHeight="1" x14ac:dyDescent="0.2">
      <c r="A44" s="237" t="s">
        <v>142</v>
      </c>
      <c r="B44" s="151">
        <v>304141</v>
      </c>
      <c r="C44" s="151">
        <v>56523</v>
      </c>
      <c r="D44" s="151">
        <v>31326</v>
      </c>
      <c r="E44" s="151">
        <v>14375</v>
      </c>
      <c r="F44" s="151">
        <v>606195</v>
      </c>
      <c r="G44" s="151">
        <f>SUM('- 57 -'!$B44:G44,B44:F44)</f>
        <v>2805275</v>
      </c>
    </row>
    <row r="45" spans="1:7" ht="14.1" customHeight="1" x14ac:dyDescent="0.2">
      <c r="A45" s="354" t="s">
        <v>143</v>
      </c>
      <c r="B45" s="352">
        <v>528529</v>
      </c>
      <c r="C45" s="352">
        <v>135813</v>
      </c>
      <c r="D45" s="352">
        <v>75270</v>
      </c>
      <c r="E45" s="352">
        <v>34250</v>
      </c>
      <c r="F45" s="352">
        <v>596790</v>
      </c>
      <c r="G45" s="352">
        <f>SUM('- 57 -'!$B45:G45,B45:F45)</f>
        <v>4877192</v>
      </c>
    </row>
    <row r="46" spans="1:7" ht="14.1" customHeight="1" x14ac:dyDescent="0.2">
      <c r="A46" s="237" t="s">
        <v>144</v>
      </c>
      <c r="B46" s="151">
        <v>16514172</v>
      </c>
      <c r="C46" s="151">
        <v>2455646</v>
      </c>
      <c r="D46" s="151">
        <v>1153858</v>
      </c>
      <c r="E46" s="151">
        <v>717250</v>
      </c>
      <c r="F46" s="151">
        <v>14374260</v>
      </c>
      <c r="G46" s="151">
        <f>SUM('- 57 -'!$B46:G46,B46:F46)</f>
        <v>98533645</v>
      </c>
    </row>
    <row r="47" spans="1:7" ht="5.0999999999999996" customHeight="1" x14ac:dyDescent="0.2">
      <c r="A47" s="130"/>
      <c r="B47" s="152"/>
      <c r="C47" s="152"/>
      <c r="D47" s="152"/>
      <c r="E47" s="152"/>
      <c r="F47" s="152"/>
      <c r="G47" s="152"/>
    </row>
    <row r="48" spans="1:7" ht="14.1" customHeight="1" x14ac:dyDescent="0.2">
      <c r="A48" s="355" t="s">
        <v>145</v>
      </c>
      <c r="B48" s="356">
        <f t="shared" ref="B48:C48" si="0">SUM(B11:B46)</f>
        <v>63221030</v>
      </c>
      <c r="C48" s="356">
        <f t="shared" si="0"/>
        <v>13878714</v>
      </c>
      <c r="D48" s="356">
        <f t="shared" ref="D48:F48" si="1">SUM(D11:D46)</f>
        <v>6856442</v>
      </c>
      <c r="E48" s="356">
        <f t="shared" si="1"/>
        <v>3689364</v>
      </c>
      <c r="F48" s="356">
        <f t="shared" si="1"/>
        <v>85264875</v>
      </c>
      <c r="G48" s="356">
        <f t="shared" ref="G48" si="2">SUM(G11:G46)</f>
        <v>542508815</v>
      </c>
    </row>
    <row r="49" spans="1:7" ht="5.0999999999999996" customHeight="1" x14ac:dyDescent="0.2">
      <c r="A49" s="130" t="s">
        <v>7</v>
      </c>
      <c r="B49" s="152"/>
      <c r="C49" s="152"/>
      <c r="D49" s="152"/>
      <c r="E49" s="152"/>
      <c r="F49" s="152"/>
      <c r="G49" s="152"/>
    </row>
    <row r="50" spans="1:7" ht="14.1" customHeight="1" x14ac:dyDescent="0.2">
      <c r="A50" s="237" t="s">
        <v>146</v>
      </c>
      <c r="B50" s="151">
        <v>53047</v>
      </c>
      <c r="C50" s="151">
        <v>14027</v>
      </c>
      <c r="D50" s="151">
        <v>7774</v>
      </c>
      <c r="E50" s="151">
        <v>4250</v>
      </c>
      <c r="F50" s="151">
        <v>234270</v>
      </c>
      <c r="G50" s="151">
        <f>SUM('- 57 -'!$B50:G50,B50:F50)</f>
        <v>599534</v>
      </c>
    </row>
    <row r="51" spans="1:7" ht="14.1" customHeight="1" x14ac:dyDescent="0.2">
      <c r="A51" s="354" t="s">
        <v>609</v>
      </c>
      <c r="B51" s="352">
        <v>0</v>
      </c>
      <c r="C51" s="352">
        <v>0</v>
      </c>
      <c r="D51" s="352">
        <v>0</v>
      </c>
      <c r="E51" s="352">
        <v>0</v>
      </c>
      <c r="F51" s="352">
        <v>0</v>
      </c>
      <c r="G51" s="352">
        <f>SUM('- 57 -'!$B51:G51,B51:F51)</f>
        <v>0</v>
      </c>
    </row>
    <row r="52" spans="1:7" ht="50.1" customHeight="1" x14ac:dyDescent="0.2">
      <c r="A52" s="184"/>
      <c r="B52" s="184"/>
      <c r="C52" s="184"/>
      <c r="D52" s="184"/>
      <c r="E52" s="184"/>
      <c r="F52" s="184"/>
      <c r="G52" s="184"/>
    </row>
    <row r="53" spans="1:7" ht="15" customHeight="1" x14ac:dyDescent="0.2">
      <c r="A53" s="575"/>
      <c r="B53" s="575"/>
      <c r="C53" s="184"/>
      <c r="D53" s="575"/>
      <c r="E53" s="575"/>
      <c r="F53" s="575"/>
      <c r="G53" s="575"/>
    </row>
    <row r="54" spans="1:7" x14ac:dyDescent="0.2">
      <c r="A54" s="38"/>
    </row>
  </sheetData>
  <mergeCells count="7">
    <mergeCell ref="B4:G5"/>
    <mergeCell ref="B6:G6"/>
    <mergeCell ref="B8:B9"/>
    <mergeCell ref="C8:C9"/>
    <mergeCell ref="D8:D9"/>
    <mergeCell ref="E8:E9"/>
    <mergeCell ref="G7:G9"/>
  </mergeCells>
  <phoneticPr fontId="6" type="noConversion"/>
  <pageMargins left="0.5" right="0.5" top="0.6" bottom="0.2" header="0.3" footer="0.5"/>
  <pageSetup scale="90" orientation="portrait" r:id="rId1"/>
  <headerFooter alignWithMargins="0">
    <oddHeader>&amp;C&amp;"Arial,Regular"&amp;11&amp;A</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F56"/>
  <sheetViews>
    <sheetView showGridLines="0" showZeros="0" workbookViewId="0"/>
  </sheetViews>
  <sheetFormatPr defaultColWidth="19.83203125" defaultRowHeight="12" x14ac:dyDescent="0.2"/>
  <cols>
    <col min="1" max="1" width="29.1640625" style="2" customWidth="1"/>
    <col min="2" max="2" width="22.83203125" style="2" customWidth="1"/>
    <col min="3" max="3" width="17.6640625" style="2" customWidth="1"/>
    <col min="4" max="4" width="18.1640625" style="2" customWidth="1"/>
    <col min="5" max="5" width="20.6640625" style="2" customWidth="1"/>
    <col min="6" max="6" width="23.5" style="2" customWidth="1"/>
    <col min="7" max="7" width="14.83203125" style="2" customWidth="1"/>
    <col min="8" max="16384" width="19.83203125" style="2"/>
  </cols>
  <sheetData>
    <row r="1" spans="1:6" ht="6.95" customHeight="1" x14ac:dyDescent="0.2">
      <c r="A1" s="7"/>
      <c r="B1" s="7"/>
      <c r="C1" s="7"/>
      <c r="D1" s="7"/>
      <c r="E1" s="7"/>
      <c r="F1" s="7"/>
    </row>
    <row r="2" spans="1:6" ht="15.95" customHeight="1" x14ac:dyDescent="0.2">
      <c r="A2" s="261"/>
      <c r="B2" s="204" t="str">
        <f>REVYEAR</f>
        <v>ANALYSIS OF OPERATING FUND REVENUE: 2016/2017 ACTUAL</v>
      </c>
      <c r="C2" s="262"/>
      <c r="D2" s="264"/>
      <c r="E2" s="264"/>
      <c r="F2" s="215" t="s">
        <v>100</v>
      </c>
    </row>
    <row r="3" spans="1:6" ht="15.95" customHeight="1" x14ac:dyDescent="0.2">
      <c r="A3" s="537"/>
      <c r="B3" s="205"/>
      <c r="C3" s="7"/>
      <c r="D3" s="7"/>
      <c r="E3" s="7"/>
      <c r="F3" s="7"/>
    </row>
    <row r="4" spans="1:6" ht="15.95" customHeight="1" x14ac:dyDescent="0.2">
      <c r="B4" s="802" t="s">
        <v>578</v>
      </c>
      <c r="C4" s="790"/>
      <c r="D4" s="790"/>
      <c r="E4" s="790"/>
      <c r="F4" s="791"/>
    </row>
    <row r="5" spans="1:6" ht="15.95" customHeight="1" x14ac:dyDescent="0.2">
      <c r="B5" s="792"/>
      <c r="C5" s="793"/>
      <c r="D5" s="793"/>
      <c r="E5" s="793"/>
      <c r="F5" s="794"/>
    </row>
    <row r="6" spans="1:6" ht="15.95" customHeight="1" x14ac:dyDescent="0.2">
      <c r="B6" s="803" t="s">
        <v>52</v>
      </c>
      <c r="C6" s="804"/>
      <c r="D6" s="804"/>
      <c r="E6" s="804"/>
      <c r="F6" s="805"/>
    </row>
    <row r="7" spans="1:6" ht="15.95" customHeight="1" x14ac:dyDescent="0.2">
      <c r="B7" s="220"/>
      <c r="C7" s="220"/>
      <c r="D7" s="697" t="s">
        <v>580</v>
      </c>
      <c r="E7" s="697" t="s">
        <v>581</v>
      </c>
      <c r="F7" s="697" t="s">
        <v>582</v>
      </c>
    </row>
    <row r="8" spans="1:6" ht="15.95" customHeight="1" x14ac:dyDescent="0.2">
      <c r="A8" s="67"/>
      <c r="B8" s="807" t="s">
        <v>366</v>
      </c>
      <c r="C8" s="800" t="s">
        <v>579</v>
      </c>
      <c r="D8" s="800"/>
      <c r="E8" s="800"/>
      <c r="F8" s="800"/>
    </row>
    <row r="9" spans="1:6" ht="15.95" customHeight="1" x14ac:dyDescent="0.2">
      <c r="A9" s="35" t="s">
        <v>42</v>
      </c>
      <c r="B9" s="808"/>
      <c r="C9" s="801"/>
      <c r="D9" s="801"/>
      <c r="E9" s="801"/>
      <c r="F9" s="801"/>
    </row>
    <row r="10" spans="1:6" ht="5.0999999999999996" customHeight="1" x14ac:dyDescent="0.2">
      <c r="A10" s="6"/>
      <c r="B10" s="7"/>
      <c r="C10" s="7"/>
      <c r="D10" s="7"/>
      <c r="E10" s="7"/>
    </row>
    <row r="11" spans="1:6" ht="14.1" customHeight="1" x14ac:dyDescent="0.2">
      <c r="A11" s="354" t="s">
        <v>110</v>
      </c>
      <c r="B11" s="352">
        <v>685593</v>
      </c>
      <c r="C11" s="352">
        <f>SUM(Data!S11:U11)</f>
        <v>667176</v>
      </c>
      <c r="D11" s="352">
        <v>287650</v>
      </c>
      <c r="E11" s="352">
        <v>54946</v>
      </c>
      <c r="F11" s="352">
        <v>36000</v>
      </c>
    </row>
    <row r="12" spans="1:6" ht="14.1" customHeight="1" x14ac:dyDescent="0.2">
      <c r="A12" s="237" t="s">
        <v>111</v>
      </c>
      <c r="B12" s="151">
        <v>1285662</v>
      </c>
      <c r="C12" s="151">
        <f>SUM(Data!S12:U12)</f>
        <v>1112012</v>
      </c>
      <c r="D12" s="151">
        <v>144775</v>
      </c>
      <c r="E12" s="151">
        <v>184415</v>
      </c>
      <c r="F12" s="151">
        <v>54000</v>
      </c>
    </row>
    <row r="13" spans="1:6" ht="14.1" customHeight="1" x14ac:dyDescent="0.2">
      <c r="A13" s="354" t="s">
        <v>112</v>
      </c>
      <c r="B13" s="352">
        <v>1112417</v>
      </c>
      <c r="C13" s="352">
        <f>SUM(Data!S13:U13)</f>
        <v>3189145</v>
      </c>
      <c r="D13" s="352">
        <v>708025</v>
      </c>
      <c r="E13" s="352">
        <v>648230</v>
      </c>
      <c r="F13" s="352">
        <v>371000</v>
      </c>
    </row>
    <row r="14" spans="1:6" ht="14.1" customHeight="1" x14ac:dyDescent="0.2">
      <c r="A14" s="237" t="s">
        <v>359</v>
      </c>
      <c r="B14" s="151">
        <v>3316204</v>
      </c>
      <c r="C14" s="151">
        <f>SUM(Data!S14:U14)</f>
        <v>1162388</v>
      </c>
      <c r="D14" s="151">
        <v>257675</v>
      </c>
      <c r="E14" s="151">
        <v>110165</v>
      </c>
      <c r="F14" s="151">
        <v>530000</v>
      </c>
    </row>
    <row r="15" spans="1:6" ht="14.1" customHeight="1" x14ac:dyDescent="0.2">
      <c r="A15" s="354" t="s">
        <v>113</v>
      </c>
      <c r="B15" s="352">
        <v>869411</v>
      </c>
      <c r="C15" s="352">
        <f>SUM(Data!S15:U15)</f>
        <v>855509</v>
      </c>
      <c r="D15" s="352">
        <v>12450</v>
      </c>
      <c r="E15" s="352">
        <v>74195</v>
      </c>
      <c r="F15" s="352">
        <v>128000</v>
      </c>
    </row>
    <row r="16" spans="1:6" ht="14.1" customHeight="1" x14ac:dyDescent="0.2">
      <c r="A16" s="237" t="s">
        <v>114</v>
      </c>
      <c r="B16" s="151">
        <v>102221</v>
      </c>
      <c r="C16" s="151">
        <f>SUM(Data!S16:U16)</f>
        <v>471451</v>
      </c>
      <c r="D16" s="151">
        <v>3150</v>
      </c>
      <c r="E16" s="151">
        <v>39628</v>
      </c>
      <c r="F16" s="151">
        <v>81500</v>
      </c>
    </row>
    <row r="17" spans="1:6" ht="14.1" customHeight="1" x14ac:dyDescent="0.2">
      <c r="A17" s="354" t="s">
        <v>115</v>
      </c>
      <c r="B17" s="352">
        <v>863398</v>
      </c>
      <c r="C17" s="352">
        <f>SUM(Data!S17:U17)</f>
        <v>584903</v>
      </c>
      <c r="D17" s="352">
        <v>20850</v>
      </c>
      <c r="E17" s="352">
        <v>61710</v>
      </c>
      <c r="F17" s="352">
        <v>18000</v>
      </c>
    </row>
    <row r="18" spans="1:6" ht="14.1" customHeight="1" x14ac:dyDescent="0.2">
      <c r="A18" s="237" t="s">
        <v>116</v>
      </c>
      <c r="B18" s="151">
        <v>1288828</v>
      </c>
      <c r="C18" s="151">
        <f>SUM(Data!S18:U18)</f>
        <v>1863841</v>
      </c>
      <c r="D18" s="151">
        <v>750</v>
      </c>
      <c r="E18" s="151">
        <v>99303</v>
      </c>
      <c r="F18" s="151">
        <v>851750</v>
      </c>
    </row>
    <row r="19" spans="1:6" ht="14.1" customHeight="1" x14ac:dyDescent="0.2">
      <c r="A19" s="354" t="s">
        <v>117</v>
      </c>
      <c r="B19" s="352">
        <v>1527792</v>
      </c>
      <c r="C19" s="352">
        <f>SUM(Data!S19:U19)</f>
        <v>1950445</v>
      </c>
      <c r="D19" s="352">
        <v>570950</v>
      </c>
      <c r="E19" s="352">
        <v>330165</v>
      </c>
      <c r="F19" s="352">
        <v>27000</v>
      </c>
    </row>
    <row r="20" spans="1:6" ht="14.1" customHeight="1" x14ac:dyDescent="0.2">
      <c r="A20" s="237" t="s">
        <v>118</v>
      </c>
      <c r="B20" s="151">
        <v>2674083</v>
      </c>
      <c r="C20" s="151">
        <f>SUM(Data!S20:U20)</f>
        <v>3406374</v>
      </c>
      <c r="D20" s="151">
        <v>601000</v>
      </c>
      <c r="E20" s="151">
        <v>570516</v>
      </c>
      <c r="F20" s="151">
        <v>171000</v>
      </c>
    </row>
    <row r="21" spans="1:6" ht="14.1" customHeight="1" x14ac:dyDescent="0.2">
      <c r="A21" s="354" t="s">
        <v>119</v>
      </c>
      <c r="B21" s="352">
        <v>1239756</v>
      </c>
      <c r="C21" s="352">
        <f>SUM(Data!S21:U21)</f>
        <v>1323602</v>
      </c>
      <c r="D21" s="352">
        <v>39750</v>
      </c>
      <c r="E21" s="352">
        <v>83106</v>
      </c>
      <c r="F21" s="352">
        <v>135000</v>
      </c>
    </row>
    <row r="22" spans="1:6" ht="14.1" customHeight="1" x14ac:dyDescent="0.2">
      <c r="A22" s="237" t="s">
        <v>120</v>
      </c>
      <c r="B22" s="151">
        <v>287057</v>
      </c>
      <c r="C22" s="151">
        <f>SUM(Data!S22:U22)</f>
        <v>973121</v>
      </c>
      <c r="D22" s="151">
        <v>4700</v>
      </c>
      <c r="E22" s="151">
        <v>42515</v>
      </c>
      <c r="F22" s="151">
        <v>171000</v>
      </c>
    </row>
    <row r="23" spans="1:6" ht="14.1" customHeight="1" x14ac:dyDescent="0.2">
      <c r="A23" s="354" t="s">
        <v>121</v>
      </c>
      <c r="B23" s="352">
        <v>930304</v>
      </c>
      <c r="C23" s="352">
        <f>SUM(Data!S23:U23)</f>
        <v>654469</v>
      </c>
      <c r="D23" s="352">
        <v>11450</v>
      </c>
      <c r="E23" s="352">
        <v>56375</v>
      </c>
      <c r="F23" s="352">
        <v>99000</v>
      </c>
    </row>
    <row r="24" spans="1:6" ht="14.1" customHeight="1" x14ac:dyDescent="0.2">
      <c r="A24" s="237" t="s">
        <v>122</v>
      </c>
      <c r="B24" s="151">
        <v>1666625</v>
      </c>
      <c r="C24" s="151">
        <f>SUM(Data!S24:U24)</f>
        <v>2033402</v>
      </c>
      <c r="D24" s="151">
        <v>44150</v>
      </c>
      <c r="E24" s="151">
        <v>334015</v>
      </c>
      <c r="F24" s="151">
        <v>356500</v>
      </c>
    </row>
    <row r="25" spans="1:6" ht="14.1" customHeight="1" x14ac:dyDescent="0.2">
      <c r="A25" s="354" t="s">
        <v>123</v>
      </c>
      <c r="B25" s="352">
        <v>1308414</v>
      </c>
      <c r="C25" s="352">
        <f>SUM(Data!S25:U25)</f>
        <v>8937233</v>
      </c>
      <c r="D25" s="352">
        <v>1161425</v>
      </c>
      <c r="E25" s="352">
        <v>749486</v>
      </c>
      <c r="F25" s="352">
        <v>803000</v>
      </c>
    </row>
    <row r="26" spans="1:6" ht="14.1" customHeight="1" x14ac:dyDescent="0.2">
      <c r="A26" s="237" t="s">
        <v>124</v>
      </c>
      <c r="B26" s="151">
        <v>1639872</v>
      </c>
      <c r="C26" s="151">
        <f>SUM(Data!S26:U26)</f>
        <v>1175392</v>
      </c>
      <c r="D26" s="151">
        <v>30200</v>
      </c>
      <c r="E26" s="151">
        <v>195030</v>
      </c>
      <c r="F26" s="151">
        <v>245000</v>
      </c>
    </row>
    <row r="27" spans="1:6" ht="14.1" customHeight="1" x14ac:dyDescent="0.2">
      <c r="A27" s="354" t="s">
        <v>125</v>
      </c>
      <c r="B27" s="352">
        <v>89047</v>
      </c>
      <c r="C27" s="352">
        <f>SUM(Data!S27:U27)</f>
        <v>1959973</v>
      </c>
      <c r="D27" s="352">
        <v>83975</v>
      </c>
      <c r="E27" s="352">
        <v>204765</v>
      </c>
      <c r="F27" s="352">
        <v>296900</v>
      </c>
    </row>
    <row r="28" spans="1:6" ht="14.1" customHeight="1" x14ac:dyDescent="0.2">
      <c r="A28" s="237" t="s">
        <v>126</v>
      </c>
      <c r="B28" s="151">
        <v>1226488</v>
      </c>
      <c r="C28" s="151">
        <f>SUM(Data!S28:U28)</f>
        <v>597330</v>
      </c>
      <c r="D28" s="151">
        <v>33050</v>
      </c>
      <c r="E28" s="151">
        <v>71280</v>
      </c>
      <c r="F28" s="151">
        <v>90500</v>
      </c>
    </row>
    <row r="29" spans="1:6" ht="14.1" customHeight="1" x14ac:dyDescent="0.2">
      <c r="A29" s="354" t="s">
        <v>127</v>
      </c>
      <c r="B29" s="352">
        <v>1060147</v>
      </c>
      <c r="C29" s="352">
        <f>SUM(Data!S29:U29)</f>
        <v>6849919</v>
      </c>
      <c r="D29" s="352">
        <v>1724575</v>
      </c>
      <c r="E29" s="352">
        <v>238233</v>
      </c>
      <c r="F29" s="352">
        <v>333000</v>
      </c>
    </row>
    <row r="30" spans="1:6" ht="14.1" customHeight="1" x14ac:dyDescent="0.2">
      <c r="A30" s="237" t="s">
        <v>128</v>
      </c>
      <c r="B30" s="151">
        <v>654115</v>
      </c>
      <c r="C30" s="151">
        <f>SUM(Data!S30:U30)</f>
        <v>571781</v>
      </c>
      <c r="D30" s="151">
        <v>62150</v>
      </c>
      <c r="E30" s="151">
        <v>52690</v>
      </c>
      <c r="F30" s="151">
        <v>47000</v>
      </c>
    </row>
    <row r="31" spans="1:6" ht="14.1" customHeight="1" x14ac:dyDescent="0.2">
      <c r="A31" s="354" t="s">
        <v>129</v>
      </c>
      <c r="B31" s="352">
        <v>829570</v>
      </c>
      <c r="C31" s="352">
        <f>SUM(Data!S31:U31)</f>
        <v>1828795</v>
      </c>
      <c r="D31" s="352">
        <v>126300</v>
      </c>
      <c r="E31" s="352">
        <v>203335</v>
      </c>
      <c r="F31" s="352">
        <v>245000</v>
      </c>
    </row>
    <row r="32" spans="1:6" ht="14.1" customHeight="1" x14ac:dyDescent="0.2">
      <c r="A32" s="237" t="s">
        <v>130</v>
      </c>
      <c r="B32" s="151">
        <v>1278312</v>
      </c>
      <c r="C32" s="151">
        <f>SUM(Data!S32:U32)</f>
        <v>850739</v>
      </c>
      <c r="D32" s="151">
        <v>131350</v>
      </c>
      <c r="E32" s="151">
        <v>81016</v>
      </c>
      <c r="F32" s="151">
        <v>99000</v>
      </c>
    </row>
    <row r="33" spans="1:6" ht="14.1" customHeight="1" x14ac:dyDescent="0.2">
      <c r="A33" s="354" t="s">
        <v>131</v>
      </c>
      <c r="B33" s="352">
        <v>1439230</v>
      </c>
      <c r="C33" s="352">
        <f>SUM(Data!S33:U33)</f>
        <v>858145</v>
      </c>
      <c r="D33" s="352">
        <v>128625</v>
      </c>
      <c r="E33" s="352">
        <v>85911</v>
      </c>
      <c r="F33" s="352">
        <v>36000</v>
      </c>
    </row>
    <row r="34" spans="1:6" ht="14.1" customHeight="1" x14ac:dyDescent="0.2">
      <c r="A34" s="237" t="s">
        <v>132</v>
      </c>
      <c r="B34" s="151">
        <v>1457940</v>
      </c>
      <c r="C34" s="151">
        <f>SUM(Data!S34:U34)</f>
        <v>1272912</v>
      </c>
      <c r="D34" s="151">
        <v>77525</v>
      </c>
      <c r="E34" s="151">
        <v>68338</v>
      </c>
      <c r="F34" s="151">
        <v>108000</v>
      </c>
    </row>
    <row r="35" spans="1:6" ht="14.1" customHeight="1" x14ac:dyDescent="0.2">
      <c r="A35" s="354" t="s">
        <v>133</v>
      </c>
      <c r="B35" s="352">
        <v>1805570</v>
      </c>
      <c r="C35" s="352">
        <f>SUM(Data!S35:U35)</f>
        <v>9559139</v>
      </c>
      <c r="D35" s="352">
        <v>757550</v>
      </c>
      <c r="E35" s="352">
        <v>921388</v>
      </c>
      <c r="F35" s="352">
        <v>864000</v>
      </c>
    </row>
    <row r="36" spans="1:6" ht="14.1" customHeight="1" x14ac:dyDescent="0.2">
      <c r="A36" s="237" t="s">
        <v>134</v>
      </c>
      <c r="B36" s="151">
        <v>854246</v>
      </c>
      <c r="C36" s="151">
        <f>SUM(Data!S36:U36)</f>
        <v>584241</v>
      </c>
      <c r="D36" s="151">
        <v>33300</v>
      </c>
      <c r="E36" s="151">
        <v>22385</v>
      </c>
      <c r="F36" s="151">
        <v>74000</v>
      </c>
    </row>
    <row r="37" spans="1:6" ht="14.1" customHeight="1" x14ac:dyDescent="0.2">
      <c r="A37" s="354" t="s">
        <v>135</v>
      </c>
      <c r="B37" s="352">
        <v>1844379</v>
      </c>
      <c r="C37" s="352">
        <f>SUM(Data!S37:U37)</f>
        <v>2428926</v>
      </c>
      <c r="D37" s="352">
        <v>172425</v>
      </c>
      <c r="E37" s="352">
        <v>139838</v>
      </c>
      <c r="F37" s="352">
        <v>396000</v>
      </c>
    </row>
    <row r="38" spans="1:6" ht="14.1" customHeight="1" x14ac:dyDescent="0.2">
      <c r="A38" s="237" t="s">
        <v>136</v>
      </c>
      <c r="B38" s="151">
        <v>1108406</v>
      </c>
      <c r="C38" s="151">
        <f>SUM(Data!S38:U38)</f>
        <v>6364103</v>
      </c>
      <c r="D38" s="151">
        <v>838550</v>
      </c>
      <c r="E38" s="151">
        <v>478803</v>
      </c>
      <c r="F38" s="151">
        <v>359500</v>
      </c>
    </row>
    <row r="39" spans="1:6" ht="14.1" customHeight="1" x14ac:dyDescent="0.2">
      <c r="A39" s="354" t="s">
        <v>137</v>
      </c>
      <c r="B39" s="352">
        <v>1097699</v>
      </c>
      <c r="C39" s="352">
        <f>SUM(Data!S39:U39)</f>
        <v>542604</v>
      </c>
      <c r="D39" s="352">
        <v>46550</v>
      </c>
      <c r="E39" s="352">
        <v>38720</v>
      </c>
      <c r="F39" s="352">
        <v>36000</v>
      </c>
    </row>
    <row r="40" spans="1:6" ht="14.1" customHeight="1" x14ac:dyDescent="0.2">
      <c r="A40" s="237" t="s">
        <v>138</v>
      </c>
      <c r="B40" s="151">
        <v>710581</v>
      </c>
      <c r="C40" s="151">
        <f>SUM(Data!S40:U40)</f>
        <v>5000863</v>
      </c>
      <c r="D40" s="151">
        <v>483415</v>
      </c>
      <c r="E40" s="151">
        <v>587621</v>
      </c>
      <c r="F40" s="151">
        <v>371200</v>
      </c>
    </row>
    <row r="41" spans="1:6" ht="14.1" customHeight="1" x14ac:dyDescent="0.2">
      <c r="A41" s="354" t="s">
        <v>139</v>
      </c>
      <c r="B41" s="352">
        <v>2889898</v>
      </c>
      <c r="C41" s="352">
        <f>SUM(Data!S41:U41)</f>
        <v>2634470</v>
      </c>
      <c r="D41" s="352">
        <v>90170</v>
      </c>
      <c r="E41" s="352">
        <v>174048</v>
      </c>
      <c r="F41" s="352">
        <v>255000</v>
      </c>
    </row>
    <row r="42" spans="1:6" ht="14.1" customHeight="1" x14ac:dyDescent="0.2">
      <c r="A42" s="237" t="s">
        <v>140</v>
      </c>
      <c r="B42" s="151">
        <v>1038414</v>
      </c>
      <c r="C42" s="151">
        <f>SUM(Data!S42:U42)</f>
        <v>722533</v>
      </c>
      <c r="D42" s="151">
        <v>750</v>
      </c>
      <c r="E42" s="151">
        <v>197753</v>
      </c>
      <c r="F42" s="151">
        <v>146000</v>
      </c>
    </row>
    <row r="43" spans="1:6" ht="14.1" customHeight="1" x14ac:dyDescent="0.2">
      <c r="A43" s="354" t="s">
        <v>141</v>
      </c>
      <c r="B43" s="352">
        <v>588430</v>
      </c>
      <c r="C43" s="352">
        <f>SUM(Data!S43:U43)</f>
        <v>376480</v>
      </c>
      <c r="D43" s="352">
        <v>77750</v>
      </c>
      <c r="E43" s="352">
        <v>29755</v>
      </c>
      <c r="F43" s="352">
        <v>27000</v>
      </c>
    </row>
    <row r="44" spans="1:6" ht="14.1" customHeight="1" x14ac:dyDescent="0.2">
      <c r="A44" s="237" t="s">
        <v>142</v>
      </c>
      <c r="B44" s="151">
        <v>749513</v>
      </c>
      <c r="C44" s="151">
        <f>SUM(Data!S44:U44)</f>
        <v>420949</v>
      </c>
      <c r="D44" s="151">
        <v>16800</v>
      </c>
      <c r="E44" s="151">
        <v>30690</v>
      </c>
      <c r="F44" s="151">
        <v>99000</v>
      </c>
    </row>
    <row r="45" spans="1:6" ht="14.1" customHeight="1" x14ac:dyDescent="0.2">
      <c r="A45" s="354" t="s">
        <v>143</v>
      </c>
      <c r="B45" s="352">
        <v>512072</v>
      </c>
      <c r="C45" s="352">
        <f>SUM(Data!S45:U45)</f>
        <v>615558</v>
      </c>
      <c r="D45" s="352">
        <v>138895</v>
      </c>
      <c r="E45" s="352">
        <v>64570</v>
      </c>
      <c r="F45" s="352">
        <v>27000</v>
      </c>
    </row>
    <row r="46" spans="1:6" ht="14.1" customHeight="1" x14ac:dyDescent="0.2">
      <c r="A46" s="237" t="s">
        <v>144</v>
      </c>
      <c r="B46" s="151">
        <v>1407585</v>
      </c>
      <c r="C46" s="151">
        <f>SUM(Data!S46:U46)</f>
        <v>16651194</v>
      </c>
      <c r="D46" s="151">
        <v>2890870</v>
      </c>
      <c r="E46" s="151">
        <v>1742868</v>
      </c>
      <c r="F46" s="151">
        <v>2374400</v>
      </c>
    </row>
    <row r="47" spans="1:6" ht="5.0999999999999996" customHeight="1" x14ac:dyDescent="0.2">
      <c r="A47" s="130"/>
      <c r="B47" s="152"/>
      <c r="C47" s="152"/>
      <c r="D47" s="152"/>
      <c r="E47" s="152"/>
      <c r="F47" s="152"/>
    </row>
    <row r="48" spans="1:6" ht="14.1" customHeight="1" x14ac:dyDescent="0.2">
      <c r="A48" s="355" t="s">
        <v>145</v>
      </c>
      <c r="B48" s="356">
        <f t="shared" ref="B48:D48" si="0">SUM(B11:B46)</f>
        <v>43439279</v>
      </c>
      <c r="C48" s="356">
        <f>SUM(C11:C46)</f>
        <v>91051117</v>
      </c>
      <c r="D48" s="356">
        <f t="shared" si="0"/>
        <v>11813525</v>
      </c>
      <c r="E48" s="356">
        <f t="shared" ref="E48:F48" si="1">SUM(E11:E46)</f>
        <v>9067807</v>
      </c>
      <c r="F48" s="356">
        <f t="shared" si="1"/>
        <v>10362250</v>
      </c>
    </row>
    <row r="49" spans="1:6" ht="5.0999999999999996" customHeight="1" x14ac:dyDescent="0.2">
      <c r="A49" s="130" t="s">
        <v>7</v>
      </c>
      <c r="B49" s="152"/>
      <c r="C49" s="152"/>
      <c r="D49" s="152"/>
      <c r="E49" s="152"/>
      <c r="F49" s="152"/>
    </row>
    <row r="50" spans="1:6" ht="14.1" customHeight="1" x14ac:dyDescent="0.2">
      <c r="A50" s="237" t="s">
        <v>146</v>
      </c>
      <c r="B50" s="151">
        <v>1571</v>
      </c>
      <c r="C50" s="151">
        <f>SUM(Data!S50:U50)</f>
        <v>84499</v>
      </c>
      <c r="D50" s="151">
        <v>750</v>
      </c>
      <c r="E50" s="151">
        <v>6985</v>
      </c>
      <c r="F50" s="151">
        <v>0</v>
      </c>
    </row>
    <row r="51" spans="1:6" ht="14.1" customHeight="1" x14ac:dyDescent="0.2">
      <c r="A51" s="354" t="s">
        <v>609</v>
      </c>
      <c r="B51" s="352">
        <v>0</v>
      </c>
      <c r="C51" s="352">
        <f>SUM(Data!S51:U51)</f>
        <v>0</v>
      </c>
      <c r="D51" s="352">
        <v>0</v>
      </c>
      <c r="E51" s="352">
        <v>0</v>
      </c>
      <c r="F51" s="352">
        <v>0</v>
      </c>
    </row>
    <row r="52" spans="1:6" ht="50.1" customHeight="1" x14ac:dyDescent="0.2">
      <c r="A52" s="23"/>
      <c r="B52" s="23"/>
      <c r="C52" s="23"/>
      <c r="D52" s="23"/>
      <c r="E52" s="23"/>
      <c r="F52" s="23"/>
    </row>
    <row r="53" spans="1:6" ht="15" customHeight="1" x14ac:dyDescent="0.2">
      <c r="A53" s="38" t="s">
        <v>358</v>
      </c>
      <c r="B53" s="243"/>
      <c r="C53" s="38"/>
      <c r="D53" s="38"/>
      <c r="E53" s="38"/>
      <c r="F53" s="38"/>
    </row>
    <row r="54" spans="1:6" ht="12" customHeight="1" x14ac:dyDescent="0.2">
      <c r="A54" s="806" t="str">
        <f>"(2)  Includes support for coordinators, clinicians and level 2 and 3 pupils. Note: total special needs support is " &amp;TEXT(C48+'- 58 -'!B48,"$0,000,000")&amp; " (Student Services,
       page 58 and Special Needs)."</f>
        <v>(2)  Includes support for coordinators, clinicians and level 2 and 3 pupils. Note: total special needs support is $154,272,147 (Student Services,
       page 58 and Special Needs).</v>
      </c>
      <c r="B54" s="806"/>
      <c r="C54" s="806"/>
      <c r="D54" s="806"/>
      <c r="E54" s="806"/>
      <c r="F54" s="806"/>
    </row>
    <row r="55" spans="1:6" ht="12" customHeight="1" x14ac:dyDescent="0.2">
      <c r="A55" s="806"/>
      <c r="B55" s="806"/>
      <c r="C55" s="806"/>
      <c r="D55" s="806"/>
      <c r="E55" s="806"/>
      <c r="F55" s="806"/>
    </row>
    <row r="56" spans="1:6" ht="14.1" customHeight="1" x14ac:dyDescent="0.2">
      <c r="A56" s="38"/>
      <c r="B56" s="38"/>
      <c r="C56" s="265"/>
      <c r="D56" s="38"/>
      <c r="E56" s="38"/>
      <c r="F56" s="38"/>
    </row>
  </sheetData>
  <mergeCells count="8">
    <mergeCell ref="B4:F5"/>
    <mergeCell ref="B6:F6"/>
    <mergeCell ref="A54:F55"/>
    <mergeCell ref="C8:C9"/>
    <mergeCell ref="D7:D9"/>
    <mergeCell ref="E7:E9"/>
    <mergeCell ref="F7:F9"/>
    <mergeCell ref="B8:B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F53"/>
  <sheetViews>
    <sheetView showGridLines="0" showZeros="0" workbookViewId="0"/>
  </sheetViews>
  <sheetFormatPr defaultColWidth="19.83203125" defaultRowHeight="12" x14ac:dyDescent="0.2"/>
  <cols>
    <col min="1" max="1" width="34.1640625" style="2" customWidth="1"/>
    <col min="2" max="2" width="18.83203125" style="2" customWidth="1"/>
    <col min="3" max="3" width="19.83203125" style="2" customWidth="1"/>
    <col min="4" max="5" width="19.1640625" style="2" customWidth="1"/>
    <col min="6" max="6" width="17.83203125" style="2" customWidth="1"/>
    <col min="7" max="16384" width="19.83203125" style="2"/>
  </cols>
  <sheetData>
    <row r="1" spans="1:6" ht="6.95" customHeight="1" x14ac:dyDescent="0.2">
      <c r="A1" s="7"/>
      <c r="B1" s="7"/>
      <c r="C1" s="7"/>
      <c r="D1" s="7"/>
      <c r="E1" s="7"/>
      <c r="F1" s="7"/>
    </row>
    <row r="2" spans="1:6" ht="15.95" customHeight="1" x14ac:dyDescent="0.2">
      <c r="A2" s="261"/>
      <c r="B2" s="204" t="str">
        <f>REVYEAR</f>
        <v>ANALYSIS OF OPERATING FUND REVENUE: 2016/2017 ACTUAL</v>
      </c>
      <c r="C2" s="262"/>
      <c r="D2" s="262"/>
      <c r="E2" s="262"/>
      <c r="F2" s="215" t="s">
        <v>101</v>
      </c>
    </row>
    <row r="3" spans="1:6" ht="15.95" customHeight="1" x14ac:dyDescent="0.2">
      <c r="A3" s="537"/>
      <c r="B3" s="7"/>
      <c r="C3" s="7"/>
      <c r="D3" s="7"/>
      <c r="E3" s="7"/>
      <c r="F3" s="7"/>
    </row>
    <row r="4" spans="1:6" ht="15.95" customHeight="1" x14ac:dyDescent="0.2">
      <c r="B4" s="789" t="s">
        <v>578</v>
      </c>
      <c r="C4" s="790"/>
      <c r="D4" s="790"/>
      <c r="E4" s="790"/>
      <c r="F4" s="791"/>
    </row>
    <row r="5" spans="1:6" ht="15.95" customHeight="1" x14ac:dyDescent="0.2">
      <c r="B5" s="792"/>
      <c r="C5" s="793"/>
      <c r="D5" s="793"/>
      <c r="E5" s="793"/>
      <c r="F5" s="794"/>
    </row>
    <row r="6" spans="1:6" ht="15.95" customHeight="1" x14ac:dyDescent="0.2">
      <c r="B6" s="812" t="s">
        <v>52</v>
      </c>
      <c r="C6" s="813"/>
      <c r="D6" s="813"/>
      <c r="E6" s="813"/>
      <c r="F6" s="814"/>
    </row>
    <row r="7" spans="1:6" ht="15.95" customHeight="1" x14ac:dyDescent="0.2">
      <c r="B7" s="726" t="s">
        <v>583</v>
      </c>
      <c r="C7" s="811" t="s">
        <v>584</v>
      </c>
      <c r="D7" s="697" t="s">
        <v>585</v>
      </c>
      <c r="E7" s="33"/>
      <c r="F7" s="697" t="s">
        <v>587</v>
      </c>
    </row>
    <row r="8" spans="1:6" ht="15.95" customHeight="1" x14ac:dyDescent="0.2">
      <c r="A8" s="403"/>
      <c r="B8" s="809"/>
      <c r="C8" s="798"/>
      <c r="D8" s="800"/>
      <c r="E8" s="800" t="s">
        <v>586</v>
      </c>
      <c r="F8" s="800"/>
    </row>
    <row r="9" spans="1:6" ht="15.95" customHeight="1" x14ac:dyDescent="0.2">
      <c r="A9" s="404" t="s">
        <v>42</v>
      </c>
      <c r="B9" s="810"/>
      <c r="C9" s="799"/>
      <c r="D9" s="801"/>
      <c r="E9" s="801"/>
      <c r="F9" s="801"/>
    </row>
    <row r="10" spans="1:6" ht="5.0999999999999996" customHeight="1" x14ac:dyDescent="0.2">
      <c r="A10" s="6"/>
      <c r="B10" s="7"/>
      <c r="C10" s="7"/>
      <c r="D10" s="7"/>
      <c r="E10" s="7"/>
      <c r="F10" s="7"/>
    </row>
    <row r="11" spans="1:6" ht="14.1" customHeight="1" x14ac:dyDescent="0.2">
      <c r="A11" s="354" t="s">
        <v>110</v>
      </c>
      <c r="B11" s="352">
        <v>3465</v>
      </c>
      <c r="C11" s="352">
        <v>22100</v>
      </c>
      <c r="D11" s="352">
        <v>134872</v>
      </c>
      <c r="E11" s="352">
        <f>Data!R11-SUM('- 59 -'!$B11:F11,B11:D11)</f>
        <v>289882</v>
      </c>
      <c r="F11" s="352">
        <f>SUM('- 59 -'!$B11:F11,B11:E11)</f>
        <v>2181684</v>
      </c>
    </row>
    <row r="12" spans="1:6" ht="14.1" customHeight="1" x14ac:dyDescent="0.2">
      <c r="A12" s="237" t="s">
        <v>111</v>
      </c>
      <c r="B12" s="151">
        <v>29588</v>
      </c>
      <c r="C12" s="151">
        <v>27373</v>
      </c>
      <c r="D12" s="151">
        <v>159856</v>
      </c>
      <c r="E12" s="151">
        <f>Data!R12-SUM('- 59 -'!$B12:F12,B12:D12)</f>
        <v>153369</v>
      </c>
      <c r="F12" s="151">
        <f>SUM('- 59 -'!$B12:F12,B12:E12)</f>
        <v>3151050</v>
      </c>
    </row>
    <row r="13" spans="1:6" ht="14.1" customHeight="1" x14ac:dyDescent="0.2">
      <c r="A13" s="354" t="s">
        <v>112</v>
      </c>
      <c r="B13" s="352">
        <v>199002</v>
      </c>
      <c r="C13" s="352">
        <v>131971</v>
      </c>
      <c r="D13" s="352">
        <v>716624</v>
      </c>
      <c r="E13" s="352">
        <f>Data!R13-SUM('- 59 -'!$B13:F13,B13:D13)</f>
        <v>335250</v>
      </c>
      <c r="F13" s="352">
        <f>SUM('- 59 -'!$B13:F13,B13:E13)</f>
        <v>7411664</v>
      </c>
    </row>
    <row r="14" spans="1:6" ht="14.1" customHeight="1" x14ac:dyDescent="0.2">
      <c r="A14" s="237" t="s">
        <v>359</v>
      </c>
      <c r="B14" s="151">
        <v>1517666</v>
      </c>
      <c r="C14" s="151">
        <v>94461</v>
      </c>
      <c r="D14" s="151">
        <v>405560</v>
      </c>
      <c r="E14" s="151">
        <f>Data!R14-SUM('- 59 -'!$B14:F14,B14:D14)</f>
        <v>598342</v>
      </c>
      <c r="F14" s="151">
        <f>SUM('- 59 -'!$B14:F14,B14:E14)</f>
        <v>7992461</v>
      </c>
    </row>
    <row r="15" spans="1:6" ht="14.1" customHeight="1" x14ac:dyDescent="0.2">
      <c r="A15" s="354" t="s">
        <v>113</v>
      </c>
      <c r="B15" s="352">
        <v>6239</v>
      </c>
      <c r="C15" s="352">
        <v>14694</v>
      </c>
      <c r="D15" s="352">
        <v>111520</v>
      </c>
      <c r="E15" s="352">
        <f>Data!R15-SUM('- 59 -'!$B15:F15,B15:D15)</f>
        <v>169495</v>
      </c>
      <c r="F15" s="352">
        <f>SUM('- 59 -'!$B15:F15,B15:E15)</f>
        <v>2241513</v>
      </c>
    </row>
    <row r="16" spans="1:6" ht="14.1" customHeight="1" x14ac:dyDescent="0.2">
      <c r="A16" s="237" t="s">
        <v>114</v>
      </c>
      <c r="B16" s="151">
        <v>30437</v>
      </c>
      <c r="C16" s="151">
        <v>10370</v>
      </c>
      <c r="D16" s="151">
        <v>72808</v>
      </c>
      <c r="E16" s="151">
        <f>Data!R16-SUM('- 59 -'!$B16:F16,B16:D16)</f>
        <v>626339</v>
      </c>
      <c r="F16" s="151">
        <f>SUM('- 59 -'!$B16:F16,B16:E16)</f>
        <v>1437904</v>
      </c>
    </row>
    <row r="17" spans="1:6" ht="14.1" customHeight="1" x14ac:dyDescent="0.2">
      <c r="A17" s="354" t="s">
        <v>115</v>
      </c>
      <c r="B17" s="352">
        <v>1896</v>
      </c>
      <c r="C17" s="352">
        <v>20400</v>
      </c>
      <c r="D17" s="352">
        <v>102760</v>
      </c>
      <c r="E17" s="352">
        <f>Data!R17-SUM('- 59 -'!$B17:F17,B17:D17)</f>
        <v>176197</v>
      </c>
      <c r="F17" s="352">
        <f>SUM('- 59 -'!$B17:F17,B17:E17)</f>
        <v>1850114</v>
      </c>
    </row>
    <row r="18" spans="1:6" ht="14.1" customHeight="1" x14ac:dyDescent="0.2">
      <c r="A18" s="237" t="s">
        <v>116</v>
      </c>
      <c r="B18" s="151">
        <v>91</v>
      </c>
      <c r="C18" s="151">
        <v>42297</v>
      </c>
      <c r="D18" s="151">
        <v>186988</v>
      </c>
      <c r="E18" s="151">
        <f>Data!R18-SUM('- 59 -'!$B18:F18,B18:D18)</f>
        <v>2664699</v>
      </c>
      <c r="F18" s="151">
        <f>SUM('- 59 -'!$B18:F18,B18:E18)</f>
        <v>6998547</v>
      </c>
    </row>
    <row r="19" spans="1:6" ht="14.1" customHeight="1" x14ac:dyDescent="0.2">
      <c r="A19" s="354" t="s">
        <v>117</v>
      </c>
      <c r="B19" s="352">
        <v>4463</v>
      </c>
      <c r="C19" s="352">
        <v>58389</v>
      </c>
      <c r="D19" s="352">
        <v>336080</v>
      </c>
      <c r="E19" s="352">
        <f>Data!R19-SUM('- 59 -'!$B19:F19,B19:D19)</f>
        <v>216824</v>
      </c>
      <c r="F19" s="352">
        <f>SUM('- 59 -'!$B19:F19,B19:E19)</f>
        <v>5022108</v>
      </c>
    </row>
    <row r="20" spans="1:6" ht="14.1" customHeight="1" x14ac:dyDescent="0.2">
      <c r="A20" s="237" t="s">
        <v>118</v>
      </c>
      <c r="B20" s="151">
        <v>21087</v>
      </c>
      <c r="C20" s="151">
        <v>115669</v>
      </c>
      <c r="D20" s="151">
        <v>604792</v>
      </c>
      <c r="E20" s="151">
        <f>Data!R20-SUM('- 59 -'!$B20:F20,B20:D20)</f>
        <v>232555</v>
      </c>
      <c r="F20" s="151">
        <f>SUM('- 59 -'!$B20:F20,B20:E20)</f>
        <v>8397076</v>
      </c>
    </row>
    <row r="21" spans="1:6" ht="14.1" customHeight="1" x14ac:dyDescent="0.2">
      <c r="A21" s="354" t="s">
        <v>119</v>
      </c>
      <c r="B21" s="352">
        <v>65135</v>
      </c>
      <c r="C21" s="352">
        <v>39043</v>
      </c>
      <c r="D21" s="352">
        <v>214888</v>
      </c>
      <c r="E21" s="352">
        <f>Data!R21-SUM('- 59 -'!$B21:F21,B21:D21)</f>
        <v>315290</v>
      </c>
      <c r="F21" s="352">
        <f>SUM('- 59 -'!$B21:F21,B21:E21)</f>
        <v>3455570</v>
      </c>
    </row>
    <row r="22" spans="1:6" ht="14.1" customHeight="1" x14ac:dyDescent="0.2">
      <c r="A22" s="237" t="s">
        <v>120</v>
      </c>
      <c r="B22" s="151">
        <v>38094</v>
      </c>
      <c r="C22" s="151">
        <v>23205</v>
      </c>
      <c r="D22" s="151">
        <v>122584</v>
      </c>
      <c r="E22" s="151">
        <f>Data!R22-SUM('- 59 -'!$B22:F22,B22:D22)</f>
        <v>1044463</v>
      </c>
      <c r="F22" s="151">
        <f>SUM('- 59 -'!$B22:F22,B22:E22)</f>
        <v>2706739</v>
      </c>
    </row>
    <row r="23" spans="1:6" ht="14.1" customHeight="1" x14ac:dyDescent="0.2">
      <c r="A23" s="354" t="s">
        <v>121</v>
      </c>
      <c r="B23" s="352">
        <v>2207</v>
      </c>
      <c r="C23" s="352">
        <v>16179</v>
      </c>
      <c r="D23" s="352">
        <v>78880</v>
      </c>
      <c r="E23" s="352">
        <f>Data!R23-SUM('- 59 -'!$B23:F23,B23:D23)</f>
        <v>198427</v>
      </c>
      <c r="F23" s="352">
        <f>SUM('- 59 -'!$B23:F23,B23:E23)</f>
        <v>2047291</v>
      </c>
    </row>
    <row r="24" spans="1:6" ht="14.1" customHeight="1" x14ac:dyDescent="0.2">
      <c r="A24" s="237" t="s">
        <v>122</v>
      </c>
      <c r="B24" s="151">
        <v>99762</v>
      </c>
      <c r="C24" s="151">
        <v>49332</v>
      </c>
      <c r="D24" s="151">
        <v>371860</v>
      </c>
      <c r="E24" s="151">
        <f>Data!R24-SUM('- 59 -'!$B24:F24,B24:D24)</f>
        <v>224153</v>
      </c>
      <c r="F24" s="151">
        <f>SUM('- 59 -'!$B24:F24,B24:E24)</f>
        <v>5179799</v>
      </c>
    </row>
    <row r="25" spans="1:6" ht="14.1" customHeight="1" x14ac:dyDescent="0.2">
      <c r="A25" s="354" t="s">
        <v>123</v>
      </c>
      <c r="B25" s="352">
        <v>1235704</v>
      </c>
      <c r="C25" s="352">
        <v>193592</v>
      </c>
      <c r="D25" s="352">
        <v>1113200</v>
      </c>
      <c r="E25" s="352">
        <f>Data!R25-SUM('- 59 -'!$B25:F25,B25:D25)</f>
        <v>383720</v>
      </c>
      <c r="F25" s="352">
        <f>SUM('- 59 -'!$B25:F25,B25:E25)</f>
        <v>15885774</v>
      </c>
    </row>
    <row r="26" spans="1:6" ht="14.1" customHeight="1" x14ac:dyDescent="0.2">
      <c r="A26" s="237" t="s">
        <v>124</v>
      </c>
      <c r="B26" s="151">
        <v>62629</v>
      </c>
      <c r="C26" s="151">
        <v>36610</v>
      </c>
      <c r="D26" s="151">
        <v>297348</v>
      </c>
      <c r="E26" s="151">
        <f>Data!R26-SUM('- 59 -'!$B26:F26,B26:D26)</f>
        <v>144249</v>
      </c>
      <c r="F26" s="151">
        <f>SUM('- 59 -'!$B26:F26,B26:E26)</f>
        <v>3826330</v>
      </c>
    </row>
    <row r="27" spans="1:6" ht="14.1" customHeight="1" x14ac:dyDescent="0.2">
      <c r="A27" s="354" t="s">
        <v>125</v>
      </c>
      <c r="B27" s="352">
        <v>76064</v>
      </c>
      <c r="C27" s="352">
        <v>53557</v>
      </c>
      <c r="D27" s="352">
        <v>228616</v>
      </c>
      <c r="E27" s="352">
        <f>Data!R27-SUM('- 59 -'!$B27:F27,B27:D27)</f>
        <v>2112947</v>
      </c>
      <c r="F27" s="352">
        <f>SUM('- 59 -'!$B27:F27,B27:E27)</f>
        <v>5105844</v>
      </c>
    </row>
    <row r="28" spans="1:6" ht="14.1" customHeight="1" x14ac:dyDescent="0.2">
      <c r="A28" s="237" t="s">
        <v>126</v>
      </c>
      <c r="B28" s="151">
        <v>6220</v>
      </c>
      <c r="C28" s="151">
        <v>24542</v>
      </c>
      <c r="D28" s="151">
        <v>121392</v>
      </c>
      <c r="E28" s="151">
        <f>Data!R28-SUM('- 59 -'!$B28:F28,B28:D28)</f>
        <v>152111</v>
      </c>
      <c r="F28" s="151">
        <f>SUM('- 59 -'!$B28:F28,B28:E28)</f>
        <v>2322913</v>
      </c>
    </row>
    <row r="29" spans="1:6" ht="14.1" customHeight="1" x14ac:dyDescent="0.2">
      <c r="A29" s="354" t="s">
        <v>127</v>
      </c>
      <c r="B29" s="352">
        <v>679841</v>
      </c>
      <c r="C29" s="352">
        <v>152634</v>
      </c>
      <c r="D29" s="352">
        <v>1003608</v>
      </c>
      <c r="E29" s="352">
        <f>Data!R29-SUM('- 59 -'!$B29:F29,B29:D29)</f>
        <v>961002</v>
      </c>
      <c r="F29" s="352">
        <f>SUM('- 59 -'!$B29:F29,B29:E29)</f>
        <v>13002959</v>
      </c>
    </row>
    <row r="30" spans="1:6" ht="14.1" customHeight="1" x14ac:dyDescent="0.2">
      <c r="A30" s="237" t="s">
        <v>128</v>
      </c>
      <c r="B30" s="151">
        <v>2162</v>
      </c>
      <c r="C30" s="151">
        <v>10880</v>
      </c>
      <c r="D30" s="151">
        <v>80240</v>
      </c>
      <c r="E30" s="151">
        <f>Data!R30-SUM('- 59 -'!$B30:F30,B30:D30)</f>
        <v>242685</v>
      </c>
      <c r="F30" s="151">
        <f>SUM('- 59 -'!$B30:F30,B30:E30)</f>
        <v>1723703</v>
      </c>
    </row>
    <row r="31" spans="1:6" ht="14.1" customHeight="1" x14ac:dyDescent="0.2">
      <c r="A31" s="354" t="s">
        <v>129</v>
      </c>
      <c r="B31" s="352">
        <v>81330</v>
      </c>
      <c r="C31" s="352">
        <v>51955</v>
      </c>
      <c r="D31" s="352">
        <v>248720</v>
      </c>
      <c r="E31" s="352">
        <f>Data!R31-SUM('- 59 -'!$B31:F31,B31:D31)</f>
        <v>133937</v>
      </c>
      <c r="F31" s="352">
        <f>SUM('- 59 -'!$B31:F31,B31:E31)</f>
        <v>3748942</v>
      </c>
    </row>
    <row r="32" spans="1:6" ht="14.1" customHeight="1" x14ac:dyDescent="0.2">
      <c r="A32" s="237" t="s">
        <v>130</v>
      </c>
      <c r="B32" s="151">
        <v>46845</v>
      </c>
      <c r="C32" s="151">
        <v>34170</v>
      </c>
      <c r="D32" s="151">
        <v>168976</v>
      </c>
      <c r="E32" s="151">
        <f>Data!R32-SUM('- 59 -'!$B32:F32,B32:D32)</f>
        <v>346694</v>
      </c>
      <c r="F32" s="151">
        <f>SUM('- 59 -'!$B32:F32,B32:E32)</f>
        <v>3037102</v>
      </c>
    </row>
    <row r="33" spans="1:6" ht="14.1" customHeight="1" x14ac:dyDescent="0.2">
      <c r="A33" s="354" t="s">
        <v>131</v>
      </c>
      <c r="B33" s="352">
        <v>28467</v>
      </c>
      <c r="C33" s="352">
        <v>31634</v>
      </c>
      <c r="D33" s="352">
        <v>160048</v>
      </c>
      <c r="E33" s="352">
        <f>Data!R33-SUM('- 59 -'!$B33:F33,B33:D33)</f>
        <v>316000</v>
      </c>
      <c r="F33" s="352">
        <f>SUM('- 59 -'!$B33:F33,B33:E33)</f>
        <v>3084060</v>
      </c>
    </row>
    <row r="34" spans="1:6" ht="14.1" customHeight="1" x14ac:dyDescent="0.2">
      <c r="A34" s="237" t="s">
        <v>132</v>
      </c>
      <c r="B34" s="151">
        <v>94224</v>
      </c>
      <c r="C34" s="151">
        <v>34324</v>
      </c>
      <c r="D34" s="151">
        <v>158320</v>
      </c>
      <c r="E34" s="151">
        <f>Data!R34-SUM('- 59 -'!$B34:F34,B34:D34)</f>
        <v>320224</v>
      </c>
      <c r="F34" s="151">
        <f>SUM('- 59 -'!$B34:F34,B34:E34)</f>
        <v>3591807</v>
      </c>
    </row>
    <row r="35" spans="1:6" ht="14.1" customHeight="1" x14ac:dyDescent="0.2">
      <c r="A35" s="354" t="s">
        <v>133</v>
      </c>
      <c r="B35" s="352">
        <v>732464</v>
      </c>
      <c r="C35" s="352">
        <v>199210</v>
      </c>
      <c r="D35" s="352">
        <v>1353944</v>
      </c>
      <c r="E35" s="352">
        <f>Data!R35-SUM('- 59 -'!$B35:F35,B35:D35)</f>
        <v>556680</v>
      </c>
      <c r="F35" s="352">
        <f>SUM('- 59 -'!$B35:F35,B35:E35)</f>
        <v>16749945</v>
      </c>
    </row>
    <row r="36" spans="1:6" ht="14.1" customHeight="1" x14ac:dyDescent="0.2">
      <c r="A36" s="237" t="s">
        <v>134</v>
      </c>
      <c r="B36" s="151">
        <v>4326</v>
      </c>
      <c r="C36" s="151">
        <v>22042</v>
      </c>
      <c r="D36" s="151">
        <v>121840</v>
      </c>
      <c r="E36" s="151">
        <f>Data!R36-SUM('- 59 -'!$B36:F36,B36:D36)</f>
        <v>239636</v>
      </c>
      <c r="F36" s="151">
        <f>SUM('- 59 -'!$B36:F36,B36:E36)</f>
        <v>1956016</v>
      </c>
    </row>
    <row r="37" spans="1:6" ht="14.1" customHeight="1" x14ac:dyDescent="0.2">
      <c r="A37" s="354" t="s">
        <v>135</v>
      </c>
      <c r="B37" s="352">
        <v>336685</v>
      </c>
      <c r="C37" s="352">
        <v>65005</v>
      </c>
      <c r="D37" s="352">
        <v>328176</v>
      </c>
      <c r="E37" s="352">
        <f>Data!R37-SUM('- 59 -'!$B37:F37,B37:D37)</f>
        <v>245520</v>
      </c>
      <c r="F37" s="352">
        <f>SUM('- 59 -'!$B37:F37,B37:E37)</f>
        <v>5956954</v>
      </c>
    </row>
    <row r="38" spans="1:6" ht="14.1" customHeight="1" x14ac:dyDescent="0.2">
      <c r="A38" s="237" t="s">
        <v>136</v>
      </c>
      <c r="B38" s="151">
        <v>437044</v>
      </c>
      <c r="C38" s="151">
        <v>146652</v>
      </c>
      <c r="D38" s="151">
        <v>855544</v>
      </c>
      <c r="E38" s="151">
        <f>Data!R38-SUM('- 59 -'!$B38:F38,B38:D38)</f>
        <v>551887</v>
      </c>
      <c r="F38" s="151">
        <f>SUM('- 59 -'!$B38:F38,B38:E38)</f>
        <v>11140489</v>
      </c>
    </row>
    <row r="39" spans="1:6" ht="14.1" customHeight="1" x14ac:dyDescent="0.2">
      <c r="A39" s="354" t="s">
        <v>137</v>
      </c>
      <c r="B39" s="352">
        <v>2988</v>
      </c>
      <c r="C39" s="352">
        <v>21420</v>
      </c>
      <c r="D39" s="352">
        <v>123392</v>
      </c>
      <c r="E39" s="352">
        <f>Data!R39-SUM('- 59 -'!$B39:F39,B39:D39)</f>
        <v>161611</v>
      </c>
      <c r="F39" s="352">
        <f>SUM('- 59 -'!$B39:F39,B39:E39)</f>
        <v>2070984</v>
      </c>
    </row>
    <row r="40" spans="1:6" ht="14.1" customHeight="1" x14ac:dyDescent="0.2">
      <c r="A40" s="237" t="s">
        <v>138</v>
      </c>
      <c r="B40" s="151">
        <v>372743</v>
      </c>
      <c r="C40" s="151">
        <v>108004</v>
      </c>
      <c r="D40" s="151">
        <v>743652</v>
      </c>
      <c r="E40" s="151">
        <f>Data!R40-SUM('- 59 -'!$B40:F40,B40:D40)</f>
        <v>441196</v>
      </c>
      <c r="F40" s="151">
        <f>SUM('- 59 -'!$B40:F40,B40:E40)</f>
        <v>8819275</v>
      </c>
    </row>
    <row r="41" spans="1:6" ht="14.1" customHeight="1" x14ac:dyDescent="0.2">
      <c r="A41" s="354" t="s">
        <v>139</v>
      </c>
      <c r="B41" s="352">
        <v>165634</v>
      </c>
      <c r="C41" s="352">
        <v>62986</v>
      </c>
      <c r="D41" s="352">
        <v>346040</v>
      </c>
      <c r="E41" s="352">
        <f>Data!R41-SUM('- 59 -'!$B41:F41,B41:D41)</f>
        <v>322412</v>
      </c>
      <c r="F41" s="352">
        <f>SUM('- 59 -'!$B41:F41,B41:E41)</f>
        <v>6940658</v>
      </c>
    </row>
    <row r="42" spans="1:6" ht="14.1" customHeight="1" x14ac:dyDescent="0.2">
      <c r="A42" s="237" t="s">
        <v>140</v>
      </c>
      <c r="B42" s="151">
        <v>25582</v>
      </c>
      <c r="C42" s="151">
        <v>16859</v>
      </c>
      <c r="D42" s="151">
        <v>107976</v>
      </c>
      <c r="E42" s="151">
        <f>Data!R42-SUM('- 59 -'!$B42:F42,B42:D42)</f>
        <v>105897</v>
      </c>
      <c r="F42" s="151">
        <f>SUM('- 59 -'!$B42:F42,B42:E42)</f>
        <v>2361764</v>
      </c>
    </row>
    <row r="43" spans="1:6" ht="14.1" customHeight="1" x14ac:dyDescent="0.2">
      <c r="A43" s="354" t="s">
        <v>141</v>
      </c>
      <c r="B43" s="352">
        <v>448</v>
      </c>
      <c r="C43" s="352">
        <v>12070</v>
      </c>
      <c r="D43" s="352">
        <v>75696</v>
      </c>
      <c r="E43" s="352">
        <f>Data!R43-SUM('- 59 -'!$B43:F43,B43:D43)</f>
        <v>128340</v>
      </c>
      <c r="F43" s="352">
        <f>SUM('- 59 -'!$B43:F43,B43:E43)</f>
        <v>1315969</v>
      </c>
    </row>
    <row r="44" spans="1:6" ht="14.1" customHeight="1" x14ac:dyDescent="0.2">
      <c r="A44" s="237" t="s">
        <v>142</v>
      </c>
      <c r="B44" s="151">
        <v>8935</v>
      </c>
      <c r="C44" s="151">
        <v>9414</v>
      </c>
      <c r="D44" s="151">
        <v>54480</v>
      </c>
      <c r="E44" s="151">
        <f>Data!R44-SUM('- 59 -'!$B44:F44,B44:D44)</f>
        <v>151604</v>
      </c>
      <c r="F44" s="151">
        <f>SUM('- 59 -'!$B44:F44,B44:E44)</f>
        <v>1541385</v>
      </c>
    </row>
    <row r="45" spans="1:6" ht="14.1" customHeight="1" x14ac:dyDescent="0.2">
      <c r="A45" s="354" t="s">
        <v>143</v>
      </c>
      <c r="B45" s="352">
        <v>59937</v>
      </c>
      <c r="C45" s="352">
        <v>28030</v>
      </c>
      <c r="D45" s="352">
        <v>130904</v>
      </c>
      <c r="E45" s="352">
        <f>Data!R45-SUM('- 59 -'!$B45:F45,B45:D45)</f>
        <v>71078</v>
      </c>
      <c r="F45" s="352">
        <f>SUM('- 59 -'!$B45:F45,B45:E45)</f>
        <v>1648044</v>
      </c>
    </row>
    <row r="46" spans="1:6" ht="14.1" customHeight="1" x14ac:dyDescent="0.2">
      <c r="A46" s="237" t="s">
        <v>144</v>
      </c>
      <c r="B46" s="151">
        <v>944566</v>
      </c>
      <c r="C46" s="151">
        <v>498196</v>
      </c>
      <c r="D46" s="151">
        <v>2484888</v>
      </c>
      <c r="E46" s="151">
        <f>Data!R46-SUM('- 59 -'!$B46:F46,B46:D46)</f>
        <v>253231</v>
      </c>
      <c r="F46" s="151">
        <f>SUM('- 59 -'!$B46:F46,B46:E46)</f>
        <v>29247798</v>
      </c>
    </row>
    <row r="47" spans="1:6" ht="5.0999999999999996" customHeight="1" x14ac:dyDescent="0.2">
      <c r="A47" s="130"/>
      <c r="B47" s="152"/>
      <c r="C47" s="152"/>
      <c r="D47" s="152"/>
      <c r="E47" s="152"/>
      <c r="F47" s="152"/>
    </row>
    <row r="48" spans="1:6" ht="14.1" customHeight="1" x14ac:dyDescent="0.2">
      <c r="A48" s="355" t="s">
        <v>145</v>
      </c>
      <c r="B48" s="356">
        <f t="shared" ref="B48:D48" si="0">SUM(B11:B46)</f>
        <v>7423970</v>
      </c>
      <c r="C48" s="356">
        <f t="shared" si="0"/>
        <v>2479269</v>
      </c>
      <c r="D48" s="356">
        <f t="shared" si="0"/>
        <v>13927072</v>
      </c>
      <c r="E48" s="356">
        <f>SUM(E11:E46)</f>
        <v>15587946</v>
      </c>
      <c r="F48" s="356">
        <f>SUM(F11:F46)</f>
        <v>205152235</v>
      </c>
    </row>
    <row r="49" spans="1:6" ht="5.0999999999999996" customHeight="1" x14ac:dyDescent="0.2">
      <c r="A49" s="130" t="s">
        <v>7</v>
      </c>
      <c r="B49" s="152"/>
      <c r="C49" s="152"/>
      <c r="D49" s="152"/>
      <c r="E49" s="152"/>
      <c r="F49" s="152"/>
    </row>
    <row r="50" spans="1:6" ht="14.1" customHeight="1" x14ac:dyDescent="0.2">
      <c r="A50" s="237" t="s">
        <v>146</v>
      </c>
      <c r="B50" s="151">
        <v>502</v>
      </c>
      <c r="C50" s="151">
        <v>5530</v>
      </c>
      <c r="D50" s="151">
        <v>13520</v>
      </c>
      <c r="E50" s="151">
        <f>Data!R50-SUM('- 59 -'!$B50:F50,B50:D50)</f>
        <v>26718</v>
      </c>
      <c r="F50" s="151">
        <f>SUM('- 59 -'!$B50:F50,B50:E50)</f>
        <v>140075</v>
      </c>
    </row>
    <row r="51" spans="1:6" ht="14.1" customHeight="1" x14ac:dyDescent="0.2">
      <c r="A51" s="354" t="s">
        <v>609</v>
      </c>
      <c r="B51" s="352">
        <v>0</v>
      </c>
      <c r="C51" s="352">
        <v>0</v>
      </c>
      <c r="D51" s="352">
        <v>0</v>
      </c>
      <c r="E51" s="352">
        <f>Data!R51-SUM('- 59 -'!$B51:F51,B51:D51)</f>
        <v>0</v>
      </c>
      <c r="F51" s="352">
        <f>SUM('- 59 -'!$B51:F51,B51:E51)</f>
        <v>0</v>
      </c>
    </row>
    <row r="52" spans="1:6" ht="50.1" customHeight="1" x14ac:dyDescent="0.2">
      <c r="A52" s="23"/>
      <c r="B52" s="23"/>
      <c r="C52" s="23"/>
      <c r="D52" s="23"/>
      <c r="E52" s="23"/>
      <c r="F52" s="23"/>
    </row>
    <row r="53" spans="1:6" ht="15" customHeight="1" x14ac:dyDescent="0.2">
      <c r="A53" s="133" t="s">
        <v>389</v>
      </c>
      <c r="E53" s="38"/>
      <c r="F53" s="38"/>
    </row>
  </sheetData>
  <mergeCells count="7">
    <mergeCell ref="B4:F5"/>
    <mergeCell ref="B7:B9"/>
    <mergeCell ref="C7:C9"/>
    <mergeCell ref="D7:D9"/>
    <mergeCell ref="E8:E9"/>
    <mergeCell ref="F7:F9"/>
    <mergeCell ref="B6:F6"/>
  </mergeCells>
  <phoneticPr fontId="6" type="noConversion"/>
  <pageMargins left="0.5" right="0.5" top="0.6" bottom="0.2" header="0.3" footer="0.5"/>
  <pageSetup scale="91" orientation="portrait" r:id="rId1"/>
  <headerFooter alignWithMargins="0">
    <oddHeader>&amp;C&amp;"Arial,Regular"&amp;11&amp;A</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F59"/>
  <sheetViews>
    <sheetView showGridLines="0" showZeros="0" workbookViewId="0"/>
  </sheetViews>
  <sheetFormatPr defaultColWidth="23.83203125" defaultRowHeight="12" x14ac:dyDescent="0.2"/>
  <cols>
    <col min="1" max="1" width="30.1640625" style="2" customWidth="1"/>
    <col min="2" max="2" width="18" style="2" customWidth="1"/>
    <col min="3" max="3" width="18.6640625" style="2" customWidth="1"/>
    <col min="4" max="4" width="18.33203125" style="2" customWidth="1"/>
    <col min="5" max="5" width="18" style="2" customWidth="1"/>
    <col min="6" max="6" width="21.6640625" style="2" customWidth="1"/>
    <col min="7" max="16384" width="23.83203125" style="2"/>
  </cols>
  <sheetData>
    <row r="1" spans="1:6" ht="6.95" customHeight="1" x14ac:dyDescent="0.2">
      <c r="A1" s="7"/>
      <c r="B1" s="7"/>
      <c r="C1" s="7"/>
      <c r="D1" s="7"/>
      <c r="E1" s="7"/>
      <c r="F1" s="7"/>
    </row>
    <row r="2" spans="1:6" ht="15.95" customHeight="1" x14ac:dyDescent="0.2">
      <c r="A2" s="261"/>
      <c r="B2" s="204" t="str">
        <f>REVYEAR</f>
        <v>ANALYSIS OF OPERATING FUND REVENUE: 2016/2017 ACTUAL</v>
      </c>
      <c r="C2" s="204"/>
      <c r="D2" s="204"/>
      <c r="E2" s="262"/>
      <c r="F2" s="215" t="s">
        <v>102</v>
      </c>
    </row>
    <row r="3" spans="1:6" ht="15.95" customHeight="1" x14ac:dyDescent="0.2">
      <c r="A3" s="537"/>
      <c r="B3" s="263"/>
      <c r="C3" s="263"/>
      <c r="D3" s="263"/>
      <c r="E3" s="263"/>
      <c r="F3" s="263"/>
    </row>
    <row r="4" spans="1:6" ht="15.95" customHeight="1" x14ac:dyDescent="0.2"/>
    <row r="5" spans="1:6" ht="15.95" customHeight="1" x14ac:dyDescent="0.2">
      <c r="B5" s="789" t="s">
        <v>578</v>
      </c>
      <c r="C5" s="790"/>
      <c r="D5" s="790"/>
      <c r="E5" s="790"/>
      <c r="F5" s="791"/>
    </row>
    <row r="6" spans="1:6" ht="15.95" customHeight="1" x14ac:dyDescent="0.2">
      <c r="B6" s="792"/>
      <c r="C6" s="793"/>
      <c r="D6" s="793"/>
      <c r="E6" s="793"/>
      <c r="F6" s="794"/>
    </row>
    <row r="7" spans="1:6" ht="15.95" customHeight="1" x14ac:dyDescent="0.2">
      <c r="B7" s="220"/>
      <c r="C7" s="697" t="s">
        <v>589</v>
      </c>
      <c r="D7" s="220"/>
      <c r="E7" s="697" t="s">
        <v>591</v>
      </c>
      <c r="F7" s="697" t="s">
        <v>592</v>
      </c>
    </row>
    <row r="8" spans="1:6" ht="15.95" customHeight="1" x14ac:dyDescent="0.2">
      <c r="A8" s="33"/>
      <c r="B8" s="800" t="s">
        <v>588</v>
      </c>
      <c r="C8" s="800"/>
      <c r="D8" s="800" t="s">
        <v>590</v>
      </c>
      <c r="E8" s="800"/>
      <c r="F8" s="817"/>
    </row>
    <row r="9" spans="1:6" ht="15.95" customHeight="1" x14ac:dyDescent="0.2">
      <c r="A9" s="82" t="s">
        <v>42</v>
      </c>
      <c r="B9" s="801"/>
      <c r="C9" s="801"/>
      <c r="D9" s="801"/>
      <c r="E9" s="801"/>
      <c r="F9" s="698"/>
    </row>
    <row r="10" spans="1:6" ht="5.0999999999999996" customHeight="1" x14ac:dyDescent="0.2">
      <c r="A10" s="6"/>
      <c r="B10" s="7"/>
      <c r="C10" s="7"/>
      <c r="D10" s="7"/>
      <c r="E10" s="7"/>
      <c r="F10" s="7"/>
    </row>
    <row r="11" spans="1:6" ht="14.1" customHeight="1" x14ac:dyDescent="0.2">
      <c r="A11" s="354" t="s">
        <v>110</v>
      </c>
      <c r="B11" s="352">
        <v>2208188</v>
      </c>
      <c r="C11" s="352">
        <v>0</v>
      </c>
      <c r="D11" s="352">
        <v>0</v>
      </c>
      <c r="E11" s="352">
        <v>94700</v>
      </c>
      <c r="F11" s="352">
        <f>SUM('- 58 -'!$G11,'- 60 -'!$F11,B11:E11)+Data!Q11</f>
        <v>10052902</v>
      </c>
    </row>
    <row r="12" spans="1:6" ht="14.1" customHeight="1" x14ac:dyDescent="0.2">
      <c r="A12" s="237" t="s">
        <v>111</v>
      </c>
      <c r="B12" s="151">
        <v>4304524</v>
      </c>
      <c r="C12" s="151">
        <v>1575</v>
      </c>
      <c r="D12" s="151">
        <v>918569</v>
      </c>
      <c r="E12" s="151">
        <v>246242</v>
      </c>
      <c r="F12" s="151">
        <f>SUM('- 58 -'!$G12,'- 60 -'!$F12,B12:E12)+Data!Q12</f>
        <v>15436091</v>
      </c>
    </row>
    <row r="13" spans="1:6" ht="14.1" customHeight="1" x14ac:dyDescent="0.2">
      <c r="A13" s="354" t="s">
        <v>112</v>
      </c>
      <c r="B13" s="352">
        <v>15369596</v>
      </c>
      <c r="C13" s="352">
        <v>0</v>
      </c>
      <c r="D13" s="352">
        <v>0</v>
      </c>
      <c r="E13" s="352">
        <v>297995</v>
      </c>
      <c r="F13" s="352">
        <f>SUM('- 58 -'!$G13,'- 60 -'!$F13,B13:E13)+Data!Q13</f>
        <v>47820699</v>
      </c>
    </row>
    <row r="14" spans="1:6" ht="14.1" customHeight="1" x14ac:dyDescent="0.2">
      <c r="A14" s="237" t="s">
        <v>359</v>
      </c>
      <c r="B14" s="151">
        <v>9674036</v>
      </c>
      <c r="C14" s="151">
        <v>0</v>
      </c>
      <c r="D14" s="151">
        <v>0</v>
      </c>
      <c r="E14" s="151">
        <v>239640</v>
      </c>
      <c r="F14" s="151">
        <f>SUM('- 58 -'!$G14,'- 60 -'!$F14,B14:E14)+Data!Q14</f>
        <v>34541695</v>
      </c>
    </row>
    <row r="15" spans="1:6" ht="14.1" customHeight="1" x14ac:dyDescent="0.2">
      <c r="A15" s="354" t="s">
        <v>113</v>
      </c>
      <c r="B15" s="352">
        <v>0</v>
      </c>
      <c r="C15" s="352">
        <v>0</v>
      </c>
      <c r="D15" s="352">
        <v>1221175</v>
      </c>
      <c r="E15" s="352">
        <v>84080</v>
      </c>
      <c r="F15" s="352">
        <f>SUM('- 58 -'!$G15,'- 60 -'!$F15,B15:E15)+Data!Q15</f>
        <v>8297685</v>
      </c>
    </row>
    <row r="16" spans="1:6" ht="14.1" customHeight="1" x14ac:dyDescent="0.2">
      <c r="A16" s="237" t="s">
        <v>114</v>
      </c>
      <c r="B16" s="151">
        <v>3749224</v>
      </c>
      <c r="C16" s="151">
        <v>208582</v>
      </c>
      <c r="D16" s="151">
        <v>0</v>
      </c>
      <c r="E16" s="151">
        <v>66962</v>
      </c>
      <c r="F16" s="151">
        <f>SUM('- 58 -'!$G16,'- 60 -'!$F16,B16:E16)+Data!Q16</f>
        <v>8527752</v>
      </c>
    </row>
    <row r="17" spans="1:6" ht="14.1" customHeight="1" x14ac:dyDescent="0.2">
      <c r="A17" s="354" t="s">
        <v>115</v>
      </c>
      <c r="B17" s="352">
        <v>0</v>
      </c>
      <c r="C17" s="352">
        <v>0</v>
      </c>
      <c r="D17" s="352">
        <v>995070</v>
      </c>
      <c r="E17" s="352">
        <v>102886</v>
      </c>
      <c r="F17" s="352">
        <f>SUM('- 58 -'!$G17,'- 60 -'!$F17,B17:E17)+Data!Q17</f>
        <v>7458112</v>
      </c>
    </row>
    <row r="18" spans="1:6" ht="14.1" customHeight="1" x14ac:dyDescent="0.2">
      <c r="A18" s="237" t="s">
        <v>116</v>
      </c>
      <c r="B18" s="151">
        <v>13586128</v>
      </c>
      <c r="C18" s="151">
        <v>4758592</v>
      </c>
      <c r="D18" s="151">
        <v>0</v>
      </c>
      <c r="E18" s="151">
        <v>398385</v>
      </c>
      <c r="F18" s="151">
        <f>SUM('- 58 -'!$G18,'- 60 -'!$F18,B18:E18)+Data!Q18</f>
        <v>37457183</v>
      </c>
    </row>
    <row r="19" spans="1:6" ht="14.1" customHeight="1" x14ac:dyDescent="0.2">
      <c r="A19" s="354" t="s">
        <v>117</v>
      </c>
      <c r="B19" s="352">
        <v>10014535</v>
      </c>
      <c r="C19" s="352">
        <v>0</v>
      </c>
      <c r="D19" s="352">
        <v>0</v>
      </c>
      <c r="E19" s="352">
        <v>127359</v>
      </c>
      <c r="F19" s="352">
        <f>SUM('- 58 -'!$G19,'- 60 -'!$F19,B19:E19)+Data!Q19</f>
        <v>28034594</v>
      </c>
    </row>
    <row r="20" spans="1:6" ht="14.1" customHeight="1" x14ac:dyDescent="0.2">
      <c r="A20" s="237" t="s">
        <v>118</v>
      </c>
      <c r="B20" s="151">
        <v>18077593</v>
      </c>
      <c r="C20" s="151">
        <v>0</v>
      </c>
      <c r="D20" s="151">
        <v>0</v>
      </c>
      <c r="E20" s="151">
        <v>270006</v>
      </c>
      <c r="F20" s="151">
        <f>SUM('- 58 -'!$G20,'- 60 -'!$F20,B20:E20)+Data!Q20</f>
        <v>49551391</v>
      </c>
    </row>
    <row r="21" spans="1:6" ht="14.1" customHeight="1" x14ac:dyDescent="0.2">
      <c r="A21" s="354" t="s">
        <v>119</v>
      </c>
      <c r="B21" s="352">
        <v>3615742</v>
      </c>
      <c r="C21" s="352">
        <v>0</v>
      </c>
      <c r="D21" s="352">
        <v>932397</v>
      </c>
      <c r="E21" s="352">
        <v>161535</v>
      </c>
      <c r="F21" s="352">
        <f>SUM('- 58 -'!$G21,'- 60 -'!$F21,B21:E21)+Data!Q21</f>
        <v>17253399</v>
      </c>
    </row>
    <row r="22" spans="1:6" ht="14.1" customHeight="1" x14ac:dyDescent="0.2">
      <c r="A22" s="237" t="s">
        <v>120</v>
      </c>
      <c r="B22" s="151">
        <v>5034626</v>
      </c>
      <c r="C22" s="151">
        <v>970692</v>
      </c>
      <c r="D22" s="151">
        <v>10232</v>
      </c>
      <c r="E22" s="151">
        <v>92055</v>
      </c>
      <c r="F22" s="151">
        <f>SUM('- 58 -'!$G22,'- 60 -'!$F22,B22:E22)+Data!Q22</f>
        <v>13776702</v>
      </c>
    </row>
    <row r="23" spans="1:6" ht="14.1" customHeight="1" x14ac:dyDescent="0.2">
      <c r="A23" s="354" t="s">
        <v>121</v>
      </c>
      <c r="B23" s="352">
        <v>2814748</v>
      </c>
      <c r="C23" s="352">
        <v>419953</v>
      </c>
      <c r="D23" s="352">
        <v>580413</v>
      </c>
      <c r="E23" s="352">
        <v>101199</v>
      </c>
      <c r="F23" s="352">
        <f>SUM('- 58 -'!$G23,'- 60 -'!$F23,B23:E23)+Data!Q23</f>
        <v>9752037</v>
      </c>
    </row>
    <row r="24" spans="1:6" ht="14.1" customHeight="1" x14ac:dyDescent="0.2">
      <c r="A24" s="237" t="s">
        <v>122</v>
      </c>
      <c r="B24" s="151">
        <v>4305995</v>
      </c>
      <c r="C24" s="151">
        <v>0</v>
      </c>
      <c r="D24" s="151">
        <v>1684122</v>
      </c>
      <c r="E24" s="151">
        <v>259378</v>
      </c>
      <c r="F24" s="151">
        <f>SUM('- 58 -'!$G24,'- 60 -'!$F24,B24:E24)+Data!Q24</f>
        <v>24090699</v>
      </c>
    </row>
    <row r="25" spans="1:6" ht="14.1" customHeight="1" x14ac:dyDescent="0.2">
      <c r="A25" s="354" t="s">
        <v>123</v>
      </c>
      <c r="B25" s="352">
        <v>14770724</v>
      </c>
      <c r="C25" s="352">
        <v>0</v>
      </c>
      <c r="D25" s="352">
        <v>0</v>
      </c>
      <c r="E25" s="352">
        <v>601495</v>
      </c>
      <c r="F25" s="352">
        <f>SUM('- 58 -'!$G25,'- 60 -'!$F25,B25:E25)+Data!Q25</f>
        <v>74280814</v>
      </c>
    </row>
    <row r="26" spans="1:6" ht="14.1" customHeight="1" x14ac:dyDescent="0.2">
      <c r="A26" s="237" t="s">
        <v>124</v>
      </c>
      <c r="B26" s="151">
        <v>6575678</v>
      </c>
      <c r="C26" s="151">
        <v>719357</v>
      </c>
      <c r="D26" s="151">
        <v>292044</v>
      </c>
      <c r="E26" s="151">
        <v>324879</v>
      </c>
      <c r="F26" s="151">
        <f>SUM('- 58 -'!$G26,'- 60 -'!$F26,B26:E26)+Data!Q26</f>
        <v>22351193</v>
      </c>
    </row>
    <row r="27" spans="1:6" ht="14.1" customHeight="1" x14ac:dyDescent="0.2">
      <c r="A27" s="354" t="s">
        <v>125</v>
      </c>
      <c r="B27" s="352">
        <v>12479773</v>
      </c>
      <c r="C27" s="352">
        <v>3841201</v>
      </c>
      <c r="D27" s="352">
        <v>0</v>
      </c>
      <c r="E27" s="352">
        <v>125229</v>
      </c>
      <c r="F27" s="352">
        <f>SUM('- 58 -'!$G27,'- 60 -'!$F27,B27:E27)+Data!Q27</f>
        <v>30461503</v>
      </c>
    </row>
    <row r="28" spans="1:6" ht="14.1" customHeight="1" x14ac:dyDescent="0.2">
      <c r="A28" s="237" t="s">
        <v>126</v>
      </c>
      <c r="B28" s="151">
        <v>1143358</v>
      </c>
      <c r="C28" s="151">
        <v>0</v>
      </c>
      <c r="D28" s="151">
        <v>1351120</v>
      </c>
      <c r="E28" s="151">
        <v>137834</v>
      </c>
      <c r="F28" s="151">
        <f>SUM('- 58 -'!$G28,'- 60 -'!$F28,B28:E28)+Data!Q28</f>
        <v>10749517</v>
      </c>
    </row>
    <row r="29" spans="1:6" ht="14.1" customHeight="1" x14ac:dyDescent="0.2">
      <c r="A29" s="354" t="s">
        <v>127</v>
      </c>
      <c r="B29" s="352">
        <v>1791052</v>
      </c>
      <c r="C29" s="352">
        <v>0</v>
      </c>
      <c r="D29" s="352">
        <v>1241370</v>
      </c>
      <c r="E29" s="352">
        <v>424061</v>
      </c>
      <c r="F29" s="352">
        <f>SUM('- 58 -'!$G29,'- 60 -'!$F29,B29:E29)+Data!Q29</f>
        <v>54237622</v>
      </c>
    </row>
    <row r="30" spans="1:6" ht="14.1" customHeight="1" x14ac:dyDescent="0.2">
      <c r="A30" s="237" t="s">
        <v>128</v>
      </c>
      <c r="B30" s="151">
        <v>1501868</v>
      </c>
      <c r="C30" s="151">
        <v>0</v>
      </c>
      <c r="D30" s="151">
        <v>468211</v>
      </c>
      <c r="E30" s="151">
        <v>93520</v>
      </c>
      <c r="F30" s="151">
        <f>SUM('- 58 -'!$G30,'- 60 -'!$F30,B30:E30)+Data!Q30</f>
        <v>7577278</v>
      </c>
    </row>
    <row r="31" spans="1:6" ht="14.1" customHeight="1" x14ac:dyDescent="0.2">
      <c r="A31" s="354" t="s">
        <v>129</v>
      </c>
      <c r="B31" s="352">
        <v>4780248</v>
      </c>
      <c r="C31" s="352">
        <v>0</v>
      </c>
      <c r="D31" s="352">
        <v>198660</v>
      </c>
      <c r="E31" s="352">
        <v>174340</v>
      </c>
      <c r="F31" s="352">
        <f>SUM('- 58 -'!$G31,'- 60 -'!$F31,B31:E31)+Data!Q31</f>
        <v>19110330</v>
      </c>
    </row>
    <row r="32" spans="1:6" ht="14.1" customHeight="1" x14ac:dyDescent="0.2">
      <c r="A32" s="237" t="s">
        <v>130</v>
      </c>
      <c r="B32" s="151">
        <v>949752</v>
      </c>
      <c r="C32" s="151">
        <v>0</v>
      </c>
      <c r="D32" s="151">
        <v>1256251</v>
      </c>
      <c r="E32" s="151">
        <v>167235</v>
      </c>
      <c r="F32" s="151">
        <f>SUM('- 58 -'!$G32,'- 60 -'!$F32,B32:E32)+Data!Q32</f>
        <v>12928397</v>
      </c>
    </row>
    <row r="33" spans="1:6" ht="14.1" customHeight="1" x14ac:dyDescent="0.2">
      <c r="A33" s="354" t="s">
        <v>131</v>
      </c>
      <c r="B33" s="352">
        <v>735554</v>
      </c>
      <c r="C33" s="352">
        <v>0</v>
      </c>
      <c r="D33" s="352">
        <v>2335578</v>
      </c>
      <c r="E33" s="352">
        <v>193980</v>
      </c>
      <c r="F33" s="352">
        <f>SUM('- 58 -'!$G33,'- 60 -'!$F33,B33:E33)+Data!Q33</f>
        <v>14152801</v>
      </c>
    </row>
    <row r="34" spans="1:6" ht="14.1" customHeight="1" x14ac:dyDescent="0.2">
      <c r="A34" s="237" t="s">
        <v>132</v>
      </c>
      <c r="B34" s="151">
        <v>312533</v>
      </c>
      <c r="C34" s="151">
        <v>0</v>
      </c>
      <c r="D34" s="151">
        <v>1550440</v>
      </c>
      <c r="E34" s="151">
        <v>126140</v>
      </c>
      <c r="F34" s="151">
        <f>SUM('- 58 -'!$G34,'- 60 -'!$F34,B34:E34)+Data!Q34</f>
        <v>12584923</v>
      </c>
    </row>
    <row r="35" spans="1:6" ht="14.1" customHeight="1" x14ac:dyDescent="0.2">
      <c r="A35" s="354" t="s">
        <v>133</v>
      </c>
      <c r="B35" s="352">
        <v>23004550</v>
      </c>
      <c r="C35" s="352">
        <v>3036165</v>
      </c>
      <c r="D35" s="352">
        <v>0</v>
      </c>
      <c r="E35" s="352">
        <v>711404</v>
      </c>
      <c r="F35" s="352">
        <f>SUM('- 58 -'!$G35,'- 60 -'!$F35,B35:E35)+Data!Q35</f>
        <v>90611706</v>
      </c>
    </row>
    <row r="36" spans="1:6" ht="14.1" customHeight="1" x14ac:dyDescent="0.2">
      <c r="A36" s="237" t="s">
        <v>134</v>
      </c>
      <c r="B36" s="151">
        <v>371723</v>
      </c>
      <c r="C36" s="151">
        <v>0</v>
      </c>
      <c r="D36" s="151">
        <v>2060017</v>
      </c>
      <c r="E36" s="151">
        <v>132660</v>
      </c>
      <c r="F36" s="151">
        <f>SUM('- 58 -'!$G36,'- 60 -'!$F36,B36:E36)+Data!Q36</f>
        <v>10203026</v>
      </c>
    </row>
    <row r="37" spans="1:6" ht="14.1" customHeight="1" x14ac:dyDescent="0.2">
      <c r="A37" s="354" t="s">
        <v>135</v>
      </c>
      <c r="B37" s="352">
        <v>9350025</v>
      </c>
      <c r="C37" s="352">
        <v>0</v>
      </c>
      <c r="D37" s="352">
        <v>0</v>
      </c>
      <c r="E37" s="352">
        <v>149020</v>
      </c>
      <c r="F37" s="352">
        <f>SUM('- 58 -'!$G37,'- 60 -'!$F37,B37:E37)+Data!Q37</f>
        <v>28312341</v>
      </c>
    </row>
    <row r="38" spans="1:6" ht="14.1" customHeight="1" x14ac:dyDescent="0.2">
      <c r="A38" s="237" t="s">
        <v>136</v>
      </c>
      <c r="B38" s="151">
        <v>24627818</v>
      </c>
      <c r="C38" s="151">
        <v>4111702</v>
      </c>
      <c r="D38" s="151">
        <v>0</v>
      </c>
      <c r="E38" s="151">
        <v>335440</v>
      </c>
      <c r="F38" s="151">
        <f>SUM('- 58 -'!$G38,'- 60 -'!$F38,B38:E38)+Data!Q38</f>
        <v>72022913</v>
      </c>
    </row>
    <row r="39" spans="1:6" ht="14.1" customHeight="1" x14ac:dyDescent="0.2">
      <c r="A39" s="354" t="s">
        <v>137</v>
      </c>
      <c r="B39" s="352">
        <v>0</v>
      </c>
      <c r="C39" s="352">
        <v>0</v>
      </c>
      <c r="D39" s="352">
        <v>1424231</v>
      </c>
      <c r="E39" s="352">
        <v>109440</v>
      </c>
      <c r="F39" s="352">
        <f>SUM('- 58 -'!$G39,'- 60 -'!$F39,B39:E39)+Data!Q39</f>
        <v>9175589</v>
      </c>
    </row>
    <row r="40" spans="1:6" ht="14.1" customHeight="1" x14ac:dyDescent="0.2">
      <c r="A40" s="237" t="s">
        <v>138</v>
      </c>
      <c r="B40" s="151">
        <v>2380977</v>
      </c>
      <c r="C40" s="151">
        <v>0</v>
      </c>
      <c r="D40" s="151">
        <v>2584378</v>
      </c>
      <c r="E40" s="151">
        <v>489120</v>
      </c>
      <c r="F40" s="151">
        <f>SUM('- 58 -'!$G40,'- 60 -'!$F40,B40:E40)+Data!Q40</f>
        <v>38986110</v>
      </c>
    </row>
    <row r="41" spans="1:6" ht="14.1" customHeight="1" x14ac:dyDescent="0.2">
      <c r="A41" s="354" t="s">
        <v>139</v>
      </c>
      <c r="B41" s="352">
        <v>3537794</v>
      </c>
      <c r="C41" s="352">
        <v>0</v>
      </c>
      <c r="D41" s="352">
        <v>1116881</v>
      </c>
      <c r="E41" s="352">
        <v>221238</v>
      </c>
      <c r="F41" s="352">
        <f>SUM('- 58 -'!$G41,'- 60 -'!$F41,B41:E41)+Data!Q41</f>
        <v>25683160</v>
      </c>
    </row>
    <row r="42" spans="1:6" ht="14.1" customHeight="1" x14ac:dyDescent="0.2">
      <c r="A42" s="237" t="s">
        <v>140</v>
      </c>
      <c r="B42" s="151">
        <v>2837497</v>
      </c>
      <c r="C42" s="151">
        <v>557431</v>
      </c>
      <c r="D42" s="151">
        <v>971245</v>
      </c>
      <c r="E42" s="151">
        <v>145560</v>
      </c>
      <c r="F42" s="151">
        <f>SUM('- 58 -'!$G42,'- 60 -'!$F42,B42:E42)+Data!Q42</f>
        <v>11777474</v>
      </c>
    </row>
    <row r="43" spans="1:6" ht="14.1" customHeight="1" x14ac:dyDescent="0.2">
      <c r="A43" s="354" t="s">
        <v>141</v>
      </c>
      <c r="B43" s="352">
        <v>177610</v>
      </c>
      <c r="C43" s="352">
        <v>0</v>
      </c>
      <c r="D43" s="352">
        <v>1148014</v>
      </c>
      <c r="E43" s="352">
        <v>75930</v>
      </c>
      <c r="F43" s="352">
        <f>SUM('- 58 -'!$G43,'- 60 -'!$F43,B43:E43)+Data!Q43</f>
        <v>6080157</v>
      </c>
    </row>
    <row r="44" spans="1:6" ht="14.1" customHeight="1" x14ac:dyDescent="0.2">
      <c r="A44" s="237" t="s">
        <v>142</v>
      </c>
      <c r="B44" s="151">
        <v>2433394</v>
      </c>
      <c r="C44" s="151">
        <v>434059</v>
      </c>
      <c r="D44" s="151">
        <v>119246</v>
      </c>
      <c r="E44" s="151">
        <v>67780</v>
      </c>
      <c r="F44" s="151">
        <f>SUM('- 58 -'!$G44,'- 60 -'!$F44,B44:E44)+Data!Q44</f>
        <v>7401139</v>
      </c>
    </row>
    <row r="45" spans="1:6" ht="14.1" customHeight="1" x14ac:dyDescent="0.2">
      <c r="A45" s="354" t="s">
        <v>143</v>
      </c>
      <c r="B45" s="352">
        <v>3454736</v>
      </c>
      <c r="C45" s="352">
        <v>0</v>
      </c>
      <c r="D45" s="352">
        <v>0</v>
      </c>
      <c r="E45" s="352">
        <v>54962</v>
      </c>
      <c r="F45" s="352">
        <f>SUM('- 58 -'!$G45,'- 60 -'!$F45,B45:E45)+Data!Q45</f>
        <v>10034934</v>
      </c>
    </row>
    <row r="46" spans="1:6" ht="14.1" customHeight="1" x14ac:dyDescent="0.2">
      <c r="A46" s="237" t="s">
        <v>144</v>
      </c>
      <c r="B46" s="151">
        <v>50144646</v>
      </c>
      <c r="C46" s="151">
        <v>4863665</v>
      </c>
      <c r="D46" s="151">
        <v>0</v>
      </c>
      <c r="E46" s="151">
        <v>1360740</v>
      </c>
      <c r="F46" s="151">
        <f>SUM('- 58 -'!$G46,'- 60 -'!$F46,B46:E46)+Data!Q46</f>
        <v>184150494</v>
      </c>
    </row>
    <row r="47" spans="1:6" ht="5.0999999999999996" customHeight="1" x14ac:dyDescent="0.2">
      <c r="A47" s="130"/>
      <c r="B47" s="152"/>
      <c r="C47" s="152"/>
      <c r="D47" s="152"/>
      <c r="E47" s="152"/>
      <c r="F47" s="152"/>
    </row>
    <row r="48" spans="1:6" ht="14.1" customHeight="1" x14ac:dyDescent="0.2">
      <c r="A48" s="355" t="s">
        <v>145</v>
      </c>
      <c r="B48" s="356">
        <f t="shared" ref="B48:C48" si="0">SUM(B11:B46)</f>
        <v>260116245</v>
      </c>
      <c r="C48" s="356">
        <f t="shared" si="0"/>
        <v>23922974</v>
      </c>
      <c r="D48" s="356">
        <f t="shared" ref="D48:E48" si="1">SUM(D11:D46)</f>
        <v>24459664</v>
      </c>
      <c r="E48" s="356">
        <f t="shared" si="1"/>
        <v>8764429</v>
      </c>
      <c r="F48" s="356">
        <f>SUM(F11:F46)</f>
        <v>1064924362</v>
      </c>
    </row>
    <row r="49" spans="1:6" ht="5.0999999999999996" customHeight="1" x14ac:dyDescent="0.2">
      <c r="A49" s="130" t="s">
        <v>7</v>
      </c>
      <c r="B49" s="152"/>
      <c r="C49" s="152"/>
      <c r="D49" s="152"/>
      <c r="E49" s="152"/>
      <c r="F49" s="152"/>
    </row>
    <row r="50" spans="1:6" ht="14.1" customHeight="1" x14ac:dyDescent="0.2">
      <c r="A50" s="237" t="s">
        <v>146</v>
      </c>
      <c r="B50" s="151">
        <v>0</v>
      </c>
      <c r="C50" s="151">
        <v>0</v>
      </c>
      <c r="D50" s="151">
        <v>205893</v>
      </c>
      <c r="E50" s="151">
        <v>-11320</v>
      </c>
      <c r="F50" s="151">
        <f>SUM('- 58 -'!$G50,'- 60 -'!$F50,B50:E50)+Data!Q50</f>
        <v>934182</v>
      </c>
    </row>
    <row r="51" spans="1:6" ht="14.1" customHeight="1" x14ac:dyDescent="0.2">
      <c r="A51" s="354" t="s">
        <v>609</v>
      </c>
      <c r="B51" s="352">
        <v>0</v>
      </c>
      <c r="C51" s="352">
        <v>0</v>
      </c>
      <c r="D51" s="352">
        <v>0</v>
      </c>
      <c r="E51" s="352">
        <v>0</v>
      </c>
      <c r="F51" s="352">
        <f>SUM('- 58 -'!$G51,'- 60 -'!$F51,B51:E51)+Data!Q51</f>
        <v>0</v>
      </c>
    </row>
    <row r="52" spans="1:6" ht="50.1" customHeight="1" x14ac:dyDescent="0.2">
      <c r="A52" s="23"/>
      <c r="B52" s="23"/>
      <c r="C52" s="23"/>
      <c r="D52" s="23"/>
      <c r="E52" s="23"/>
      <c r="F52" s="23"/>
    </row>
    <row r="53" spans="1:6" ht="15" customHeight="1" x14ac:dyDescent="0.2">
      <c r="A53" s="816" t="s">
        <v>594</v>
      </c>
      <c r="B53" s="816"/>
      <c r="C53" s="816"/>
      <c r="D53" s="816"/>
      <c r="E53" s="816"/>
      <c r="F53" s="816"/>
    </row>
    <row r="54" spans="1:6" ht="12" customHeight="1" x14ac:dyDescent="0.2">
      <c r="A54" s="815"/>
      <c r="B54" s="815"/>
      <c r="C54" s="815"/>
      <c r="D54" s="815"/>
      <c r="E54" s="815"/>
      <c r="F54" s="815"/>
    </row>
    <row r="55" spans="1:6" x14ac:dyDescent="0.2">
      <c r="A55" s="815" t="s">
        <v>593</v>
      </c>
      <c r="B55" s="815"/>
      <c r="C55" s="815"/>
      <c r="D55" s="815"/>
      <c r="E55" s="815"/>
      <c r="F55" s="815"/>
    </row>
    <row r="56" spans="1:6" x14ac:dyDescent="0.2">
      <c r="A56" s="815"/>
      <c r="B56" s="815"/>
      <c r="C56" s="815"/>
      <c r="D56" s="815"/>
      <c r="E56" s="815"/>
      <c r="F56" s="815"/>
    </row>
    <row r="57" spans="1:6" x14ac:dyDescent="0.2">
      <c r="A57" s="527" t="str">
        <f>"(3)  Formula Guarantee is provided to ensure that every school division receives at least the same level of funding as provided in "&amp;PrevY&amp;"."</f>
        <v>(3)  Formula Guarantee is provided to ensure that every school division receives at least the same level of funding as provided in 2015/16.</v>
      </c>
    </row>
    <row r="58" spans="1:6" x14ac:dyDescent="0.2">
      <c r="A58" s="24" t="s">
        <v>385</v>
      </c>
    </row>
    <row r="59" spans="1:6" x14ac:dyDescent="0.2">
      <c r="A59" s="2" t="s">
        <v>386</v>
      </c>
    </row>
  </sheetData>
  <mergeCells count="8">
    <mergeCell ref="A55:F56"/>
    <mergeCell ref="A53:F54"/>
    <mergeCell ref="B5:F6"/>
    <mergeCell ref="B8:B9"/>
    <mergeCell ref="C7:C9"/>
    <mergeCell ref="D8:D9"/>
    <mergeCell ref="E7:E9"/>
    <mergeCell ref="F7:F9"/>
  </mergeCells>
  <phoneticPr fontId="6" type="noConversion"/>
  <pageMargins left="0.5" right="0.5" top="0.6" bottom="0.2" header="0.3" footer="0.5"/>
  <pageSetup scale="91" orientation="portrait" r:id="rId1"/>
  <headerFooter alignWithMargins="0">
    <oddHeader>&amp;C&amp;"Arial,Regular"&amp;11&amp;A</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
    <pageSetUpPr fitToPage="1"/>
  </sheetPr>
  <dimension ref="A1:I64"/>
  <sheetViews>
    <sheetView showGridLines="0" showZeros="0" workbookViewId="0"/>
  </sheetViews>
  <sheetFormatPr defaultColWidth="14.83203125" defaultRowHeight="12" x14ac:dyDescent="0.2"/>
  <cols>
    <col min="1" max="1" width="27.83203125" style="2" customWidth="1"/>
    <col min="2" max="2" width="20" style="2" customWidth="1"/>
    <col min="3" max="3" width="22.83203125" style="2" customWidth="1"/>
    <col min="4" max="4" width="23.6640625" style="2" customWidth="1"/>
    <col min="5" max="5" width="14.83203125" style="2" hidden="1" customWidth="1"/>
    <col min="6" max="6" width="34" style="2" customWidth="1"/>
    <col min="7" max="16384" width="14.83203125" style="2"/>
  </cols>
  <sheetData>
    <row r="1" spans="1:9" ht="6.95" customHeight="1" x14ac:dyDescent="0.2">
      <c r="A1" s="7"/>
      <c r="B1" s="8"/>
    </row>
    <row r="2" spans="1:9" ht="18" customHeight="1" x14ac:dyDescent="0.2">
      <c r="A2" s="251"/>
      <c r="B2" s="577"/>
      <c r="C2" s="577" t="s">
        <v>280</v>
      </c>
      <c r="D2" s="482" t="str">
        <f>Data!B5&amp; " ACTUAL"</f>
        <v>2016/17 ACTUAL</v>
      </c>
      <c r="F2" s="386" t="s">
        <v>11</v>
      </c>
    </row>
    <row r="3" spans="1:9" ht="3.95" customHeight="1" x14ac:dyDescent="0.2">
      <c r="A3" s="536"/>
      <c r="B3" s="253"/>
      <c r="C3" s="253"/>
      <c r="D3" s="258"/>
    </row>
    <row r="4" spans="1:9" ht="14.1" customHeight="1" x14ac:dyDescent="0.2">
      <c r="A4" s="259"/>
      <c r="B4" s="820" t="s">
        <v>250</v>
      </c>
      <c r="C4" s="821"/>
      <c r="D4" s="822"/>
    </row>
    <row r="5" spans="1:9" ht="12.95" customHeight="1" x14ac:dyDescent="0.2">
      <c r="A5" s="260"/>
      <c r="B5" s="257"/>
      <c r="C5" s="726" t="s">
        <v>622</v>
      </c>
      <c r="D5" s="257"/>
    </row>
    <row r="6" spans="1:9" ht="12.95" customHeight="1" x14ac:dyDescent="0.2">
      <c r="A6" s="255"/>
      <c r="B6" s="257"/>
      <c r="C6" s="809"/>
      <c r="D6" s="257"/>
    </row>
    <row r="7" spans="1:9" ht="12.95" customHeight="1" x14ac:dyDescent="0.2">
      <c r="A7" s="255"/>
      <c r="B7" s="257"/>
      <c r="C7" s="809"/>
      <c r="D7" s="257"/>
    </row>
    <row r="8" spans="1:9" ht="12.95" customHeight="1" x14ac:dyDescent="0.2">
      <c r="A8" s="255"/>
      <c r="B8" s="257"/>
      <c r="C8" s="809"/>
      <c r="D8" s="257"/>
    </row>
    <row r="9" spans="1:9" ht="12.95" customHeight="1" x14ac:dyDescent="0.2">
      <c r="A9" s="255"/>
      <c r="B9" s="809" t="s">
        <v>621</v>
      </c>
      <c r="C9" s="809"/>
      <c r="D9" s="809" t="s">
        <v>623</v>
      </c>
    </row>
    <row r="10" spans="1:9" ht="12.95" customHeight="1" x14ac:dyDescent="0.2">
      <c r="A10" s="16"/>
      <c r="B10" s="809"/>
      <c r="C10" s="809"/>
      <c r="D10" s="809"/>
    </row>
    <row r="11" spans="1:9" ht="12.95" customHeight="1" x14ac:dyDescent="0.2">
      <c r="A11" s="17" t="s">
        <v>42</v>
      </c>
      <c r="B11" s="810"/>
      <c r="C11" s="810"/>
      <c r="D11" s="810"/>
      <c r="I11" s="510" t="str">
        <f>IF(SUM(I13:I53)&lt;&gt;0,"Check","")</f>
        <v/>
      </c>
    </row>
    <row r="12" spans="1:9" ht="5.0999999999999996" customHeight="1" x14ac:dyDescent="0.2">
      <c r="A12" s="18"/>
    </row>
    <row r="13" spans="1:9" ht="13.5" customHeight="1" x14ac:dyDescent="0.2">
      <c r="A13" s="354" t="s">
        <v>110</v>
      </c>
      <c r="B13" s="352">
        <v>608068</v>
      </c>
      <c r="C13" s="352">
        <f>-Data!L11-Data!M11-Data!N11-Data!O11</f>
        <v>-24507</v>
      </c>
      <c r="D13" s="352">
        <f>SUM(B13:C13)</f>
        <v>583561</v>
      </c>
      <c r="E13" s="352">
        <v>583561</v>
      </c>
      <c r="I13" s="510">
        <f t="shared" ref="I13:I48" si="0">D13-E13</f>
        <v>0</v>
      </c>
    </row>
    <row r="14" spans="1:9" ht="13.5" customHeight="1" x14ac:dyDescent="0.2">
      <c r="A14" s="237" t="s">
        <v>111</v>
      </c>
      <c r="B14" s="151">
        <v>1208956</v>
      </c>
      <c r="C14" s="151">
        <f>-Data!L12-Data!M12-Data!N12-Data!O12</f>
        <v>-37027</v>
      </c>
      <c r="D14" s="151">
        <f>SUM(B14:C14)</f>
        <v>1171929</v>
      </c>
      <c r="E14" s="151">
        <v>1171929</v>
      </c>
      <c r="I14" s="510">
        <f t="shared" si="0"/>
        <v>0</v>
      </c>
    </row>
    <row r="15" spans="1:9" ht="13.5" customHeight="1" x14ac:dyDescent="0.2">
      <c r="A15" s="354" t="s">
        <v>112</v>
      </c>
      <c r="B15" s="352">
        <v>3167648</v>
      </c>
      <c r="C15" s="352">
        <f>-Data!L13-Data!M13-Data!N13-Data!O13</f>
        <v>-81573</v>
      </c>
      <c r="D15" s="352">
        <f>SUM(B15:C15)</f>
        <v>3086075</v>
      </c>
      <c r="E15" s="352">
        <v>3086075</v>
      </c>
      <c r="I15" s="510">
        <f t="shared" si="0"/>
        <v>0</v>
      </c>
    </row>
    <row r="16" spans="1:9" ht="13.5" customHeight="1" x14ac:dyDescent="0.2">
      <c r="A16" s="237" t="s">
        <v>359</v>
      </c>
      <c r="B16" s="151"/>
      <c r="C16" s="151"/>
      <c r="D16" s="151"/>
      <c r="E16" s="151"/>
      <c r="I16" s="510">
        <f t="shared" si="0"/>
        <v>0</v>
      </c>
    </row>
    <row r="17" spans="1:9" ht="13.5" customHeight="1" x14ac:dyDescent="0.2">
      <c r="A17" s="354" t="s">
        <v>113</v>
      </c>
      <c r="B17" s="352">
        <v>805704</v>
      </c>
      <c r="C17" s="352">
        <f>-Data!L15-Data!M15-Data!N15-Data!O15</f>
        <v>-25771</v>
      </c>
      <c r="D17" s="352">
        <f>SUM(B17:C17)</f>
        <v>779933</v>
      </c>
      <c r="E17" s="352">
        <v>779933</v>
      </c>
      <c r="I17" s="510">
        <f t="shared" si="0"/>
        <v>0</v>
      </c>
    </row>
    <row r="18" spans="1:9" ht="13.5" customHeight="1" x14ac:dyDescent="0.2">
      <c r="A18" s="237" t="s">
        <v>114</v>
      </c>
      <c r="B18" s="151">
        <v>726774</v>
      </c>
      <c r="C18" s="151">
        <f>-Data!L16-Data!M16-Data!N16-Data!O16</f>
        <v>-22734</v>
      </c>
      <c r="D18" s="151">
        <f>SUM(B18:C18)</f>
        <v>704040</v>
      </c>
      <c r="E18" s="151">
        <v>704040</v>
      </c>
      <c r="I18" s="510">
        <f t="shared" si="0"/>
        <v>0</v>
      </c>
    </row>
    <row r="19" spans="1:9" ht="13.5" customHeight="1" x14ac:dyDescent="0.2">
      <c r="A19" s="354" t="s">
        <v>115</v>
      </c>
      <c r="B19" s="352">
        <v>750928</v>
      </c>
      <c r="C19" s="352">
        <f>-Data!L17-Data!M17-Data!N17-Data!O17</f>
        <v>-29495</v>
      </c>
      <c r="D19" s="352">
        <f>SUM(B19:C19)</f>
        <v>721433</v>
      </c>
      <c r="E19" s="352">
        <v>721433</v>
      </c>
      <c r="I19" s="510">
        <f t="shared" si="0"/>
        <v>0</v>
      </c>
    </row>
    <row r="20" spans="1:9" ht="13.5" customHeight="1" x14ac:dyDescent="0.2">
      <c r="A20" s="237" t="s">
        <v>116</v>
      </c>
      <c r="B20" s="151"/>
      <c r="C20" s="151"/>
      <c r="D20" s="151"/>
      <c r="E20" s="151"/>
      <c r="I20" s="510">
        <f t="shared" si="0"/>
        <v>0</v>
      </c>
    </row>
    <row r="21" spans="1:9" ht="13.5" customHeight="1" x14ac:dyDescent="0.2">
      <c r="A21" s="354" t="s">
        <v>117</v>
      </c>
      <c r="B21" s="352">
        <v>1343484</v>
      </c>
      <c r="C21" s="352">
        <f>-Data!L19-Data!M19-Data!N19-Data!O19</f>
        <v>-38358</v>
      </c>
      <c r="D21" s="352">
        <f t="shared" ref="D21:D48" si="1">SUM(B21:C21)</f>
        <v>1305126</v>
      </c>
      <c r="E21" s="352">
        <v>1305126</v>
      </c>
      <c r="I21" s="510">
        <f t="shared" si="0"/>
        <v>0</v>
      </c>
    </row>
    <row r="22" spans="1:9" ht="13.5" customHeight="1" x14ac:dyDescent="0.2">
      <c r="A22" s="237" t="s">
        <v>118</v>
      </c>
      <c r="B22" s="151">
        <v>2216219</v>
      </c>
      <c r="C22" s="151">
        <f>-Data!L20-Data!M20-Data!N20-Data!O20</f>
        <v>-71287</v>
      </c>
      <c r="D22" s="151">
        <f t="shared" si="1"/>
        <v>2144932</v>
      </c>
      <c r="E22" s="151">
        <v>2144932</v>
      </c>
      <c r="I22" s="510">
        <f t="shared" si="0"/>
        <v>0</v>
      </c>
    </row>
    <row r="23" spans="1:9" ht="13.5" customHeight="1" x14ac:dyDescent="0.2">
      <c r="A23" s="354" t="s">
        <v>119</v>
      </c>
      <c r="B23" s="352">
        <v>1348764</v>
      </c>
      <c r="C23" s="352">
        <f>-Data!L21-Data!M21-Data!N21-Data!O21</f>
        <v>-41842</v>
      </c>
      <c r="D23" s="352">
        <f t="shared" si="1"/>
        <v>1306922</v>
      </c>
      <c r="E23" s="352">
        <v>1306922</v>
      </c>
      <c r="I23" s="510">
        <f t="shared" si="0"/>
        <v>0</v>
      </c>
    </row>
    <row r="24" spans="1:9" ht="13.5" customHeight="1" x14ac:dyDescent="0.2">
      <c r="A24" s="237" t="s">
        <v>120</v>
      </c>
      <c r="B24" s="151">
        <v>793501</v>
      </c>
      <c r="C24" s="151">
        <f>-Data!L22-Data!M22</f>
        <v>-30261</v>
      </c>
      <c r="D24" s="151">
        <f t="shared" si="1"/>
        <v>763240</v>
      </c>
      <c r="E24" s="151">
        <v>763240</v>
      </c>
      <c r="I24" s="510">
        <f t="shared" si="0"/>
        <v>0</v>
      </c>
    </row>
    <row r="25" spans="1:9" ht="13.5" customHeight="1" x14ac:dyDescent="0.2">
      <c r="A25" s="354" t="s">
        <v>121</v>
      </c>
      <c r="B25" s="352">
        <v>698976</v>
      </c>
      <c r="C25" s="352">
        <f>-Data!L23-Data!M23-Data!N23-Data!O23</f>
        <v>-26830</v>
      </c>
      <c r="D25" s="352">
        <f t="shared" si="1"/>
        <v>672146</v>
      </c>
      <c r="E25" s="352">
        <v>672146</v>
      </c>
      <c r="I25" s="510">
        <f t="shared" si="0"/>
        <v>0</v>
      </c>
    </row>
    <row r="26" spans="1:9" ht="13.5" customHeight="1" x14ac:dyDescent="0.2">
      <c r="A26" s="237" t="s">
        <v>122</v>
      </c>
      <c r="B26" s="151">
        <v>1990092</v>
      </c>
      <c r="C26" s="151">
        <f>-Data!L24-Data!M24-Data!N24-Data!O24</f>
        <v>-51937</v>
      </c>
      <c r="D26" s="151">
        <f t="shared" si="1"/>
        <v>1938155</v>
      </c>
      <c r="E26" s="151">
        <v>1938155</v>
      </c>
      <c r="I26" s="510">
        <f t="shared" si="0"/>
        <v>0</v>
      </c>
    </row>
    <row r="27" spans="1:9" ht="13.5" customHeight="1" x14ac:dyDescent="0.2">
      <c r="A27" s="354" t="s">
        <v>123</v>
      </c>
      <c r="B27" s="352">
        <v>5949315</v>
      </c>
      <c r="C27" s="352">
        <f>-Data!L25-Data!M25-Data!N25-Data!O25</f>
        <v>-557092</v>
      </c>
      <c r="D27" s="352">
        <f t="shared" si="1"/>
        <v>5392223</v>
      </c>
      <c r="E27" s="352">
        <v>5392223</v>
      </c>
      <c r="I27" s="510">
        <f t="shared" si="0"/>
        <v>0</v>
      </c>
    </row>
    <row r="28" spans="1:9" ht="13.5" customHeight="1" x14ac:dyDescent="0.2">
      <c r="A28" s="237" t="s">
        <v>124</v>
      </c>
      <c r="B28" s="151">
        <v>1423221</v>
      </c>
      <c r="C28" s="151">
        <f>-Data!L26-Data!M26-Data!N26-Data!O26</f>
        <v>-24423</v>
      </c>
      <c r="D28" s="151">
        <f t="shared" si="1"/>
        <v>1398798</v>
      </c>
      <c r="E28" s="151">
        <v>1398798</v>
      </c>
      <c r="I28" s="510">
        <f t="shared" si="0"/>
        <v>0</v>
      </c>
    </row>
    <row r="29" spans="1:9" ht="13.5" customHeight="1" x14ac:dyDescent="0.2">
      <c r="A29" s="354" t="s">
        <v>125</v>
      </c>
      <c r="B29" s="352">
        <v>1798905</v>
      </c>
      <c r="C29" s="352">
        <f>-Data!L27-Data!M27-Data!N27-Data!O27</f>
        <v>-48773</v>
      </c>
      <c r="D29" s="352">
        <f t="shared" si="1"/>
        <v>1750132</v>
      </c>
      <c r="E29" s="352">
        <v>1750132</v>
      </c>
      <c r="I29" s="510">
        <f t="shared" si="0"/>
        <v>0</v>
      </c>
    </row>
    <row r="30" spans="1:9" ht="13.5" customHeight="1" x14ac:dyDescent="0.2">
      <c r="A30" s="237" t="s">
        <v>126</v>
      </c>
      <c r="B30" s="151">
        <v>1271197</v>
      </c>
      <c r="C30" s="151">
        <f>-Data!L28-Data!M28-Data!N28-Data!O28</f>
        <v>-227425</v>
      </c>
      <c r="D30" s="151">
        <f t="shared" si="1"/>
        <v>1043772</v>
      </c>
      <c r="E30" s="151">
        <v>1043772</v>
      </c>
      <c r="I30" s="510">
        <f t="shared" si="0"/>
        <v>0</v>
      </c>
    </row>
    <row r="31" spans="1:9" ht="13.5" customHeight="1" x14ac:dyDescent="0.2">
      <c r="A31" s="354" t="s">
        <v>127</v>
      </c>
      <c r="B31" s="352">
        <v>5094564</v>
      </c>
      <c r="C31" s="352">
        <f>-Data!L29-Data!M29-Data!N29-Data!O29</f>
        <v>-905723</v>
      </c>
      <c r="D31" s="352">
        <f t="shared" si="1"/>
        <v>4188841</v>
      </c>
      <c r="E31" s="352">
        <v>4188841</v>
      </c>
      <c r="I31" s="510">
        <f t="shared" si="0"/>
        <v>0</v>
      </c>
    </row>
    <row r="32" spans="1:9" ht="13.5" customHeight="1" x14ac:dyDescent="0.2">
      <c r="A32" s="237" t="s">
        <v>128</v>
      </c>
      <c r="B32" s="151">
        <v>556305</v>
      </c>
      <c r="C32" s="151">
        <f>-Data!L30-Data!M30-Data!N30-Data!O30</f>
        <v>-25177</v>
      </c>
      <c r="D32" s="151">
        <f t="shared" si="1"/>
        <v>531128</v>
      </c>
      <c r="E32" s="151">
        <v>531128</v>
      </c>
      <c r="I32" s="510">
        <f t="shared" si="0"/>
        <v>0</v>
      </c>
    </row>
    <row r="33" spans="1:9" ht="13.5" customHeight="1" x14ac:dyDescent="0.2">
      <c r="A33" s="354" t="s">
        <v>129</v>
      </c>
      <c r="B33" s="352">
        <v>1365484</v>
      </c>
      <c r="C33" s="352">
        <f>-Data!L31-Data!M31-Data!N31-Data!O31</f>
        <v>-41589</v>
      </c>
      <c r="D33" s="352">
        <f t="shared" si="1"/>
        <v>1323895</v>
      </c>
      <c r="E33" s="352">
        <v>1323895</v>
      </c>
      <c r="I33" s="510">
        <f t="shared" si="0"/>
        <v>0</v>
      </c>
    </row>
    <row r="34" spans="1:9" ht="13.5" customHeight="1" x14ac:dyDescent="0.2">
      <c r="A34" s="237" t="s">
        <v>130</v>
      </c>
      <c r="B34" s="151">
        <v>1146314</v>
      </c>
      <c r="C34" s="151">
        <f>-Data!L32-Data!M32-Data!N32-Data!O32</f>
        <v>-35347</v>
      </c>
      <c r="D34" s="151">
        <f t="shared" si="1"/>
        <v>1110967</v>
      </c>
      <c r="E34" s="151">
        <v>1110967</v>
      </c>
      <c r="I34" s="510">
        <f t="shared" si="0"/>
        <v>0</v>
      </c>
    </row>
    <row r="35" spans="1:9" ht="13.5" customHeight="1" x14ac:dyDescent="0.2">
      <c r="A35" s="354" t="s">
        <v>131</v>
      </c>
      <c r="B35" s="352">
        <v>946391</v>
      </c>
      <c r="C35" s="352">
        <f>-Data!L33-Data!M33-Data!N33-Data!O33</f>
        <v>-40787</v>
      </c>
      <c r="D35" s="352">
        <f t="shared" si="1"/>
        <v>905604</v>
      </c>
      <c r="E35" s="352">
        <v>905604</v>
      </c>
      <c r="I35" s="510">
        <f t="shared" si="0"/>
        <v>0</v>
      </c>
    </row>
    <row r="36" spans="1:9" ht="13.5" customHeight="1" x14ac:dyDescent="0.2">
      <c r="A36" s="237" t="s">
        <v>132</v>
      </c>
      <c r="B36" s="151">
        <v>1103271</v>
      </c>
      <c r="C36" s="151">
        <f>-Data!L34-Data!M34-Data!N34-Data!O34</f>
        <v>-38086</v>
      </c>
      <c r="D36" s="151">
        <f t="shared" si="1"/>
        <v>1065185</v>
      </c>
      <c r="E36" s="151">
        <v>1065185</v>
      </c>
      <c r="I36" s="510">
        <f t="shared" si="0"/>
        <v>0</v>
      </c>
    </row>
    <row r="37" spans="1:9" ht="13.5" customHeight="1" x14ac:dyDescent="0.2">
      <c r="A37" s="354" t="s">
        <v>133</v>
      </c>
      <c r="B37" s="352">
        <v>5286698</v>
      </c>
      <c r="C37" s="352">
        <f>-Data!L35-Data!M35-Data!N35-Data!O35</f>
        <v>-485027</v>
      </c>
      <c r="D37" s="352">
        <f t="shared" si="1"/>
        <v>4801671</v>
      </c>
      <c r="E37" s="352">
        <v>4801671</v>
      </c>
      <c r="I37" s="510">
        <f t="shared" si="0"/>
        <v>0</v>
      </c>
    </row>
    <row r="38" spans="1:9" ht="13.5" customHeight="1" x14ac:dyDescent="0.2">
      <c r="A38" s="237" t="s">
        <v>134</v>
      </c>
      <c r="B38" s="151">
        <v>909967</v>
      </c>
      <c r="C38" s="151">
        <f>-Data!L36-Data!M36-Data!N36-Data!O36</f>
        <v>-35401</v>
      </c>
      <c r="D38" s="151">
        <f t="shared" si="1"/>
        <v>874566</v>
      </c>
      <c r="E38" s="151">
        <v>874566</v>
      </c>
      <c r="I38" s="510">
        <f t="shared" si="0"/>
        <v>0</v>
      </c>
    </row>
    <row r="39" spans="1:9" ht="13.5" customHeight="1" x14ac:dyDescent="0.2">
      <c r="A39" s="354" t="s">
        <v>135</v>
      </c>
      <c r="B39" s="352">
        <v>1691192</v>
      </c>
      <c r="C39" s="352">
        <f>-Data!L37-Data!M37-Data!N37-Data!O37</f>
        <v>-48948</v>
      </c>
      <c r="D39" s="352">
        <f t="shared" si="1"/>
        <v>1642244</v>
      </c>
      <c r="E39" s="352">
        <v>1642244</v>
      </c>
      <c r="I39" s="510">
        <f t="shared" si="0"/>
        <v>0</v>
      </c>
    </row>
    <row r="40" spans="1:9" ht="13.5" customHeight="1" x14ac:dyDescent="0.2">
      <c r="A40" s="237" t="s">
        <v>136</v>
      </c>
      <c r="B40" s="151">
        <v>3866547</v>
      </c>
      <c r="C40" s="151">
        <f>-Data!L38-Data!M38-Data!N38-Data!O38</f>
        <v>-98013</v>
      </c>
      <c r="D40" s="151">
        <f t="shared" si="1"/>
        <v>3768534</v>
      </c>
      <c r="E40" s="151">
        <v>3768534</v>
      </c>
      <c r="I40" s="510">
        <f t="shared" si="0"/>
        <v>0</v>
      </c>
    </row>
    <row r="41" spans="1:9" ht="13.5" customHeight="1" x14ac:dyDescent="0.2">
      <c r="A41" s="354" t="s">
        <v>137</v>
      </c>
      <c r="B41" s="352">
        <v>871676</v>
      </c>
      <c r="C41" s="352">
        <f>-Data!L39-Data!M39-Data!N39-Data!O39</f>
        <v>-33473</v>
      </c>
      <c r="D41" s="352">
        <f t="shared" si="1"/>
        <v>838203</v>
      </c>
      <c r="E41" s="352">
        <v>838203</v>
      </c>
      <c r="I41" s="510">
        <f t="shared" si="0"/>
        <v>0</v>
      </c>
    </row>
    <row r="42" spans="1:9" ht="13.5" customHeight="1" x14ac:dyDescent="0.2">
      <c r="A42" s="237" t="s">
        <v>138</v>
      </c>
      <c r="B42" s="151">
        <v>3588924</v>
      </c>
      <c r="C42" s="151">
        <f>-Data!L40-Data!M40-Data!N40-Data!O40</f>
        <v>-394281</v>
      </c>
      <c r="D42" s="151">
        <f t="shared" si="1"/>
        <v>3194643</v>
      </c>
      <c r="E42" s="151">
        <v>3194643</v>
      </c>
      <c r="I42" s="510">
        <f t="shared" si="0"/>
        <v>0</v>
      </c>
    </row>
    <row r="43" spans="1:9" ht="13.5" customHeight="1" x14ac:dyDescent="0.2">
      <c r="A43" s="354" t="s">
        <v>139</v>
      </c>
      <c r="B43" s="352">
        <v>2254561</v>
      </c>
      <c r="C43" s="352">
        <f>-Data!L41-Data!M41-Data!N41-Data!O41</f>
        <v>-54713</v>
      </c>
      <c r="D43" s="352">
        <f t="shared" si="1"/>
        <v>2199848</v>
      </c>
      <c r="E43" s="352">
        <v>2199848</v>
      </c>
      <c r="I43" s="510">
        <f t="shared" si="0"/>
        <v>0</v>
      </c>
    </row>
    <row r="44" spans="1:9" ht="13.5" customHeight="1" x14ac:dyDescent="0.2">
      <c r="A44" s="237" t="s">
        <v>140</v>
      </c>
      <c r="B44" s="151">
        <v>862057</v>
      </c>
      <c r="C44" s="151">
        <f>-Data!L42-Data!M42-Data!N42-Data!O42</f>
        <v>-32344</v>
      </c>
      <c r="D44" s="151">
        <f t="shared" si="1"/>
        <v>829713</v>
      </c>
      <c r="E44" s="151">
        <v>829713</v>
      </c>
      <c r="I44" s="510">
        <f t="shared" si="0"/>
        <v>0</v>
      </c>
    </row>
    <row r="45" spans="1:9" ht="13.5" customHeight="1" x14ac:dyDescent="0.2">
      <c r="A45" s="354" t="s">
        <v>141</v>
      </c>
      <c r="B45" s="352">
        <v>559091</v>
      </c>
      <c r="C45" s="352">
        <f>-Data!L43-Data!M43-Data!N43-Data!O43</f>
        <v>-22266</v>
      </c>
      <c r="D45" s="352">
        <f t="shared" si="1"/>
        <v>536825</v>
      </c>
      <c r="E45" s="352">
        <v>536825</v>
      </c>
      <c r="I45" s="510">
        <f t="shared" si="0"/>
        <v>0</v>
      </c>
    </row>
    <row r="46" spans="1:9" ht="13.5" customHeight="1" x14ac:dyDescent="0.2">
      <c r="A46" s="237" t="s">
        <v>142</v>
      </c>
      <c r="B46" s="151">
        <v>395791</v>
      </c>
      <c r="C46" s="151">
        <f>-Data!L44-Data!M44-Data!N44-Data!O44</f>
        <v>-19499</v>
      </c>
      <c r="D46" s="151">
        <f t="shared" si="1"/>
        <v>376292</v>
      </c>
      <c r="E46" s="151">
        <v>376292</v>
      </c>
      <c r="I46" s="510">
        <f t="shared" si="0"/>
        <v>0</v>
      </c>
    </row>
    <row r="47" spans="1:9" ht="13.5" customHeight="1" x14ac:dyDescent="0.2">
      <c r="A47" s="354" t="s">
        <v>143</v>
      </c>
      <c r="B47" s="352">
        <v>759561</v>
      </c>
      <c r="C47" s="352">
        <f>-Data!L45-Data!M45-Data!N45-Data!O45</f>
        <v>-25913</v>
      </c>
      <c r="D47" s="352">
        <f t="shared" si="1"/>
        <v>733648</v>
      </c>
      <c r="E47" s="352">
        <v>733648</v>
      </c>
      <c r="I47" s="510">
        <f t="shared" si="0"/>
        <v>0</v>
      </c>
    </row>
    <row r="48" spans="1:9" ht="13.5" customHeight="1" x14ac:dyDescent="0.2">
      <c r="A48" s="237" t="s">
        <v>144</v>
      </c>
      <c r="B48" s="151">
        <v>10823846</v>
      </c>
      <c r="C48" s="151">
        <f>-Data!L46-Data!M46-Data!N46-Data!O46</f>
        <v>-197708</v>
      </c>
      <c r="D48" s="151">
        <f t="shared" si="1"/>
        <v>10626138</v>
      </c>
      <c r="E48" s="151">
        <v>10626138</v>
      </c>
      <c r="I48" s="510">
        <f t="shared" si="0"/>
        <v>0</v>
      </c>
    </row>
    <row r="49" spans="1:9" ht="5.0999999999999996" customHeight="1" x14ac:dyDescent="0.2">
      <c r="A49" s="130"/>
      <c r="B49" s="152"/>
      <c r="C49" s="152"/>
      <c r="D49" s="152"/>
      <c r="E49" s="152"/>
      <c r="I49" s="510"/>
    </row>
    <row r="50" spans="1:9" ht="13.5" customHeight="1" x14ac:dyDescent="0.2">
      <c r="A50" s="355" t="s">
        <v>145</v>
      </c>
      <c r="B50" s="356">
        <f t="shared" ref="B50:E50" si="2">SUM(B13:B48)</f>
        <v>68183992</v>
      </c>
      <c r="C50" s="356">
        <f t="shared" si="2"/>
        <v>-3873630</v>
      </c>
      <c r="D50" s="356">
        <f t="shared" si="2"/>
        <v>64310362</v>
      </c>
      <c r="E50" s="356">
        <f t="shared" si="2"/>
        <v>64310362</v>
      </c>
      <c r="I50" s="510">
        <f>D50-E50</f>
        <v>0</v>
      </c>
    </row>
    <row r="51" spans="1:9" ht="5.0999999999999996" customHeight="1" x14ac:dyDescent="0.2">
      <c r="A51" s="130" t="s">
        <v>7</v>
      </c>
      <c r="B51" s="152"/>
      <c r="C51" s="152"/>
      <c r="D51" s="152"/>
      <c r="E51" s="152"/>
      <c r="H51" s="2">
        <f>+G51-B51</f>
        <v>0</v>
      </c>
      <c r="I51" s="510"/>
    </row>
    <row r="52" spans="1:9" ht="13.5" customHeight="1" x14ac:dyDescent="0.2">
      <c r="A52" s="237" t="s">
        <v>146</v>
      </c>
      <c r="B52" s="151"/>
      <c r="C52" s="151">
        <f>-Data!L50-Data!M50-Data!N50-Data!O50</f>
        <v>0</v>
      </c>
      <c r="D52" s="151">
        <f>SUM(B52:C52)</f>
        <v>0</v>
      </c>
      <c r="E52" s="151"/>
      <c r="I52" s="510">
        <f>D52-E52</f>
        <v>0</v>
      </c>
    </row>
    <row r="53" spans="1:9" ht="50.1" customHeight="1" x14ac:dyDescent="0.2">
      <c r="A53" s="23"/>
      <c r="B53" s="23"/>
      <c r="C53" s="23"/>
      <c r="D53" s="23"/>
    </row>
    <row r="54" spans="1:9" ht="14.45" customHeight="1" x14ac:dyDescent="0.2">
      <c r="A54" s="818" t="s">
        <v>634</v>
      </c>
      <c r="B54" s="818"/>
      <c r="C54" s="818"/>
      <c r="D54" s="818"/>
      <c r="E54" s="818"/>
      <c r="F54" s="818"/>
    </row>
    <row r="55" spans="1:9" ht="12" customHeight="1" x14ac:dyDescent="0.2">
      <c r="A55" s="819"/>
      <c r="B55" s="819"/>
      <c r="C55" s="819"/>
      <c r="D55" s="819"/>
      <c r="E55" s="819"/>
      <c r="F55" s="819"/>
    </row>
    <row r="56" spans="1:9" ht="12" customHeight="1" x14ac:dyDescent="0.2">
      <c r="A56" s="819"/>
      <c r="B56" s="819"/>
      <c r="C56" s="819"/>
      <c r="D56" s="819"/>
      <c r="E56" s="819"/>
      <c r="F56" s="819"/>
    </row>
    <row r="57" spans="1:9" ht="12" customHeight="1" x14ac:dyDescent="0.2">
      <c r="A57" s="819"/>
      <c r="B57" s="819"/>
      <c r="C57" s="819"/>
      <c r="D57" s="819"/>
      <c r="E57" s="819"/>
      <c r="F57" s="819"/>
    </row>
    <row r="58" spans="1:9" ht="12" customHeight="1" x14ac:dyDescent="0.2">
      <c r="A58" s="819"/>
      <c r="B58" s="819"/>
      <c r="C58" s="819"/>
      <c r="D58" s="819"/>
      <c r="E58" s="819"/>
      <c r="F58" s="819"/>
    </row>
    <row r="59" spans="1:9" ht="12" customHeight="1" x14ac:dyDescent="0.2">
      <c r="A59" s="819"/>
      <c r="B59" s="819"/>
      <c r="C59" s="819"/>
      <c r="D59" s="819"/>
      <c r="E59" s="819"/>
      <c r="F59" s="819"/>
    </row>
    <row r="60" spans="1:9" ht="9.75" customHeight="1" x14ac:dyDescent="0.2">
      <c r="A60" s="819"/>
      <c r="B60" s="819"/>
      <c r="C60" s="819"/>
      <c r="D60" s="819"/>
      <c r="E60" s="819"/>
      <c r="F60" s="819"/>
    </row>
    <row r="61" spans="1:9" x14ac:dyDescent="0.2">
      <c r="A61" s="578" t="s">
        <v>362</v>
      </c>
      <c r="B61" s="38"/>
    </row>
    <row r="62" spans="1:9" ht="12" customHeight="1" x14ac:dyDescent="0.2"/>
    <row r="63" spans="1:9" ht="12" customHeight="1" x14ac:dyDescent="0.2">
      <c r="A63" s="133"/>
    </row>
    <row r="64" spans="1:9" ht="12" customHeight="1" x14ac:dyDescent="0.2">
      <c r="A64" s="133"/>
    </row>
  </sheetData>
  <mergeCells count="5">
    <mergeCell ref="A54:F60"/>
    <mergeCell ref="B9:B11"/>
    <mergeCell ref="B4:D4"/>
    <mergeCell ref="C5:C11"/>
    <mergeCell ref="D9:D11"/>
  </mergeCells>
  <phoneticPr fontId="0" type="noConversion"/>
  <pageMargins left="0.5" right="0.5" top="0.6" bottom="0.2" header="0.3" footer="0.5"/>
  <pageSetup scale="92" orientation="portrait" r:id="rId1"/>
  <headerFooter alignWithMargins="0">
    <oddHeader>&amp;C&amp;"Arial,Regular"&amp;11&amp;A</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1">
    <pageSetUpPr fitToPage="1"/>
  </sheetPr>
  <dimension ref="A1:L59"/>
  <sheetViews>
    <sheetView showGridLines="0" showZeros="0" workbookViewId="0"/>
  </sheetViews>
  <sheetFormatPr defaultColWidth="14.83203125" defaultRowHeight="12" x14ac:dyDescent="0.2"/>
  <cols>
    <col min="1" max="1" width="27.33203125" style="2" customWidth="1"/>
    <col min="2" max="2" width="16.83203125" style="2" customWidth="1"/>
    <col min="3" max="3" width="13.5" style="2" customWidth="1"/>
    <col min="4" max="4" width="17.5" style="2" customWidth="1"/>
    <col min="5" max="5" width="16.83203125" style="2" customWidth="1"/>
    <col min="6" max="6" width="17" style="2" customWidth="1"/>
    <col min="7" max="7" width="15.6640625" style="2" customWidth="1"/>
    <col min="8" max="8" width="13" style="2" bestFit="1" customWidth="1"/>
    <col min="9" max="10" width="14.83203125" style="2" hidden="1" customWidth="1"/>
    <col min="11" max="12" width="0" style="2" hidden="1" customWidth="1"/>
    <col min="13" max="16384" width="14.83203125" style="2"/>
  </cols>
  <sheetData>
    <row r="1" spans="1:12" ht="6.95" customHeight="1" x14ac:dyDescent="0.2">
      <c r="A1" s="7"/>
      <c r="B1" s="8"/>
      <c r="C1" s="8"/>
      <c r="D1" s="8"/>
    </row>
    <row r="2" spans="1:12" ht="20.100000000000001" customHeight="1" x14ac:dyDescent="0.2">
      <c r="A2" s="251"/>
      <c r="B2" s="251" t="str">
        <f>"ADMINISTRATION EXPENSES "&amp;FALLYR&amp;"/"&amp;SPRINGYR&amp;" ACTUAL"</f>
        <v>ADMINISTRATION EXPENSES 2016/2017 ACTUAL</v>
      </c>
      <c r="C2" s="173"/>
      <c r="D2" s="173"/>
      <c r="E2" s="173"/>
      <c r="F2" s="173"/>
      <c r="G2" s="173"/>
      <c r="H2" s="386" t="s">
        <v>77</v>
      </c>
    </row>
    <row r="3" spans="1:12" ht="20.100000000000001" customHeight="1" x14ac:dyDescent="0.2">
      <c r="A3" s="535"/>
      <c r="B3" s="252"/>
      <c r="C3" s="253"/>
      <c r="D3" s="253"/>
      <c r="E3" s="253"/>
      <c r="F3" s="253"/>
      <c r="G3" s="253"/>
      <c r="H3" s="254"/>
    </row>
    <row r="4" spans="1:12" ht="14.1" customHeight="1" x14ac:dyDescent="0.2">
      <c r="A4" s="232"/>
      <c r="B4" s="823" t="s">
        <v>234</v>
      </c>
      <c r="C4" s="824"/>
      <c r="D4" s="824"/>
      <c r="E4" s="824"/>
      <c r="F4" s="824"/>
      <c r="G4" s="824"/>
      <c r="H4" s="825"/>
    </row>
    <row r="5" spans="1:12" ht="12.95" customHeight="1" x14ac:dyDescent="0.2">
      <c r="A5" s="255"/>
      <c r="B5" s="256"/>
      <c r="C5" s="256"/>
      <c r="D5" s="256"/>
      <c r="E5" s="256"/>
      <c r="F5" s="256"/>
      <c r="G5" s="256"/>
      <c r="H5" s="256"/>
    </row>
    <row r="6" spans="1:12" ht="12.95" customHeight="1" x14ac:dyDescent="0.2">
      <c r="A6" s="255"/>
      <c r="B6" s="242"/>
      <c r="C6" s="242"/>
      <c r="D6" s="242"/>
      <c r="E6" s="242"/>
      <c r="F6" s="242"/>
      <c r="G6" s="809" t="s">
        <v>600</v>
      </c>
      <c r="H6" s="809" t="s">
        <v>629</v>
      </c>
    </row>
    <row r="7" spans="1:12" ht="12.95" customHeight="1" x14ac:dyDescent="0.2">
      <c r="A7" s="255"/>
      <c r="B7" s="257"/>
      <c r="C7" s="121"/>
      <c r="D7" s="257"/>
      <c r="E7" s="257"/>
      <c r="F7" s="257"/>
      <c r="G7" s="809"/>
      <c r="H7" s="809"/>
    </row>
    <row r="8" spans="1:12" ht="12.95" customHeight="1" x14ac:dyDescent="0.2">
      <c r="A8" s="255"/>
      <c r="B8" s="809" t="s">
        <v>596</v>
      </c>
      <c r="C8" s="809" t="s">
        <v>597</v>
      </c>
      <c r="D8" s="809" t="s">
        <v>598</v>
      </c>
      <c r="E8" s="257"/>
      <c r="F8" s="809" t="s">
        <v>615</v>
      </c>
      <c r="G8" s="809"/>
      <c r="H8" s="809"/>
    </row>
    <row r="9" spans="1:12" ht="12.95" customHeight="1" x14ac:dyDescent="0.2">
      <c r="A9" s="255"/>
      <c r="B9" s="809"/>
      <c r="C9" s="809"/>
      <c r="D9" s="809"/>
      <c r="E9" s="809" t="s">
        <v>599</v>
      </c>
      <c r="F9" s="809"/>
      <c r="G9" s="809"/>
      <c r="H9" s="809"/>
    </row>
    <row r="10" spans="1:12" ht="12.95" customHeight="1" x14ac:dyDescent="0.2">
      <c r="A10" s="16"/>
      <c r="B10" s="809"/>
      <c r="C10" s="809"/>
      <c r="D10" s="809"/>
      <c r="E10" s="809"/>
      <c r="F10" s="809"/>
      <c r="G10" s="809"/>
      <c r="H10" s="809"/>
    </row>
    <row r="11" spans="1:12" ht="15.95" customHeight="1" x14ac:dyDescent="0.2">
      <c r="A11" s="17" t="s">
        <v>42</v>
      </c>
      <c r="B11" s="810"/>
      <c r="C11" s="810"/>
      <c r="D11" s="810"/>
      <c r="E11" s="810"/>
      <c r="F11" s="810"/>
      <c r="G11" s="810"/>
      <c r="H11" s="810"/>
    </row>
    <row r="12" spans="1:12" ht="5.0999999999999996" customHeight="1" x14ac:dyDescent="0.2">
      <c r="A12" s="18"/>
      <c r="C12" s="250"/>
      <c r="D12" s="207"/>
      <c r="E12" s="7"/>
    </row>
    <row r="13" spans="1:12" ht="14.1" customHeight="1" x14ac:dyDescent="0.2">
      <c r="A13" s="354" t="s">
        <v>110</v>
      </c>
      <c r="B13" s="352">
        <f>'- 3 -'!B11</f>
        <v>19173997</v>
      </c>
      <c r="C13" s="352">
        <v>725000</v>
      </c>
      <c r="D13" s="352">
        <v>0</v>
      </c>
      <c r="E13" s="352">
        <f>SUM(B13:D13)</f>
        <v>19898997</v>
      </c>
      <c r="F13" s="352">
        <f>'- 62 -'!D13</f>
        <v>583561</v>
      </c>
      <c r="G13" s="291">
        <f>F13/E13*100</f>
        <v>2.9326151463814987</v>
      </c>
      <c r="H13" s="582">
        <f>+Data!P11</f>
        <v>4.1099999999999994</v>
      </c>
      <c r="I13" s="400">
        <v>2.9326151463814985E-2</v>
      </c>
      <c r="J13" s="352">
        <v>19898997</v>
      </c>
      <c r="K13" s="2">
        <f t="shared" ref="K13:K48" si="0">J13-E13</f>
        <v>0</v>
      </c>
      <c r="L13" s="2">
        <f>+H13/100-I13</f>
        <v>1.1773848536185013E-2</v>
      </c>
    </row>
    <row r="14" spans="1:12" ht="14.1" customHeight="1" x14ac:dyDescent="0.2">
      <c r="A14" s="237" t="s">
        <v>111</v>
      </c>
      <c r="B14" s="151">
        <f>'- 3 -'!B12</f>
        <v>33859880</v>
      </c>
      <c r="C14" s="151">
        <v>3708144</v>
      </c>
      <c r="D14" s="151">
        <v>-562198</v>
      </c>
      <c r="E14" s="151">
        <f>SUM(B14:D14)</f>
        <v>37005826</v>
      </c>
      <c r="F14" s="151">
        <f>'- 62 -'!D14</f>
        <v>1171929</v>
      </c>
      <c r="G14" s="70">
        <f>F14/E14*100</f>
        <v>3.1668770209317856</v>
      </c>
      <c r="H14" s="376">
        <f>+Data!P12</f>
        <v>4.04</v>
      </c>
      <c r="I14" s="140">
        <v>3.1668770209317854E-2</v>
      </c>
      <c r="J14" s="151">
        <v>37005826</v>
      </c>
      <c r="K14" s="2">
        <f t="shared" si="0"/>
        <v>0</v>
      </c>
      <c r="L14" s="2">
        <f t="shared" ref="L14:L48" si="1">+H14/100-I14</f>
        <v>8.7312297906821448E-3</v>
      </c>
    </row>
    <row r="15" spans="1:12" ht="14.1" customHeight="1" x14ac:dyDescent="0.2">
      <c r="A15" s="354" t="s">
        <v>112</v>
      </c>
      <c r="B15" s="352">
        <f>'- 3 -'!B13</f>
        <v>96014314</v>
      </c>
      <c r="C15" s="352">
        <v>2593309</v>
      </c>
      <c r="D15" s="352">
        <v>0</v>
      </c>
      <c r="E15" s="352">
        <f>SUM(B15:D15)</f>
        <v>98607623</v>
      </c>
      <c r="F15" s="352">
        <f>'- 62 -'!D15</f>
        <v>3086075</v>
      </c>
      <c r="G15" s="291">
        <f>F15/E15*100</f>
        <v>3.1296515483392193</v>
      </c>
      <c r="H15" s="582">
        <f>+Data!P13</f>
        <v>3.5000000000000004</v>
      </c>
      <c r="I15" s="400">
        <v>3.1296515483392191E-2</v>
      </c>
      <c r="J15" s="352">
        <v>98607623</v>
      </c>
      <c r="K15" s="2">
        <f t="shared" si="0"/>
        <v>0</v>
      </c>
      <c r="L15" s="2">
        <f t="shared" si="1"/>
        <v>3.703484516607812E-3</v>
      </c>
    </row>
    <row r="16" spans="1:12" ht="14.1" customHeight="1" x14ac:dyDescent="0.2">
      <c r="A16" s="237" t="s">
        <v>359</v>
      </c>
      <c r="B16" s="151"/>
      <c r="C16" s="151">
        <v>0</v>
      </c>
      <c r="D16" s="151"/>
      <c r="E16" s="151"/>
      <c r="F16" s="151"/>
      <c r="G16" s="376" t="s">
        <v>95</v>
      </c>
      <c r="H16" s="376" t="s">
        <v>95</v>
      </c>
      <c r="I16" s="140"/>
      <c r="J16" s="151"/>
      <c r="L16" s="2">
        <v>0</v>
      </c>
    </row>
    <row r="17" spans="1:12" ht="14.1" customHeight="1" x14ac:dyDescent="0.2">
      <c r="A17" s="354" t="s">
        <v>113</v>
      </c>
      <c r="B17" s="352">
        <f>'- 3 -'!B15</f>
        <v>19596954</v>
      </c>
      <c r="C17" s="352">
        <v>1132982</v>
      </c>
      <c r="D17" s="352">
        <v>0</v>
      </c>
      <c r="E17" s="352">
        <f>SUM(B17:D17)</f>
        <v>20729936</v>
      </c>
      <c r="F17" s="352">
        <f>'- 62 -'!D17</f>
        <v>779933</v>
      </c>
      <c r="G17" s="291">
        <f>F17/E17*100</f>
        <v>3.7623512199941187</v>
      </c>
      <c r="H17" s="582">
        <f>+Data!P15</f>
        <v>4.18</v>
      </c>
      <c r="I17" s="400">
        <v>3.7623512199941186E-2</v>
      </c>
      <c r="J17" s="352">
        <v>20729936</v>
      </c>
      <c r="K17" s="2">
        <f t="shared" si="0"/>
        <v>0</v>
      </c>
      <c r="L17" s="2">
        <f t="shared" si="1"/>
        <v>4.1764878000588104E-3</v>
      </c>
    </row>
    <row r="18" spans="1:12" ht="14.1" customHeight="1" x14ac:dyDescent="0.2">
      <c r="A18" s="237" t="s">
        <v>114</v>
      </c>
      <c r="B18" s="151">
        <f>'- 3 -'!B16</f>
        <v>14496596</v>
      </c>
      <c r="C18" s="151">
        <v>449274</v>
      </c>
      <c r="D18" s="151">
        <v>-92300</v>
      </c>
      <c r="E18" s="151">
        <f>SUM(B18:D18)</f>
        <v>14853570</v>
      </c>
      <c r="F18" s="151">
        <f>'- 62 -'!D18</f>
        <v>704040</v>
      </c>
      <c r="G18" s="70">
        <f>F18/E18*100</f>
        <v>4.7398706169627909</v>
      </c>
      <c r="H18" s="376">
        <f>+Data!P16</f>
        <v>5</v>
      </c>
      <c r="I18" s="140">
        <v>4.7398706169627908E-2</v>
      </c>
      <c r="J18" s="151">
        <v>14853570</v>
      </c>
      <c r="K18" s="2">
        <f t="shared" si="0"/>
        <v>0</v>
      </c>
      <c r="L18" s="2">
        <f t="shared" si="1"/>
        <v>2.6012938303720951E-3</v>
      </c>
    </row>
    <row r="19" spans="1:12" ht="14.1" customHeight="1" x14ac:dyDescent="0.2">
      <c r="A19" s="354" t="s">
        <v>115</v>
      </c>
      <c r="B19" s="352">
        <f>'- 3 -'!B17</f>
        <v>18013380</v>
      </c>
      <c r="C19" s="352">
        <v>671007</v>
      </c>
      <c r="D19" s="352">
        <v>0</v>
      </c>
      <c r="E19" s="352">
        <f>SUM(B19:D19)</f>
        <v>18684387</v>
      </c>
      <c r="F19" s="352">
        <f>'- 62 -'!D19</f>
        <v>721433</v>
      </c>
      <c r="G19" s="291">
        <f>F19/E19*100</f>
        <v>3.8611542353516866</v>
      </c>
      <c r="H19" s="582">
        <f>+Data!P17</f>
        <v>4.18</v>
      </c>
      <c r="I19" s="400">
        <v>3.8611542353516867E-2</v>
      </c>
      <c r="J19" s="352">
        <v>18684387</v>
      </c>
      <c r="K19" s="2">
        <f t="shared" si="0"/>
        <v>0</v>
      </c>
      <c r="L19" s="2">
        <f t="shared" si="1"/>
        <v>3.1884576464831296E-3</v>
      </c>
    </row>
    <row r="20" spans="1:12" ht="14.1" customHeight="1" x14ac:dyDescent="0.2">
      <c r="A20" s="237" t="s">
        <v>116</v>
      </c>
      <c r="B20" s="151"/>
      <c r="C20" s="151">
        <v>0</v>
      </c>
      <c r="D20" s="151"/>
      <c r="E20" s="151"/>
      <c r="F20" s="151"/>
      <c r="G20" s="376" t="s">
        <v>95</v>
      </c>
      <c r="H20" s="376" t="s">
        <v>95</v>
      </c>
      <c r="I20" s="140"/>
      <c r="J20" s="151"/>
      <c r="K20" s="2">
        <f t="shared" si="0"/>
        <v>0</v>
      </c>
      <c r="L20" s="2">
        <v>0</v>
      </c>
    </row>
    <row r="21" spans="1:12" ht="14.1" customHeight="1" x14ac:dyDescent="0.2">
      <c r="A21" s="354" t="s">
        <v>117</v>
      </c>
      <c r="B21" s="352">
        <f>'- 3 -'!B19</f>
        <v>46653339.509999998</v>
      </c>
      <c r="C21" s="352">
        <v>2052428</v>
      </c>
      <c r="D21" s="352">
        <v>0</v>
      </c>
      <c r="E21" s="352">
        <f t="shared" ref="E21:E48" si="2">SUM(B21:D21)</f>
        <v>48705767.509999998</v>
      </c>
      <c r="F21" s="352">
        <f>'- 62 -'!D21</f>
        <v>1305126</v>
      </c>
      <c r="G21" s="291">
        <f t="shared" ref="G21:G48" si="3">F21/E21*100</f>
        <v>2.6796128399620001</v>
      </c>
      <c r="H21" s="582">
        <f>+Data!P19</f>
        <v>3.62</v>
      </c>
      <c r="I21" s="400">
        <v>2.6796128399619999E-2</v>
      </c>
      <c r="J21" s="352">
        <v>48705767.509999998</v>
      </c>
      <c r="K21" s="2">
        <f t="shared" si="0"/>
        <v>0</v>
      </c>
      <c r="L21" s="2">
        <f t="shared" si="1"/>
        <v>9.4038716003800038E-3</v>
      </c>
    </row>
    <row r="22" spans="1:12" ht="14.1" customHeight="1" x14ac:dyDescent="0.2">
      <c r="A22" s="237" t="s">
        <v>118</v>
      </c>
      <c r="B22" s="151">
        <f>'- 3 -'!B20</f>
        <v>83868124</v>
      </c>
      <c r="C22" s="151">
        <v>2236459</v>
      </c>
      <c r="D22" s="151">
        <v>0</v>
      </c>
      <c r="E22" s="151">
        <f t="shared" si="2"/>
        <v>86104583</v>
      </c>
      <c r="F22" s="151">
        <f>'- 62 -'!D22</f>
        <v>2144932</v>
      </c>
      <c r="G22" s="70">
        <f t="shared" si="3"/>
        <v>2.4910776235917664</v>
      </c>
      <c r="H22" s="376">
        <f>+Data!P20</f>
        <v>3.5000000000000004</v>
      </c>
      <c r="I22" s="140">
        <v>2.4910776235917663E-2</v>
      </c>
      <c r="J22" s="151">
        <v>86104583</v>
      </c>
      <c r="K22" s="2">
        <f t="shared" si="0"/>
        <v>0</v>
      </c>
      <c r="L22" s="2">
        <f t="shared" si="1"/>
        <v>1.008922376408234E-2</v>
      </c>
    </row>
    <row r="23" spans="1:12" ht="14.1" customHeight="1" x14ac:dyDescent="0.2">
      <c r="A23" s="354" t="s">
        <v>119</v>
      </c>
      <c r="B23" s="352">
        <f>'- 3 -'!B21</f>
        <v>36307744</v>
      </c>
      <c r="C23" s="352">
        <v>949605</v>
      </c>
      <c r="D23" s="352">
        <v>0</v>
      </c>
      <c r="E23" s="352">
        <f t="shared" si="2"/>
        <v>37257349</v>
      </c>
      <c r="F23" s="352">
        <f>'- 62 -'!D23</f>
        <v>1306922</v>
      </c>
      <c r="G23" s="291">
        <f t="shared" si="3"/>
        <v>3.5078233827103475</v>
      </c>
      <c r="H23" s="582">
        <f>+Data!P21</f>
        <v>3.92</v>
      </c>
      <c r="I23" s="400">
        <v>3.5078233827103476E-2</v>
      </c>
      <c r="J23" s="352">
        <v>37257349</v>
      </c>
      <c r="K23" s="2">
        <f t="shared" si="0"/>
        <v>0</v>
      </c>
      <c r="L23" s="2">
        <f t="shared" si="1"/>
        <v>4.1217661728965224E-3</v>
      </c>
    </row>
    <row r="24" spans="1:12" ht="14.1" customHeight="1" x14ac:dyDescent="0.2">
      <c r="A24" s="237" t="s">
        <v>120</v>
      </c>
      <c r="B24" s="151">
        <f>'- 3 -'!B22</f>
        <v>20091292</v>
      </c>
      <c r="C24" s="151">
        <v>76842</v>
      </c>
      <c r="D24" s="151">
        <v>-623926</v>
      </c>
      <c r="E24" s="151">
        <f t="shared" si="2"/>
        <v>19544208</v>
      </c>
      <c r="F24" s="151">
        <f>'- 62 -'!D24</f>
        <v>763240</v>
      </c>
      <c r="G24" s="70">
        <f t="shared" si="3"/>
        <v>3.90519789801664</v>
      </c>
      <c r="H24" s="376">
        <f>+Data!P22</f>
        <v>5</v>
      </c>
      <c r="I24" s="140">
        <v>3.9051978980166401E-2</v>
      </c>
      <c r="J24" s="151">
        <v>19544208</v>
      </c>
      <c r="K24" s="2">
        <f t="shared" si="0"/>
        <v>0</v>
      </c>
      <c r="L24" s="2">
        <f t="shared" si="1"/>
        <v>1.0948021019833602E-2</v>
      </c>
    </row>
    <row r="25" spans="1:12" ht="14.1" customHeight="1" x14ac:dyDescent="0.2">
      <c r="A25" s="354" t="s">
        <v>121</v>
      </c>
      <c r="B25" s="352">
        <f>'- 3 -'!B23</f>
        <v>17387180</v>
      </c>
      <c r="C25" s="352">
        <v>415714</v>
      </c>
      <c r="D25" s="352">
        <v>-307357</v>
      </c>
      <c r="E25" s="352">
        <f t="shared" si="2"/>
        <v>17495537</v>
      </c>
      <c r="F25" s="352">
        <f>'- 62 -'!D25</f>
        <v>672146</v>
      </c>
      <c r="G25" s="291">
        <f t="shared" si="3"/>
        <v>3.8418140580652085</v>
      </c>
      <c r="H25" s="582">
        <f>+Data!P23</f>
        <v>4.2299999999999995</v>
      </c>
      <c r="I25" s="400">
        <v>3.8418140580652085E-2</v>
      </c>
      <c r="J25" s="352">
        <v>17495537</v>
      </c>
      <c r="K25" s="2">
        <f t="shared" si="0"/>
        <v>0</v>
      </c>
      <c r="L25" s="2">
        <f t="shared" si="1"/>
        <v>3.881859419347912E-3</v>
      </c>
    </row>
    <row r="26" spans="1:12" ht="14.1" customHeight="1" x14ac:dyDescent="0.2">
      <c r="A26" s="237" t="s">
        <v>122</v>
      </c>
      <c r="B26" s="151">
        <f>'- 3 -'!B24</f>
        <v>57497492</v>
      </c>
      <c r="C26" s="151">
        <v>2061797</v>
      </c>
      <c r="D26" s="151">
        <v>-345726</v>
      </c>
      <c r="E26" s="151">
        <f t="shared" si="2"/>
        <v>59213563</v>
      </c>
      <c r="F26" s="151">
        <f>'- 62 -'!D26</f>
        <v>1938155</v>
      </c>
      <c r="G26" s="70">
        <f t="shared" si="3"/>
        <v>3.2731605764037539</v>
      </c>
      <c r="H26" s="376">
        <f>+Data!P24</f>
        <v>3.6999999999999997</v>
      </c>
      <c r="I26" s="140">
        <v>3.2731605764037539E-2</v>
      </c>
      <c r="J26" s="151">
        <v>59213563</v>
      </c>
      <c r="K26" s="2">
        <f t="shared" si="0"/>
        <v>0</v>
      </c>
      <c r="L26" s="2">
        <f t="shared" si="1"/>
        <v>4.2683942359624596E-3</v>
      </c>
    </row>
    <row r="27" spans="1:12" ht="14.1" customHeight="1" x14ac:dyDescent="0.2">
      <c r="A27" s="354" t="s">
        <v>123</v>
      </c>
      <c r="B27" s="352">
        <f>'- 3 -'!B25</f>
        <v>178510543</v>
      </c>
      <c r="C27" s="352">
        <v>2440564</v>
      </c>
      <c r="D27" s="352">
        <v>-1047354</v>
      </c>
      <c r="E27" s="352">
        <f t="shared" si="2"/>
        <v>179903753</v>
      </c>
      <c r="F27" s="352">
        <f>'- 62 -'!D27</f>
        <v>5392223</v>
      </c>
      <c r="G27" s="291">
        <f t="shared" si="3"/>
        <v>2.997282107839073</v>
      </c>
      <c r="H27" s="582">
        <f>+Data!P25</f>
        <v>3.5000000000000004</v>
      </c>
      <c r="I27" s="400">
        <v>2.9972821078390732E-2</v>
      </c>
      <c r="J27" s="352">
        <v>179903753</v>
      </c>
      <c r="K27" s="2">
        <f t="shared" si="0"/>
        <v>0</v>
      </c>
      <c r="L27" s="2">
        <f t="shared" si="1"/>
        <v>5.0271789216092717E-3</v>
      </c>
    </row>
    <row r="28" spans="1:12" ht="14.1" customHeight="1" x14ac:dyDescent="0.2">
      <c r="A28" s="237" t="s">
        <v>124</v>
      </c>
      <c r="B28" s="151">
        <f>'- 3 -'!B26</f>
        <v>40991043</v>
      </c>
      <c r="C28" s="151">
        <v>862184</v>
      </c>
      <c r="D28" s="151">
        <v>0</v>
      </c>
      <c r="E28" s="151">
        <f t="shared" si="2"/>
        <v>41853227</v>
      </c>
      <c r="F28" s="151">
        <f>'- 62 -'!D28</f>
        <v>1398798</v>
      </c>
      <c r="G28" s="70">
        <f t="shared" si="3"/>
        <v>3.3421508931676884</v>
      </c>
      <c r="H28" s="376">
        <f>+Data!P26</f>
        <v>3.8600000000000003</v>
      </c>
      <c r="I28" s="140">
        <v>3.3421508931676884E-2</v>
      </c>
      <c r="J28" s="151">
        <v>41853227</v>
      </c>
      <c r="K28" s="2">
        <f t="shared" si="0"/>
        <v>0</v>
      </c>
      <c r="L28" s="2">
        <f t="shared" si="1"/>
        <v>5.1784910683231183E-3</v>
      </c>
    </row>
    <row r="29" spans="1:12" ht="14.1" customHeight="1" x14ac:dyDescent="0.2">
      <c r="A29" s="354" t="s">
        <v>125</v>
      </c>
      <c r="B29" s="352">
        <f>'- 3 -'!B27</f>
        <v>41453187</v>
      </c>
      <c r="C29" s="352">
        <v>443932</v>
      </c>
      <c r="D29" s="352">
        <v>0</v>
      </c>
      <c r="E29" s="352">
        <f t="shared" si="2"/>
        <v>41897119</v>
      </c>
      <c r="F29" s="352">
        <f>'- 62 -'!D29</f>
        <v>1750132</v>
      </c>
      <c r="G29" s="291">
        <f t="shared" si="3"/>
        <v>4.1772132351152829</v>
      </c>
      <c r="H29" s="582">
        <f>+Data!P27</f>
        <v>5</v>
      </c>
      <c r="I29" s="400">
        <v>4.1772132351152833E-2</v>
      </c>
      <c r="J29" s="352">
        <v>41897119</v>
      </c>
      <c r="K29" s="2">
        <f t="shared" si="0"/>
        <v>0</v>
      </c>
      <c r="L29" s="2">
        <f t="shared" si="1"/>
        <v>8.2278676488471703E-3</v>
      </c>
    </row>
    <row r="30" spans="1:12" ht="14.1" customHeight="1" x14ac:dyDescent="0.2">
      <c r="A30" s="237" t="s">
        <v>126</v>
      </c>
      <c r="B30" s="151">
        <f>'- 3 -'!B28</f>
        <v>28356604</v>
      </c>
      <c r="C30" s="151">
        <v>155029</v>
      </c>
      <c r="D30" s="151">
        <v>-134567</v>
      </c>
      <c r="E30" s="151">
        <f t="shared" si="2"/>
        <v>28377066</v>
      </c>
      <c r="F30" s="151">
        <f>'- 62 -'!D30</f>
        <v>1043772</v>
      </c>
      <c r="G30" s="70">
        <f t="shared" si="3"/>
        <v>3.6782238163734049</v>
      </c>
      <c r="H30" s="376">
        <f>+Data!P28</f>
        <v>4.07</v>
      </c>
      <c r="I30" s="140">
        <v>3.6782238163734049E-2</v>
      </c>
      <c r="J30" s="151">
        <v>28377066</v>
      </c>
      <c r="K30" s="2">
        <f t="shared" si="0"/>
        <v>0</v>
      </c>
      <c r="L30" s="2">
        <f t="shared" si="1"/>
        <v>3.9177618362659511E-3</v>
      </c>
    </row>
    <row r="31" spans="1:12" ht="14.1" customHeight="1" x14ac:dyDescent="0.2">
      <c r="A31" s="354" t="s">
        <v>127</v>
      </c>
      <c r="B31" s="352">
        <f>'- 3 -'!B29</f>
        <v>161179469</v>
      </c>
      <c r="C31" s="352">
        <v>3490692</v>
      </c>
      <c r="D31" s="352">
        <v>0</v>
      </c>
      <c r="E31" s="352">
        <f t="shared" si="2"/>
        <v>164670161</v>
      </c>
      <c r="F31" s="352">
        <f>'- 62 -'!D31</f>
        <v>4188841</v>
      </c>
      <c r="G31" s="291">
        <f t="shared" si="3"/>
        <v>2.5437765862146695</v>
      </c>
      <c r="H31" s="582">
        <f>+Data!P29</f>
        <v>3.5000000000000004</v>
      </c>
      <c r="I31" s="400">
        <v>2.5437765862146695E-2</v>
      </c>
      <c r="J31" s="352">
        <v>164670161</v>
      </c>
      <c r="K31" s="2">
        <f t="shared" si="0"/>
        <v>0</v>
      </c>
      <c r="L31" s="2">
        <f t="shared" si="1"/>
        <v>9.5622341378533079E-3</v>
      </c>
    </row>
    <row r="32" spans="1:12" ht="14.1" customHeight="1" x14ac:dyDescent="0.2">
      <c r="A32" s="237" t="s">
        <v>128</v>
      </c>
      <c r="B32" s="151">
        <f>'- 3 -'!B30</f>
        <v>14143073</v>
      </c>
      <c r="C32" s="151">
        <v>1042740</v>
      </c>
      <c r="D32" s="151">
        <v>0</v>
      </c>
      <c r="E32" s="151">
        <f t="shared" si="2"/>
        <v>15185813</v>
      </c>
      <c r="F32" s="151">
        <f>'- 62 -'!D32</f>
        <v>531128</v>
      </c>
      <c r="G32" s="70">
        <f t="shared" si="3"/>
        <v>3.4975275936823405</v>
      </c>
      <c r="H32" s="376">
        <f>+Data!P30</f>
        <v>4.25</v>
      </c>
      <c r="I32" s="140">
        <v>3.4975275936823404E-2</v>
      </c>
      <c r="J32" s="151">
        <v>15185813</v>
      </c>
      <c r="K32" s="2">
        <f t="shared" si="0"/>
        <v>0</v>
      </c>
      <c r="L32" s="2">
        <f t="shared" si="1"/>
        <v>7.5247240631765994E-3</v>
      </c>
    </row>
    <row r="33" spans="1:12" ht="14.1" customHeight="1" x14ac:dyDescent="0.2">
      <c r="A33" s="354" t="s">
        <v>129</v>
      </c>
      <c r="B33" s="352">
        <f>'- 3 -'!B31</f>
        <v>37561700</v>
      </c>
      <c r="C33" s="352">
        <v>1829314</v>
      </c>
      <c r="D33" s="352">
        <v>0</v>
      </c>
      <c r="E33" s="352">
        <f t="shared" si="2"/>
        <v>39391014</v>
      </c>
      <c r="F33" s="352">
        <f>'- 62 -'!D33</f>
        <v>1323895</v>
      </c>
      <c r="G33" s="291">
        <f t="shared" si="3"/>
        <v>3.3609061193499614</v>
      </c>
      <c r="H33" s="582">
        <f>+Data!P31</f>
        <v>3.83</v>
      </c>
      <c r="I33" s="400">
        <v>3.3609061193499615E-2</v>
      </c>
      <c r="J33" s="352">
        <v>39391014</v>
      </c>
      <c r="K33" s="2">
        <f t="shared" si="0"/>
        <v>0</v>
      </c>
      <c r="L33" s="2">
        <f t="shared" si="1"/>
        <v>4.690938806500386E-3</v>
      </c>
    </row>
    <row r="34" spans="1:12" ht="14.1" customHeight="1" x14ac:dyDescent="0.2">
      <c r="A34" s="237" t="s">
        <v>130</v>
      </c>
      <c r="B34" s="151">
        <f>'- 3 -'!B32</f>
        <v>29555351</v>
      </c>
      <c r="C34" s="151">
        <v>396757</v>
      </c>
      <c r="D34" s="151">
        <v>-274323</v>
      </c>
      <c r="E34" s="151">
        <f t="shared" si="2"/>
        <v>29677785</v>
      </c>
      <c r="F34" s="151">
        <f>'- 62 -'!D34</f>
        <v>1110967</v>
      </c>
      <c r="G34" s="70">
        <f t="shared" si="3"/>
        <v>3.7434296393750413</v>
      </c>
      <c r="H34" s="376">
        <f>+Data!P32</f>
        <v>4.03</v>
      </c>
      <c r="I34" s="140">
        <v>3.7434296393750413E-2</v>
      </c>
      <c r="J34" s="151">
        <v>29677785</v>
      </c>
      <c r="K34" s="2">
        <f t="shared" si="0"/>
        <v>0</v>
      </c>
      <c r="L34" s="2">
        <f t="shared" si="1"/>
        <v>2.8657036062495894E-3</v>
      </c>
    </row>
    <row r="35" spans="1:12" ht="14.1" customHeight="1" x14ac:dyDescent="0.2">
      <c r="A35" s="354" t="s">
        <v>131</v>
      </c>
      <c r="B35" s="352">
        <f>'- 3 -'!B33</f>
        <v>27907642</v>
      </c>
      <c r="C35" s="352">
        <v>1105998</v>
      </c>
      <c r="D35" s="352">
        <v>0</v>
      </c>
      <c r="E35" s="352">
        <f t="shared" si="2"/>
        <v>29013640</v>
      </c>
      <c r="F35" s="352">
        <f>'- 62 -'!D35</f>
        <v>905604</v>
      </c>
      <c r="G35" s="291">
        <f t="shared" si="3"/>
        <v>3.1213043244487766</v>
      </c>
      <c r="H35" s="582">
        <f>+Data!P33</f>
        <v>4.0599999999999996</v>
      </c>
      <c r="I35" s="400">
        <v>3.1213043244487766E-2</v>
      </c>
      <c r="J35" s="352">
        <v>29013640</v>
      </c>
      <c r="K35" s="2">
        <f t="shared" si="0"/>
        <v>0</v>
      </c>
      <c r="L35" s="2">
        <f t="shared" si="1"/>
        <v>9.386956755512231E-3</v>
      </c>
    </row>
    <row r="36" spans="1:12" ht="14.1" customHeight="1" x14ac:dyDescent="0.2">
      <c r="A36" s="237" t="s">
        <v>132</v>
      </c>
      <c r="B36" s="151">
        <f>'- 3 -'!B34</f>
        <v>29519386</v>
      </c>
      <c r="C36" s="151">
        <v>801980</v>
      </c>
      <c r="D36" s="151">
        <v>0</v>
      </c>
      <c r="E36" s="151">
        <f t="shared" si="2"/>
        <v>30321366</v>
      </c>
      <c r="F36" s="151">
        <f>'- 62 -'!D36</f>
        <v>1065185</v>
      </c>
      <c r="G36" s="70">
        <f t="shared" si="3"/>
        <v>3.5129848701407451</v>
      </c>
      <c r="H36" s="376">
        <f>+Data!P34</f>
        <v>4.0599999999999996</v>
      </c>
      <c r="I36" s="140">
        <v>3.5129848701407451E-2</v>
      </c>
      <c r="J36" s="151">
        <v>30321366</v>
      </c>
      <c r="K36" s="2">
        <f t="shared" si="0"/>
        <v>0</v>
      </c>
      <c r="L36" s="2">
        <f t="shared" si="1"/>
        <v>5.470151298592546E-3</v>
      </c>
    </row>
    <row r="37" spans="1:12" ht="14.1" customHeight="1" x14ac:dyDescent="0.2">
      <c r="A37" s="354" t="s">
        <v>133</v>
      </c>
      <c r="B37" s="352">
        <f>'- 3 -'!B35</f>
        <v>184853371</v>
      </c>
      <c r="C37" s="352">
        <v>3653166</v>
      </c>
      <c r="D37" s="352">
        <v>-1430684</v>
      </c>
      <c r="E37" s="352">
        <f t="shared" si="2"/>
        <v>187075853</v>
      </c>
      <c r="F37" s="352">
        <f>'- 62 -'!D37</f>
        <v>4801671</v>
      </c>
      <c r="G37" s="291">
        <f t="shared" si="3"/>
        <v>2.5666973706114811</v>
      </c>
      <c r="H37" s="582">
        <f>+Data!P35</f>
        <v>3.5000000000000004</v>
      </c>
      <c r="I37" s="400">
        <v>2.5666973706114812E-2</v>
      </c>
      <c r="J37" s="352">
        <v>187075853</v>
      </c>
      <c r="K37" s="2">
        <f t="shared" si="0"/>
        <v>0</v>
      </c>
      <c r="L37" s="2">
        <f t="shared" si="1"/>
        <v>9.3330262938851917E-3</v>
      </c>
    </row>
    <row r="38" spans="1:12" ht="14.1" customHeight="1" x14ac:dyDescent="0.2">
      <c r="A38" s="237" t="s">
        <v>134</v>
      </c>
      <c r="B38" s="151">
        <f>'- 3 -'!B36</f>
        <v>23780013</v>
      </c>
      <c r="C38" s="151">
        <v>502798</v>
      </c>
      <c r="D38" s="151">
        <v>-123434</v>
      </c>
      <c r="E38" s="151">
        <f t="shared" si="2"/>
        <v>24159377</v>
      </c>
      <c r="F38" s="151">
        <f>'- 62 -'!D38</f>
        <v>874566</v>
      </c>
      <c r="G38" s="70">
        <f t="shared" si="3"/>
        <v>3.6199857305923082</v>
      </c>
      <c r="H38" s="376">
        <f>+Data!P36</f>
        <v>4.12</v>
      </c>
      <c r="I38" s="140">
        <v>3.619985730592308E-2</v>
      </c>
      <c r="J38" s="151">
        <v>24159377</v>
      </c>
      <c r="K38" s="2">
        <f t="shared" si="0"/>
        <v>0</v>
      </c>
      <c r="L38" s="2">
        <f t="shared" si="1"/>
        <v>5.00014269407692E-3</v>
      </c>
    </row>
    <row r="39" spans="1:12" ht="14.1" customHeight="1" x14ac:dyDescent="0.2">
      <c r="A39" s="354" t="s">
        <v>135</v>
      </c>
      <c r="B39" s="352">
        <f>'- 3 -'!B37</f>
        <v>50747003</v>
      </c>
      <c r="C39" s="352">
        <v>1376388</v>
      </c>
      <c r="D39" s="352">
        <v>-315175</v>
      </c>
      <c r="E39" s="352">
        <f t="shared" si="2"/>
        <v>51808216</v>
      </c>
      <c r="F39" s="352">
        <f>'- 62 -'!D39</f>
        <v>1642244</v>
      </c>
      <c r="G39" s="291">
        <f t="shared" si="3"/>
        <v>3.1698524419370084</v>
      </c>
      <c r="H39" s="582">
        <f>+Data!P37</f>
        <v>3.65</v>
      </c>
      <c r="I39" s="400">
        <v>3.1698524419370086E-2</v>
      </c>
      <c r="J39" s="352">
        <v>51808216</v>
      </c>
      <c r="K39" s="2">
        <f t="shared" si="0"/>
        <v>0</v>
      </c>
      <c r="L39" s="2">
        <f t="shared" si="1"/>
        <v>4.8014755806299117E-3</v>
      </c>
    </row>
    <row r="40" spans="1:12" ht="14.1" customHeight="1" x14ac:dyDescent="0.2">
      <c r="A40" s="237" t="s">
        <v>136</v>
      </c>
      <c r="B40" s="151">
        <f>'- 3 -'!B38</f>
        <v>136855162</v>
      </c>
      <c r="C40" s="151">
        <v>2867795</v>
      </c>
      <c r="D40" s="151">
        <v>-847478</v>
      </c>
      <c r="E40" s="151">
        <f t="shared" si="2"/>
        <v>138875479</v>
      </c>
      <c r="F40" s="151">
        <f>'- 62 -'!D40</f>
        <v>3768534</v>
      </c>
      <c r="G40" s="70">
        <f t="shared" si="3"/>
        <v>2.7136064819621613</v>
      </c>
      <c r="H40" s="376">
        <f>+Data!P38</f>
        <v>3.5000000000000004</v>
      </c>
      <c r="I40" s="140">
        <v>2.7136064819621612E-2</v>
      </c>
      <c r="J40" s="151">
        <v>138875479</v>
      </c>
      <c r="K40" s="2">
        <f t="shared" si="0"/>
        <v>0</v>
      </c>
      <c r="L40" s="2">
        <f t="shared" si="1"/>
        <v>7.8639351803783918E-3</v>
      </c>
    </row>
    <row r="41" spans="1:12" ht="14.1" customHeight="1" x14ac:dyDescent="0.2">
      <c r="A41" s="354" t="s">
        <v>137</v>
      </c>
      <c r="B41" s="352">
        <f>'- 3 -'!B39</f>
        <v>21700298</v>
      </c>
      <c r="C41" s="352">
        <v>1780951</v>
      </c>
      <c r="D41" s="352">
        <v>0</v>
      </c>
      <c r="E41" s="352">
        <f t="shared" si="2"/>
        <v>23481249</v>
      </c>
      <c r="F41" s="352">
        <f>'- 62 -'!D41</f>
        <v>838203</v>
      </c>
      <c r="G41" s="291">
        <f t="shared" si="3"/>
        <v>3.5696695691102294</v>
      </c>
      <c r="H41" s="582">
        <f>+Data!P39</f>
        <v>4.16</v>
      </c>
      <c r="I41" s="400">
        <v>3.5696695691102294E-2</v>
      </c>
      <c r="J41" s="352">
        <v>23481249</v>
      </c>
      <c r="K41" s="2">
        <f t="shared" si="0"/>
        <v>0</v>
      </c>
      <c r="L41" s="2">
        <f t="shared" si="1"/>
        <v>5.9033043088977041E-3</v>
      </c>
    </row>
    <row r="42" spans="1:12" ht="14.1" customHeight="1" x14ac:dyDescent="0.2">
      <c r="A42" s="237" t="s">
        <v>138</v>
      </c>
      <c r="B42" s="151">
        <f>'- 3 -'!B40</f>
        <v>104765593</v>
      </c>
      <c r="C42" s="151">
        <v>2109093</v>
      </c>
      <c r="D42" s="151">
        <v>0</v>
      </c>
      <c r="E42" s="151">
        <f t="shared" si="2"/>
        <v>106874686</v>
      </c>
      <c r="F42" s="151">
        <f>'- 62 -'!D42</f>
        <v>3194643</v>
      </c>
      <c r="G42" s="70">
        <f t="shared" si="3"/>
        <v>2.9891484312758587</v>
      </c>
      <c r="H42" s="376">
        <f>+Data!P40</f>
        <v>3.5000000000000004</v>
      </c>
      <c r="I42" s="140">
        <v>2.9891484312758589E-2</v>
      </c>
      <c r="J42" s="151">
        <v>106874686</v>
      </c>
      <c r="K42" s="2">
        <f t="shared" si="0"/>
        <v>0</v>
      </c>
      <c r="L42" s="2">
        <f t="shared" si="1"/>
        <v>5.1085156872414141E-3</v>
      </c>
    </row>
    <row r="43" spans="1:12" ht="14.1" customHeight="1" x14ac:dyDescent="0.2">
      <c r="A43" s="354" t="s">
        <v>139</v>
      </c>
      <c r="B43" s="352">
        <f>'- 3 -'!B41</f>
        <v>63417379</v>
      </c>
      <c r="C43" s="352">
        <v>2424172</v>
      </c>
      <c r="D43" s="352">
        <v>-966027</v>
      </c>
      <c r="E43" s="352">
        <f t="shared" si="2"/>
        <v>64875524</v>
      </c>
      <c r="F43" s="352">
        <f>'- 62 -'!D43</f>
        <v>2199848</v>
      </c>
      <c r="G43" s="291">
        <f t="shared" si="3"/>
        <v>3.3908751164769013</v>
      </c>
      <c r="H43" s="582">
        <f>+Data!P41</f>
        <v>3.5999999999999996</v>
      </c>
      <c r="I43" s="400">
        <v>3.3908751164769012E-2</v>
      </c>
      <c r="J43" s="352">
        <v>64875524</v>
      </c>
      <c r="K43" s="2">
        <f t="shared" si="0"/>
        <v>0</v>
      </c>
      <c r="L43" s="2">
        <f t="shared" si="1"/>
        <v>2.0912488352309855E-3</v>
      </c>
    </row>
    <row r="44" spans="1:12" ht="14.1" customHeight="1" x14ac:dyDescent="0.2">
      <c r="A44" s="237" t="s">
        <v>140</v>
      </c>
      <c r="B44" s="151">
        <f>'- 3 -'!B42</f>
        <v>20321182</v>
      </c>
      <c r="C44" s="151">
        <v>1053050</v>
      </c>
      <c r="D44" s="151">
        <v>0</v>
      </c>
      <c r="E44" s="151">
        <f t="shared" si="2"/>
        <v>21374232</v>
      </c>
      <c r="F44" s="151">
        <f>'- 62 -'!D44</f>
        <v>829713</v>
      </c>
      <c r="G44" s="70">
        <f t="shared" si="3"/>
        <v>3.8818377193622675</v>
      </c>
      <c r="H44" s="376">
        <f>+Data!P42</f>
        <v>4.18</v>
      </c>
      <c r="I44" s="140">
        <v>3.8818377193622675E-2</v>
      </c>
      <c r="J44" s="151">
        <v>21374232</v>
      </c>
      <c r="K44" s="2">
        <f t="shared" si="0"/>
        <v>0</v>
      </c>
      <c r="L44" s="2">
        <f t="shared" si="1"/>
        <v>2.9816228063773223E-3</v>
      </c>
    </row>
    <row r="45" spans="1:12" ht="14.1" customHeight="1" x14ac:dyDescent="0.2">
      <c r="A45" s="354" t="s">
        <v>141</v>
      </c>
      <c r="B45" s="352">
        <f>'- 3 -'!B43</f>
        <v>13276904</v>
      </c>
      <c r="C45" s="352">
        <v>217523</v>
      </c>
      <c r="D45" s="352">
        <v>-219234</v>
      </c>
      <c r="E45" s="352">
        <f t="shared" si="2"/>
        <v>13275193</v>
      </c>
      <c r="F45" s="352">
        <f>'- 62 -'!D45</f>
        <v>536825</v>
      </c>
      <c r="G45" s="291">
        <f t="shared" si="3"/>
        <v>4.0438206811757835</v>
      </c>
      <c r="H45" s="582">
        <f>+Data!P43</f>
        <v>4.25</v>
      </c>
      <c r="I45" s="400">
        <v>4.0438206811757839E-2</v>
      </c>
      <c r="J45" s="352">
        <v>13275193</v>
      </c>
      <c r="K45" s="2">
        <f t="shared" si="0"/>
        <v>0</v>
      </c>
      <c r="L45" s="2">
        <f t="shared" si="1"/>
        <v>2.0617931882421642E-3</v>
      </c>
    </row>
    <row r="46" spans="1:12" ht="14.1" customHeight="1" x14ac:dyDescent="0.2">
      <c r="A46" s="237" t="s">
        <v>142</v>
      </c>
      <c r="B46" s="151">
        <f>'- 3 -'!B44</f>
        <v>10986027</v>
      </c>
      <c r="C46" s="151">
        <v>427061</v>
      </c>
      <c r="D46" s="151">
        <v>0</v>
      </c>
      <c r="E46" s="151">
        <f t="shared" si="2"/>
        <v>11413088</v>
      </c>
      <c r="F46" s="151">
        <f>'- 62 -'!D46</f>
        <v>376292</v>
      </c>
      <c r="G46" s="70">
        <f t="shared" si="3"/>
        <v>3.2970218051416063</v>
      </c>
      <c r="H46" s="376">
        <f>+Data!P44</f>
        <v>4.25</v>
      </c>
      <c r="I46" s="140">
        <v>3.2970218051416061E-2</v>
      </c>
      <c r="J46" s="151">
        <v>11413088</v>
      </c>
      <c r="K46" s="2">
        <f t="shared" si="0"/>
        <v>0</v>
      </c>
      <c r="L46" s="2">
        <f t="shared" si="1"/>
        <v>9.5297819485839416E-3</v>
      </c>
    </row>
    <row r="47" spans="1:12" ht="14.1" customHeight="1" x14ac:dyDescent="0.2">
      <c r="A47" s="354" t="s">
        <v>143</v>
      </c>
      <c r="B47" s="352">
        <f>'- 3 -'!B45</f>
        <v>19506730</v>
      </c>
      <c r="C47" s="352">
        <v>959651</v>
      </c>
      <c r="D47" s="352">
        <v>-393082</v>
      </c>
      <c r="E47" s="352">
        <f t="shared" si="2"/>
        <v>20073299</v>
      </c>
      <c r="F47" s="352">
        <f>'- 62 -'!D47</f>
        <v>733648</v>
      </c>
      <c r="G47" s="291">
        <f t="shared" si="3"/>
        <v>3.6548451751752413</v>
      </c>
      <c r="H47" s="582">
        <f>+Data!P45</f>
        <v>4.12</v>
      </c>
      <c r="I47" s="400">
        <v>3.6548451751752413E-2</v>
      </c>
      <c r="J47" s="352">
        <v>20073299</v>
      </c>
      <c r="K47" s="2">
        <f t="shared" si="0"/>
        <v>0</v>
      </c>
      <c r="L47" s="2">
        <f t="shared" si="1"/>
        <v>4.6515482482475876E-3</v>
      </c>
    </row>
    <row r="48" spans="1:12" ht="14.1" customHeight="1" x14ac:dyDescent="0.2">
      <c r="A48" s="237" t="s">
        <v>144</v>
      </c>
      <c r="B48" s="151">
        <f>'- 3 -'!B46</f>
        <v>393646445</v>
      </c>
      <c r="C48" s="151">
        <v>4348315</v>
      </c>
      <c r="D48" s="151">
        <v>-801004</v>
      </c>
      <c r="E48" s="151">
        <f t="shared" si="2"/>
        <v>397193756</v>
      </c>
      <c r="F48" s="151">
        <f>'- 62 -'!D48</f>
        <v>10626138</v>
      </c>
      <c r="G48" s="70">
        <f t="shared" si="3"/>
        <v>2.6753033851821173</v>
      </c>
      <c r="H48" s="376">
        <f>+Data!P46</f>
        <v>3.5000000000000004</v>
      </c>
      <c r="I48" s="140">
        <v>2.6753033851821175E-2</v>
      </c>
      <c r="J48" s="151">
        <v>397193756</v>
      </c>
      <c r="K48" s="2">
        <f t="shared" si="0"/>
        <v>0</v>
      </c>
      <c r="L48" s="2">
        <f t="shared" si="1"/>
        <v>8.2469661481788283E-3</v>
      </c>
    </row>
    <row r="49" spans="1:11" ht="5.0999999999999996" customHeight="1" x14ac:dyDescent="0.2">
      <c r="A49" s="130"/>
      <c r="B49" s="152"/>
      <c r="C49" s="152"/>
      <c r="D49" s="152"/>
      <c r="E49" s="152"/>
      <c r="F49" s="152"/>
      <c r="G49" s="581"/>
      <c r="H49" s="1"/>
      <c r="I49" s="131"/>
      <c r="J49" s="152"/>
    </row>
    <row r="50" spans="1:11" ht="14.45" customHeight="1" x14ac:dyDescent="0.2">
      <c r="A50" s="355" t="s">
        <v>145</v>
      </c>
      <c r="B50" s="356">
        <f>SUM(B13:B48)</f>
        <v>2095994397.51</v>
      </c>
      <c r="C50" s="356">
        <f>SUM(C13:C48)</f>
        <v>51361714</v>
      </c>
      <c r="D50" s="356">
        <f>SUM(D13:D48)</f>
        <v>-8483869</v>
      </c>
      <c r="E50" s="356">
        <f>SUM(E13:E48)</f>
        <v>2138872242.51</v>
      </c>
      <c r="F50" s="356">
        <f>SUM(F13:F48)</f>
        <v>64310362</v>
      </c>
      <c r="G50" s="294">
        <f>F50/E50*100</f>
        <v>3.006741624012605</v>
      </c>
      <c r="H50" s="583" t="s">
        <v>95</v>
      </c>
      <c r="I50" s="401"/>
      <c r="J50" s="356">
        <f>SUM(J13:J48)</f>
        <v>2138872242.51</v>
      </c>
      <c r="K50" s="2">
        <f>J50-E50</f>
        <v>0</v>
      </c>
    </row>
    <row r="51" spans="1:11" ht="5.0999999999999996" customHeight="1" x14ac:dyDescent="0.2">
      <c r="A51" s="130" t="s">
        <v>7</v>
      </c>
      <c r="B51" s="152"/>
      <c r="C51" s="152"/>
      <c r="D51" s="152"/>
      <c r="E51" s="152"/>
      <c r="F51" s="152"/>
      <c r="G51" s="581"/>
      <c r="H51"/>
      <c r="I51" s="131"/>
      <c r="J51" s="152"/>
    </row>
    <row r="52" spans="1:11" ht="14.45" customHeight="1" x14ac:dyDescent="0.2">
      <c r="A52" s="237" t="s">
        <v>146</v>
      </c>
      <c r="B52" s="151"/>
      <c r="C52" s="151"/>
      <c r="D52" s="151"/>
      <c r="E52" s="151"/>
      <c r="F52" s="151"/>
      <c r="G52" s="580" t="s">
        <v>628</v>
      </c>
      <c r="H52" s="580" t="s">
        <v>628</v>
      </c>
      <c r="I52" s="140">
        <v>5.7502413468617591E-2</v>
      </c>
      <c r="J52" s="151">
        <v>3281584</v>
      </c>
    </row>
    <row r="53" spans="1:11" ht="50.1" customHeight="1" x14ac:dyDescent="0.2">
      <c r="A53" s="23"/>
      <c r="B53" s="23"/>
      <c r="C53" s="23"/>
      <c r="D53" s="23"/>
      <c r="E53" s="23"/>
      <c r="F53" s="23"/>
      <c r="G53" s="23"/>
      <c r="H53" s="23"/>
    </row>
    <row r="54" spans="1:11" ht="14.45" customHeight="1" x14ac:dyDescent="0.2">
      <c r="A54" s="607" t="s">
        <v>595</v>
      </c>
      <c r="B54" s="607"/>
      <c r="C54" s="607"/>
      <c r="D54" s="607"/>
      <c r="E54" s="607"/>
      <c r="F54" s="607"/>
      <c r="G54" s="607"/>
      <c r="H54" s="607"/>
    </row>
    <row r="55" spans="1:11" ht="12" customHeight="1" x14ac:dyDescent="0.2">
      <c r="A55" s="826"/>
      <c r="B55" s="826"/>
      <c r="C55" s="826"/>
      <c r="D55" s="826"/>
      <c r="E55" s="826"/>
      <c r="F55" s="826"/>
      <c r="G55" s="826"/>
      <c r="H55" s="826"/>
    </row>
    <row r="56" spans="1:11" ht="14.45" customHeight="1" x14ac:dyDescent="0.2">
      <c r="A56" s="38"/>
      <c r="B56" s="38"/>
      <c r="C56" s="38"/>
      <c r="D56" s="38"/>
    </row>
    <row r="57" spans="1:11" ht="14.45" customHeight="1" x14ac:dyDescent="0.2">
      <c r="A57" s="38"/>
      <c r="B57" s="38"/>
      <c r="C57" s="38"/>
      <c r="D57" s="38"/>
    </row>
    <row r="58" spans="1:11" ht="14.45" customHeight="1" x14ac:dyDescent="0.2">
      <c r="A58" s="38"/>
      <c r="B58" s="38"/>
      <c r="C58" s="38"/>
      <c r="D58" s="38"/>
    </row>
    <row r="59" spans="1:11" x14ac:dyDescent="0.2">
      <c r="A59" s="38"/>
    </row>
  </sheetData>
  <mergeCells count="9">
    <mergeCell ref="B4:H4"/>
    <mergeCell ref="A54:H55"/>
    <mergeCell ref="B8:B11"/>
    <mergeCell ref="C8:C11"/>
    <mergeCell ref="D8:D11"/>
    <mergeCell ref="E9:E11"/>
    <mergeCell ref="F8:F11"/>
    <mergeCell ref="H6:H11"/>
    <mergeCell ref="G6:G11"/>
  </mergeCells>
  <phoneticPr fontId="0" type="noConversion"/>
  <pageMargins left="0.5" right="0.5" top="0.6" bottom="0.2" header="0.3" footer="0.5"/>
  <pageSetup scale="85" orientation="portrait" r:id="rId1"/>
  <headerFooter alignWithMargins="0">
    <oddHeader>&amp;C&amp;"Arial,Regular"&amp;11&amp;A</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44">
    <pageSetUpPr autoPageBreaks="0" fitToPage="1"/>
  </sheetPr>
  <dimension ref="A1:I56"/>
  <sheetViews>
    <sheetView showGridLines="0" showZeros="0" defaultGridColor="0" colorId="22" workbookViewId="0"/>
  </sheetViews>
  <sheetFormatPr defaultColWidth="15.83203125" defaultRowHeight="12.75" x14ac:dyDescent="0.2"/>
  <cols>
    <col min="1" max="1" width="28.1640625" style="477" customWidth="1"/>
    <col min="2" max="2" width="16.83203125" style="481" bestFit="1" customWidth="1"/>
    <col min="3" max="3" width="13" style="477" customWidth="1"/>
    <col min="4" max="4" width="11.83203125" style="477" customWidth="1"/>
    <col min="5" max="5" width="15.1640625" style="477" customWidth="1"/>
    <col min="6" max="6" width="15.5" style="477" customWidth="1"/>
    <col min="7" max="7" width="14.33203125" style="477" customWidth="1"/>
    <col min="8" max="8" width="8.5" style="477" customWidth="1"/>
    <col min="9" max="9" width="11.83203125" style="477" customWidth="1"/>
    <col min="10" max="16384" width="15.83203125" style="477"/>
  </cols>
  <sheetData>
    <row r="1" spans="1:9" x14ac:dyDescent="0.2">
      <c r="A1" s="511"/>
      <c r="B1" s="512"/>
      <c r="C1" s="513"/>
      <c r="D1" s="513"/>
      <c r="E1" s="513"/>
      <c r="F1" s="513"/>
      <c r="G1" s="513"/>
      <c r="H1" s="513"/>
      <c r="I1" s="513"/>
    </row>
    <row r="2" spans="1:9" s="478" customFormat="1" ht="15.95" customHeight="1" x14ac:dyDescent="0.2">
      <c r="A2" s="834" t="s">
        <v>379</v>
      </c>
      <c r="B2" s="834"/>
      <c r="C2" s="834"/>
      <c r="D2" s="834"/>
      <c r="E2" s="834"/>
      <c r="F2" s="834"/>
      <c r="G2" s="834"/>
      <c r="H2" s="834"/>
      <c r="I2" s="514"/>
    </row>
    <row r="3" spans="1:9" s="478" customFormat="1" ht="16.5" customHeight="1" x14ac:dyDescent="0.2">
      <c r="A3" s="835" t="str">
        <f>Data!B5&amp;" "&amp;"ACTUAL"</f>
        <v>2016/17 ACTUAL</v>
      </c>
      <c r="B3" s="835"/>
      <c r="C3" s="835"/>
      <c r="D3" s="835"/>
      <c r="E3" s="835"/>
      <c r="F3" s="835"/>
      <c r="G3" s="835"/>
      <c r="H3" s="835"/>
      <c r="I3" s="515"/>
    </row>
    <row r="4" spans="1:9" x14ac:dyDescent="0.2">
      <c r="A4" s="513"/>
      <c r="B4" s="516"/>
      <c r="C4" s="513"/>
      <c r="D4" s="513"/>
      <c r="E4" s="513"/>
      <c r="F4" s="513"/>
      <c r="G4" s="513"/>
      <c r="H4" s="513"/>
      <c r="I4" s="513"/>
    </row>
    <row r="5" spans="1:9" x14ac:dyDescent="0.2">
      <c r="A5" s="513"/>
      <c r="B5" s="516"/>
      <c r="C5" s="513"/>
      <c r="D5" s="513"/>
      <c r="E5" s="513"/>
      <c r="F5" s="513"/>
      <c r="G5" s="513"/>
      <c r="H5" s="513"/>
      <c r="I5" s="513"/>
    </row>
    <row r="6" spans="1:9" x14ac:dyDescent="0.2">
      <c r="A6" s="513"/>
      <c r="B6" s="513"/>
      <c r="C6" s="513"/>
      <c r="D6" s="513"/>
      <c r="E6" s="513"/>
      <c r="F6" s="513"/>
      <c r="G6" s="513"/>
      <c r="H6" s="513"/>
      <c r="I6" s="513"/>
    </row>
    <row r="7" spans="1:9" x14ac:dyDescent="0.2">
      <c r="A7" s="513"/>
      <c r="B7" s="833"/>
      <c r="C7" s="833"/>
      <c r="D7" s="833"/>
      <c r="E7" s="833"/>
      <c r="F7" s="833"/>
      <c r="G7" s="833"/>
      <c r="H7" s="833"/>
      <c r="I7" s="513"/>
    </row>
    <row r="8" spans="1:9" ht="39" customHeight="1" x14ac:dyDescent="0.2">
      <c r="A8" s="517"/>
      <c r="B8" s="836" t="s">
        <v>285</v>
      </c>
      <c r="C8" s="831" t="s">
        <v>368</v>
      </c>
      <c r="D8" s="832"/>
      <c r="E8" s="837" t="s">
        <v>286</v>
      </c>
      <c r="F8" s="829" t="s">
        <v>287</v>
      </c>
      <c r="G8" s="829" t="s">
        <v>369</v>
      </c>
      <c r="H8" s="829" t="s">
        <v>370</v>
      </c>
      <c r="I8" s="829" t="s">
        <v>288</v>
      </c>
    </row>
    <row r="9" spans="1:9" ht="19.5" customHeight="1" x14ac:dyDescent="0.2">
      <c r="A9" s="518" t="s">
        <v>289</v>
      </c>
      <c r="B9" s="830"/>
      <c r="C9" s="507" t="s">
        <v>367</v>
      </c>
      <c r="D9" s="506" t="s">
        <v>24</v>
      </c>
      <c r="E9" s="830"/>
      <c r="F9" s="830"/>
      <c r="G9" s="830"/>
      <c r="H9" s="830"/>
      <c r="I9" s="830"/>
    </row>
    <row r="10" spans="1:9" ht="3.95" customHeight="1" x14ac:dyDescent="0.2">
      <c r="A10" s="519"/>
      <c r="B10" s="516"/>
      <c r="C10" s="513"/>
      <c r="D10" s="513"/>
      <c r="E10" s="513"/>
      <c r="F10" s="513"/>
      <c r="G10" s="513"/>
      <c r="H10" s="513"/>
      <c r="I10" s="513"/>
    </row>
    <row r="11" spans="1:9" x14ac:dyDescent="0.2">
      <c r="A11" s="354" t="s">
        <v>290</v>
      </c>
      <c r="B11" s="520">
        <v>11.4</v>
      </c>
      <c r="C11" s="520">
        <v>118.53999999999999</v>
      </c>
      <c r="D11" s="520">
        <v>53.17</v>
      </c>
      <c r="E11" s="520">
        <v>41.099999999999994</v>
      </c>
      <c r="F11" s="520">
        <v>8.99</v>
      </c>
      <c r="G11" s="520">
        <v>2</v>
      </c>
      <c r="H11" s="520">
        <v>2.25</v>
      </c>
      <c r="I11" s="520">
        <f t="shared" ref="I11:I46" si="0">SUM(B11:H11)</f>
        <v>237.45000000000002</v>
      </c>
    </row>
    <row r="12" spans="1:9" x14ac:dyDescent="0.2">
      <c r="A12" s="237" t="s">
        <v>291</v>
      </c>
      <c r="B12" s="521">
        <v>19.73</v>
      </c>
      <c r="C12" s="521">
        <v>176.63</v>
      </c>
      <c r="D12" s="521">
        <v>86.55</v>
      </c>
      <c r="E12" s="521">
        <v>68.709999999999994</v>
      </c>
      <c r="F12" s="521">
        <v>21.750000000000004</v>
      </c>
      <c r="G12" s="521">
        <v>6</v>
      </c>
      <c r="H12" s="521">
        <v>5.61</v>
      </c>
      <c r="I12" s="521">
        <f t="shared" si="0"/>
        <v>384.97999999999996</v>
      </c>
    </row>
    <row r="13" spans="1:9" x14ac:dyDescent="0.2">
      <c r="A13" s="354" t="s">
        <v>292</v>
      </c>
      <c r="B13" s="520">
        <v>47.75</v>
      </c>
      <c r="C13" s="520">
        <v>615.94000000000005</v>
      </c>
      <c r="D13" s="520">
        <v>288.27999999999997</v>
      </c>
      <c r="E13" s="520">
        <v>132.41</v>
      </c>
      <c r="F13" s="520">
        <v>49.89</v>
      </c>
      <c r="G13" s="520">
        <v>27.25</v>
      </c>
      <c r="H13" s="520">
        <v>8</v>
      </c>
      <c r="I13" s="520">
        <f t="shared" si="0"/>
        <v>1169.5200000000002</v>
      </c>
    </row>
    <row r="14" spans="1:9" x14ac:dyDescent="0.2">
      <c r="A14" s="237" t="s">
        <v>360</v>
      </c>
      <c r="B14" s="521">
        <v>56.24</v>
      </c>
      <c r="C14" s="521">
        <v>414.9</v>
      </c>
      <c r="D14" s="521">
        <v>265.59999999999997</v>
      </c>
      <c r="E14" s="521">
        <v>69.19</v>
      </c>
      <c r="F14" s="521">
        <v>55.81</v>
      </c>
      <c r="G14" s="521">
        <v>9.6300000000000008</v>
      </c>
      <c r="H14" s="521">
        <v>8.08</v>
      </c>
      <c r="I14" s="521">
        <f t="shared" si="0"/>
        <v>879.45</v>
      </c>
    </row>
    <row r="15" spans="1:9" x14ac:dyDescent="0.2">
      <c r="A15" s="354" t="s">
        <v>293</v>
      </c>
      <c r="B15" s="520">
        <v>13.55</v>
      </c>
      <c r="C15" s="520">
        <v>103.8</v>
      </c>
      <c r="D15" s="520">
        <v>54.7</v>
      </c>
      <c r="E15" s="520">
        <v>37.4</v>
      </c>
      <c r="F15" s="520">
        <v>14.05</v>
      </c>
      <c r="G15" s="520">
        <v>1.7</v>
      </c>
      <c r="H15" s="520">
        <v>2</v>
      </c>
      <c r="I15" s="520">
        <f t="shared" si="0"/>
        <v>227.20000000000002</v>
      </c>
    </row>
    <row r="16" spans="1:9" x14ac:dyDescent="0.2">
      <c r="A16" s="237" t="s">
        <v>294</v>
      </c>
      <c r="B16" s="521">
        <v>11.17</v>
      </c>
      <c r="C16" s="521">
        <v>71.45</v>
      </c>
      <c r="D16" s="521">
        <v>32.5</v>
      </c>
      <c r="E16" s="521">
        <v>23.3</v>
      </c>
      <c r="F16" s="521">
        <v>8.25</v>
      </c>
      <c r="G16" s="521">
        <v>2.7</v>
      </c>
      <c r="H16" s="521">
        <v>1</v>
      </c>
      <c r="I16" s="521">
        <f t="shared" si="0"/>
        <v>150.37</v>
      </c>
    </row>
    <row r="17" spans="1:9" x14ac:dyDescent="0.2">
      <c r="A17" s="354" t="s">
        <v>295</v>
      </c>
      <c r="B17" s="520">
        <v>10.75</v>
      </c>
      <c r="C17" s="520">
        <v>104.67</v>
      </c>
      <c r="D17" s="520">
        <v>46.129999999999995</v>
      </c>
      <c r="E17" s="520">
        <v>50.150000000000006</v>
      </c>
      <c r="F17" s="520">
        <v>11.969999999999999</v>
      </c>
      <c r="G17" s="520">
        <v>3</v>
      </c>
      <c r="H17" s="520">
        <v>2</v>
      </c>
      <c r="I17" s="520">
        <f t="shared" si="0"/>
        <v>228.67000000000002</v>
      </c>
    </row>
    <row r="18" spans="1:9" x14ac:dyDescent="0.2">
      <c r="A18" s="237" t="s">
        <v>296</v>
      </c>
      <c r="B18" s="521">
        <v>70.599999999999994</v>
      </c>
      <c r="C18" s="521">
        <v>474.20000000000005</v>
      </c>
      <c r="D18" s="521">
        <v>399.95</v>
      </c>
      <c r="E18" s="521">
        <v>293.39999999999998</v>
      </c>
      <c r="F18" s="521">
        <v>69</v>
      </c>
      <c r="G18" s="521">
        <v>15.5</v>
      </c>
      <c r="H18" s="521">
        <v>9.6</v>
      </c>
      <c r="I18" s="521">
        <f t="shared" si="0"/>
        <v>1332.25</v>
      </c>
    </row>
    <row r="19" spans="1:9" x14ac:dyDescent="0.2">
      <c r="A19" s="354" t="s">
        <v>297</v>
      </c>
      <c r="B19" s="520">
        <v>21</v>
      </c>
      <c r="C19" s="520">
        <v>276.97000000000003</v>
      </c>
      <c r="D19" s="520">
        <v>149.41</v>
      </c>
      <c r="E19" s="520">
        <v>99.22</v>
      </c>
      <c r="F19" s="520">
        <v>19</v>
      </c>
      <c r="G19" s="520">
        <v>10.5</v>
      </c>
      <c r="H19" s="520">
        <v>8</v>
      </c>
      <c r="I19" s="520">
        <f t="shared" si="0"/>
        <v>584.1</v>
      </c>
    </row>
    <row r="20" spans="1:9" x14ac:dyDescent="0.2">
      <c r="A20" s="237" t="s">
        <v>298</v>
      </c>
      <c r="B20" s="521">
        <v>43.170000000000009</v>
      </c>
      <c r="C20" s="521">
        <v>497.64499999999998</v>
      </c>
      <c r="D20" s="521">
        <v>179.31</v>
      </c>
      <c r="E20" s="521">
        <v>207.25</v>
      </c>
      <c r="F20" s="521">
        <v>69.989999999999995</v>
      </c>
      <c r="G20" s="521">
        <v>17.850000000000001</v>
      </c>
      <c r="H20" s="521">
        <v>11.33</v>
      </c>
      <c r="I20" s="521">
        <f t="shared" si="0"/>
        <v>1026.5450000000001</v>
      </c>
    </row>
    <row r="21" spans="1:9" x14ac:dyDescent="0.2">
      <c r="A21" s="354" t="s">
        <v>299</v>
      </c>
      <c r="B21" s="520">
        <v>22.009999999999998</v>
      </c>
      <c r="C21" s="520">
        <v>216.33</v>
      </c>
      <c r="D21" s="520">
        <v>99.86</v>
      </c>
      <c r="E21" s="520">
        <v>73.03</v>
      </c>
      <c r="F21" s="520">
        <v>24.25</v>
      </c>
      <c r="G21" s="520">
        <v>7.4</v>
      </c>
      <c r="H21" s="520">
        <v>7</v>
      </c>
      <c r="I21" s="520">
        <f t="shared" si="0"/>
        <v>449.88</v>
      </c>
    </row>
    <row r="22" spans="1:9" x14ac:dyDescent="0.2">
      <c r="A22" s="237" t="s">
        <v>300</v>
      </c>
      <c r="B22" s="521">
        <v>10.7</v>
      </c>
      <c r="C22" s="521">
        <v>110.7</v>
      </c>
      <c r="D22" s="521">
        <v>61.25</v>
      </c>
      <c r="E22" s="521">
        <v>31.22</v>
      </c>
      <c r="F22" s="521">
        <v>19</v>
      </c>
      <c r="G22" s="521">
        <v>3</v>
      </c>
      <c r="H22" s="521">
        <v>2</v>
      </c>
      <c r="I22" s="521">
        <f t="shared" si="0"/>
        <v>237.87</v>
      </c>
    </row>
    <row r="23" spans="1:9" x14ac:dyDescent="0.2">
      <c r="A23" s="354" t="s">
        <v>301</v>
      </c>
      <c r="B23" s="520">
        <v>11.55</v>
      </c>
      <c r="C23" s="520">
        <v>87</v>
      </c>
      <c r="D23" s="520">
        <v>65</v>
      </c>
      <c r="E23" s="520">
        <v>33.200000000000003</v>
      </c>
      <c r="F23" s="520">
        <v>9.5</v>
      </c>
      <c r="G23" s="520">
        <v>4.5</v>
      </c>
      <c r="H23" s="520">
        <v>2</v>
      </c>
      <c r="I23" s="520">
        <f t="shared" si="0"/>
        <v>212.75</v>
      </c>
    </row>
    <row r="24" spans="1:9" x14ac:dyDescent="0.2">
      <c r="A24" s="237" t="s">
        <v>302</v>
      </c>
      <c r="B24" s="521">
        <v>31</v>
      </c>
      <c r="C24" s="521">
        <v>315</v>
      </c>
      <c r="D24" s="521">
        <v>177.63</v>
      </c>
      <c r="E24" s="521">
        <v>121.32</v>
      </c>
      <c r="F24" s="521">
        <v>32.5</v>
      </c>
      <c r="G24" s="521">
        <v>15.5</v>
      </c>
      <c r="H24" s="521">
        <v>9</v>
      </c>
      <c r="I24" s="521">
        <f t="shared" si="0"/>
        <v>701.95</v>
      </c>
    </row>
    <row r="25" spans="1:9" x14ac:dyDescent="0.2">
      <c r="A25" s="354" t="s">
        <v>303</v>
      </c>
      <c r="B25" s="520">
        <v>83.009999999999991</v>
      </c>
      <c r="C25" s="520">
        <v>973.55</v>
      </c>
      <c r="D25" s="520">
        <v>521.06000000000006</v>
      </c>
      <c r="E25" s="520">
        <v>169.81</v>
      </c>
      <c r="F25" s="520">
        <v>114.5</v>
      </c>
      <c r="G25" s="520">
        <v>33.68</v>
      </c>
      <c r="H25" s="520">
        <v>18</v>
      </c>
      <c r="I25" s="520">
        <f t="shared" si="0"/>
        <v>1913.61</v>
      </c>
    </row>
    <row r="26" spans="1:9" x14ac:dyDescent="0.2">
      <c r="A26" s="237" t="s">
        <v>304</v>
      </c>
      <c r="B26" s="521">
        <v>30.6</v>
      </c>
      <c r="C26" s="521">
        <v>213.14999999999998</v>
      </c>
      <c r="D26" s="521">
        <v>122.07</v>
      </c>
      <c r="E26" s="521">
        <v>109.98</v>
      </c>
      <c r="F26" s="521">
        <v>24.86</v>
      </c>
      <c r="G26" s="521">
        <v>7.5</v>
      </c>
      <c r="H26" s="521">
        <v>5.75</v>
      </c>
      <c r="I26" s="521">
        <f t="shared" si="0"/>
        <v>513.91</v>
      </c>
    </row>
    <row r="27" spans="1:9" x14ac:dyDescent="0.2">
      <c r="A27" s="354" t="s">
        <v>305</v>
      </c>
      <c r="B27" s="520">
        <v>19.059999999999999</v>
      </c>
      <c r="C27" s="520">
        <v>237.45</v>
      </c>
      <c r="D27" s="520">
        <v>93.5</v>
      </c>
      <c r="E27" s="520">
        <v>42.21</v>
      </c>
      <c r="F27" s="520">
        <v>24</v>
      </c>
      <c r="G27" s="520">
        <v>8.879999999999999</v>
      </c>
      <c r="H27" s="520">
        <v>5</v>
      </c>
      <c r="I27" s="520">
        <f t="shared" si="0"/>
        <v>430.09999999999997</v>
      </c>
    </row>
    <row r="28" spans="1:9" x14ac:dyDescent="0.2">
      <c r="A28" s="237" t="s">
        <v>306</v>
      </c>
      <c r="B28" s="521">
        <v>17.45</v>
      </c>
      <c r="C28" s="521">
        <v>163.48999999999998</v>
      </c>
      <c r="D28" s="521">
        <v>89.23</v>
      </c>
      <c r="E28" s="521">
        <v>56.4</v>
      </c>
      <c r="F28" s="521">
        <v>18.179999999999996</v>
      </c>
      <c r="G28" s="521">
        <v>3.45</v>
      </c>
      <c r="H28" s="521">
        <v>4.25</v>
      </c>
      <c r="I28" s="521">
        <f t="shared" si="0"/>
        <v>352.44999999999993</v>
      </c>
    </row>
    <row r="29" spans="1:9" x14ac:dyDescent="0.2">
      <c r="A29" s="354" t="s">
        <v>307</v>
      </c>
      <c r="B29" s="520">
        <v>76.91</v>
      </c>
      <c r="C29" s="520">
        <v>866.93999999999994</v>
      </c>
      <c r="D29" s="520">
        <v>446.61000000000007</v>
      </c>
      <c r="E29" s="520">
        <v>157.14000000000001</v>
      </c>
      <c r="F29" s="520">
        <v>104.18</v>
      </c>
      <c r="G29" s="520">
        <v>29.41</v>
      </c>
      <c r="H29" s="520">
        <v>21.62</v>
      </c>
      <c r="I29" s="520">
        <f t="shared" si="0"/>
        <v>1702.8100000000002</v>
      </c>
    </row>
    <row r="30" spans="1:9" x14ac:dyDescent="0.2">
      <c r="A30" s="237" t="s">
        <v>308</v>
      </c>
      <c r="B30" s="521">
        <v>11.349999999999998</v>
      </c>
      <c r="C30" s="521">
        <v>82.685000000000002</v>
      </c>
      <c r="D30" s="521">
        <v>41.856999999999999</v>
      </c>
      <c r="E30" s="521">
        <v>38.68</v>
      </c>
      <c r="F30" s="521">
        <v>10.734999999999999</v>
      </c>
      <c r="G30" s="521">
        <v>3.5</v>
      </c>
      <c r="H30" s="521">
        <v>2</v>
      </c>
      <c r="I30" s="521">
        <f t="shared" si="0"/>
        <v>190.80700000000002</v>
      </c>
    </row>
    <row r="31" spans="1:9" x14ac:dyDescent="0.2">
      <c r="A31" s="354" t="s">
        <v>309</v>
      </c>
      <c r="B31" s="520">
        <v>20.71</v>
      </c>
      <c r="C31" s="520">
        <v>235.06</v>
      </c>
      <c r="D31" s="520">
        <v>134.16999999999999</v>
      </c>
      <c r="E31" s="520">
        <v>77.88</v>
      </c>
      <c r="F31" s="520">
        <v>19.7</v>
      </c>
      <c r="G31" s="520">
        <v>6.35</v>
      </c>
      <c r="H31" s="520">
        <v>6.04</v>
      </c>
      <c r="I31" s="520">
        <f t="shared" si="0"/>
        <v>499.91</v>
      </c>
    </row>
    <row r="32" spans="1:9" x14ac:dyDescent="0.2">
      <c r="A32" s="237" t="s">
        <v>310</v>
      </c>
      <c r="B32" s="521">
        <v>16.400000000000002</v>
      </c>
      <c r="C32" s="521">
        <v>172.43</v>
      </c>
      <c r="D32" s="521">
        <v>104.96</v>
      </c>
      <c r="E32" s="521">
        <v>66.14</v>
      </c>
      <c r="F32" s="521">
        <v>21.53</v>
      </c>
      <c r="G32" s="521">
        <v>4</v>
      </c>
      <c r="H32" s="521">
        <v>5</v>
      </c>
      <c r="I32" s="521">
        <f t="shared" si="0"/>
        <v>390.46000000000004</v>
      </c>
    </row>
    <row r="33" spans="1:9" x14ac:dyDescent="0.2">
      <c r="A33" s="354" t="s">
        <v>311</v>
      </c>
      <c r="B33" s="520">
        <v>18.829999999999998</v>
      </c>
      <c r="C33" s="520">
        <v>147.06</v>
      </c>
      <c r="D33" s="520">
        <v>95.58</v>
      </c>
      <c r="E33" s="520">
        <v>81.53</v>
      </c>
      <c r="F33" s="520">
        <v>19.779999999999998</v>
      </c>
      <c r="G33" s="520">
        <v>4.1500000000000004</v>
      </c>
      <c r="H33" s="520">
        <v>5.5</v>
      </c>
      <c r="I33" s="520">
        <f t="shared" si="0"/>
        <v>372.42999999999995</v>
      </c>
    </row>
    <row r="34" spans="1:9" x14ac:dyDescent="0.2">
      <c r="A34" s="237" t="s">
        <v>312</v>
      </c>
      <c r="B34" s="521">
        <v>16.5</v>
      </c>
      <c r="C34" s="521">
        <v>154.93</v>
      </c>
      <c r="D34" s="521">
        <v>80.680000000000007</v>
      </c>
      <c r="E34" s="521">
        <v>79.72</v>
      </c>
      <c r="F34" s="521">
        <v>19.64</v>
      </c>
      <c r="G34" s="521">
        <v>4.29</v>
      </c>
      <c r="H34" s="521">
        <v>5</v>
      </c>
      <c r="I34" s="521">
        <f t="shared" si="0"/>
        <v>360.76000000000005</v>
      </c>
    </row>
    <row r="35" spans="1:9" x14ac:dyDescent="0.2">
      <c r="A35" s="354" t="s">
        <v>313</v>
      </c>
      <c r="B35" s="520">
        <v>91.79</v>
      </c>
      <c r="C35" s="520">
        <v>1080.0500000000002</v>
      </c>
      <c r="D35" s="520">
        <v>467.66</v>
      </c>
      <c r="E35" s="520">
        <v>284.67</v>
      </c>
      <c r="F35" s="520">
        <v>122.07</v>
      </c>
      <c r="G35" s="520">
        <v>28.37</v>
      </c>
      <c r="H35" s="520">
        <v>15</v>
      </c>
      <c r="I35" s="520">
        <f t="shared" si="0"/>
        <v>2089.61</v>
      </c>
    </row>
    <row r="36" spans="1:9" x14ac:dyDescent="0.2">
      <c r="A36" s="237" t="s">
        <v>314</v>
      </c>
      <c r="B36" s="521">
        <v>14.53</v>
      </c>
      <c r="C36" s="521">
        <v>126.80999999999999</v>
      </c>
      <c r="D36" s="521">
        <v>73.25</v>
      </c>
      <c r="E36" s="521">
        <v>60.569999999999993</v>
      </c>
      <c r="F36" s="521">
        <v>15.860000000000001</v>
      </c>
      <c r="G36" s="521">
        <v>2.5</v>
      </c>
      <c r="H36" s="521">
        <v>3</v>
      </c>
      <c r="I36" s="521">
        <f t="shared" si="0"/>
        <v>296.52</v>
      </c>
    </row>
    <row r="37" spans="1:9" x14ac:dyDescent="0.2">
      <c r="A37" s="354" t="s">
        <v>315</v>
      </c>
      <c r="B37" s="520">
        <v>28.38</v>
      </c>
      <c r="C37" s="520">
        <v>281.61</v>
      </c>
      <c r="D37" s="520">
        <v>134.85</v>
      </c>
      <c r="E37" s="520">
        <v>119.7</v>
      </c>
      <c r="F37" s="520">
        <v>30</v>
      </c>
      <c r="G37" s="520">
        <v>14.7</v>
      </c>
      <c r="H37" s="520">
        <v>5</v>
      </c>
      <c r="I37" s="520">
        <f t="shared" si="0"/>
        <v>614.24000000000012</v>
      </c>
    </row>
    <row r="38" spans="1:9" x14ac:dyDescent="0.2">
      <c r="A38" s="237" t="s">
        <v>316</v>
      </c>
      <c r="B38" s="521">
        <v>70.899999999999991</v>
      </c>
      <c r="C38" s="521">
        <v>748.91</v>
      </c>
      <c r="D38" s="521">
        <v>321.20000000000005</v>
      </c>
      <c r="E38" s="521">
        <v>149.22</v>
      </c>
      <c r="F38" s="521">
        <v>76.819999999999993</v>
      </c>
      <c r="G38" s="521">
        <v>28.46</v>
      </c>
      <c r="H38" s="521">
        <v>9</v>
      </c>
      <c r="I38" s="521">
        <f t="shared" si="0"/>
        <v>1404.51</v>
      </c>
    </row>
    <row r="39" spans="1:9" x14ac:dyDescent="0.2">
      <c r="A39" s="354" t="s">
        <v>317</v>
      </c>
      <c r="B39" s="520">
        <v>13.73</v>
      </c>
      <c r="C39" s="520">
        <v>119.77999999999999</v>
      </c>
      <c r="D39" s="520">
        <v>52.94</v>
      </c>
      <c r="E39" s="520">
        <v>54.55</v>
      </c>
      <c r="F39" s="520">
        <v>14.600000000000001</v>
      </c>
      <c r="G39" s="520">
        <v>2.6800000000000006</v>
      </c>
      <c r="H39" s="520">
        <v>3.5</v>
      </c>
      <c r="I39" s="520">
        <f t="shared" si="0"/>
        <v>261.77999999999997</v>
      </c>
    </row>
    <row r="40" spans="1:9" x14ac:dyDescent="0.2">
      <c r="A40" s="237" t="s">
        <v>318</v>
      </c>
      <c r="B40" s="521">
        <v>57.77</v>
      </c>
      <c r="C40" s="521">
        <v>567.37</v>
      </c>
      <c r="D40" s="521">
        <v>314.53999999999996</v>
      </c>
      <c r="E40" s="521">
        <v>99.29</v>
      </c>
      <c r="F40" s="521">
        <v>72.86</v>
      </c>
      <c r="G40" s="521">
        <v>25.52</v>
      </c>
      <c r="H40" s="521">
        <v>12.6</v>
      </c>
      <c r="I40" s="521">
        <f t="shared" si="0"/>
        <v>1149.9499999999998</v>
      </c>
    </row>
    <row r="41" spans="1:9" x14ac:dyDescent="0.2">
      <c r="A41" s="354" t="s">
        <v>319</v>
      </c>
      <c r="B41" s="520">
        <v>30.810000000000002</v>
      </c>
      <c r="C41" s="520">
        <v>348.03</v>
      </c>
      <c r="D41" s="520">
        <v>127.13</v>
      </c>
      <c r="E41" s="520">
        <v>155.84</v>
      </c>
      <c r="F41" s="520">
        <v>42.410000000000004</v>
      </c>
      <c r="G41" s="520">
        <v>15.4</v>
      </c>
      <c r="H41" s="520">
        <v>6</v>
      </c>
      <c r="I41" s="520">
        <f t="shared" si="0"/>
        <v>725.61999999999989</v>
      </c>
    </row>
    <row r="42" spans="1:9" x14ac:dyDescent="0.2">
      <c r="A42" s="237" t="s">
        <v>320</v>
      </c>
      <c r="B42" s="521">
        <v>11.76</v>
      </c>
      <c r="C42" s="521">
        <v>106.32000000000001</v>
      </c>
      <c r="D42" s="521">
        <v>60.5</v>
      </c>
      <c r="E42" s="521">
        <v>62.01</v>
      </c>
      <c r="F42" s="521">
        <v>18.39</v>
      </c>
      <c r="G42" s="521">
        <v>4</v>
      </c>
      <c r="H42" s="521">
        <v>4</v>
      </c>
      <c r="I42" s="521">
        <f t="shared" si="0"/>
        <v>266.98</v>
      </c>
    </row>
    <row r="43" spans="1:9" x14ac:dyDescent="0.2">
      <c r="A43" s="354" t="s">
        <v>321</v>
      </c>
      <c r="B43" s="520">
        <v>6.71</v>
      </c>
      <c r="C43" s="520">
        <v>75.734999999999999</v>
      </c>
      <c r="D43" s="520">
        <v>36.380000000000003</v>
      </c>
      <c r="E43" s="520">
        <v>33.44</v>
      </c>
      <c r="F43" s="520">
        <v>6.7400000000000011</v>
      </c>
      <c r="G43" s="520">
        <v>3</v>
      </c>
      <c r="H43" s="520">
        <v>1.53</v>
      </c>
      <c r="I43" s="520">
        <f t="shared" si="0"/>
        <v>163.535</v>
      </c>
    </row>
    <row r="44" spans="1:9" x14ac:dyDescent="0.2">
      <c r="A44" s="237" t="s">
        <v>322</v>
      </c>
      <c r="B44" s="521">
        <v>4.9000000000000004</v>
      </c>
      <c r="C44" s="521">
        <v>61.3</v>
      </c>
      <c r="D44" s="521">
        <v>37</v>
      </c>
      <c r="E44" s="521">
        <v>36.1</v>
      </c>
      <c r="F44" s="521">
        <v>7.59</v>
      </c>
      <c r="G44" s="521">
        <v>1.45</v>
      </c>
      <c r="H44" s="521">
        <v>2</v>
      </c>
      <c r="I44" s="521">
        <f t="shared" si="0"/>
        <v>150.34</v>
      </c>
    </row>
    <row r="45" spans="1:9" x14ac:dyDescent="0.2">
      <c r="A45" s="354" t="s">
        <v>323</v>
      </c>
      <c r="B45" s="520">
        <v>10</v>
      </c>
      <c r="C45" s="520">
        <v>116.2</v>
      </c>
      <c r="D45" s="520">
        <v>57.3</v>
      </c>
      <c r="E45" s="520">
        <v>33.699999999999996</v>
      </c>
      <c r="F45" s="520">
        <v>11.48</v>
      </c>
      <c r="G45" s="520">
        <v>2.2999999999999998</v>
      </c>
      <c r="H45" s="520">
        <v>3</v>
      </c>
      <c r="I45" s="520">
        <f t="shared" si="0"/>
        <v>233.98</v>
      </c>
    </row>
    <row r="46" spans="1:9" x14ac:dyDescent="0.2">
      <c r="A46" s="237" t="s">
        <v>324</v>
      </c>
      <c r="B46" s="521">
        <v>138.25</v>
      </c>
      <c r="C46" s="521">
        <v>2091.9</v>
      </c>
      <c r="D46" s="521">
        <v>1075.8800000000001</v>
      </c>
      <c r="E46" s="521">
        <v>688.17000000000007</v>
      </c>
      <c r="F46" s="521">
        <v>268.83000000000004</v>
      </c>
      <c r="G46" s="521">
        <v>110.09</v>
      </c>
      <c r="H46" s="521">
        <v>39.5</v>
      </c>
      <c r="I46" s="521">
        <f t="shared" si="0"/>
        <v>4412.6200000000008</v>
      </c>
    </row>
    <row r="47" spans="1:9" ht="6" customHeight="1" x14ac:dyDescent="0.2">
      <c r="A47" s="130"/>
      <c r="B47" s="521"/>
      <c r="C47" s="521"/>
      <c r="D47" s="521"/>
      <c r="E47" s="521"/>
      <c r="F47" s="521"/>
      <c r="G47" s="521"/>
      <c r="H47" s="521"/>
      <c r="I47" s="521"/>
    </row>
    <row r="48" spans="1:9" x14ac:dyDescent="0.2">
      <c r="A48" s="355" t="s">
        <v>221</v>
      </c>
      <c r="B48" s="522">
        <f t="shared" ref="B48:I48" si="1">SUM(B11:B46)</f>
        <v>1170.9699999999998</v>
      </c>
      <c r="C48" s="522">
        <f t="shared" si="1"/>
        <v>12554.535000000003</v>
      </c>
      <c r="D48" s="522">
        <f t="shared" si="1"/>
        <v>6447.6869999999999</v>
      </c>
      <c r="E48" s="522">
        <f t="shared" si="1"/>
        <v>3937.6500000000005</v>
      </c>
      <c r="F48" s="522">
        <f t="shared" si="1"/>
        <v>1478.7049999999999</v>
      </c>
      <c r="G48" s="522">
        <f t="shared" si="1"/>
        <v>470.20999999999992</v>
      </c>
      <c r="H48" s="522">
        <f t="shared" si="1"/>
        <v>260.15999999999997</v>
      </c>
      <c r="I48" s="522">
        <f t="shared" si="1"/>
        <v>26319.917000000001</v>
      </c>
    </row>
    <row r="49" spans="1:9" ht="6" customHeight="1" x14ac:dyDescent="0.2">
      <c r="A49" s="513"/>
      <c r="B49" s="523"/>
      <c r="C49" s="523"/>
      <c r="D49" s="523"/>
      <c r="E49" s="523"/>
      <c r="F49" s="523"/>
      <c r="G49" s="523"/>
      <c r="H49" s="523"/>
      <c r="I49" s="523"/>
    </row>
    <row r="50" spans="1:9" x14ac:dyDescent="0.2">
      <c r="A50" s="524" t="s">
        <v>325</v>
      </c>
      <c r="B50" s="521">
        <v>1.75</v>
      </c>
      <c r="C50" s="521">
        <v>18.16</v>
      </c>
      <c r="D50" s="521">
        <v>5.62</v>
      </c>
      <c r="E50" s="521">
        <v>3.12</v>
      </c>
      <c r="F50" s="521">
        <v>3</v>
      </c>
      <c r="G50" s="521">
        <v>0.15</v>
      </c>
      <c r="H50" s="521">
        <v>0</v>
      </c>
      <c r="I50" s="521">
        <f>SUM(B50:H50)</f>
        <v>31.8</v>
      </c>
    </row>
    <row r="51" spans="1:9" x14ac:dyDescent="0.2">
      <c r="A51" s="576" t="s">
        <v>616</v>
      </c>
      <c r="B51" s="520">
        <v>19</v>
      </c>
      <c r="C51" s="520">
        <v>34.5</v>
      </c>
      <c r="D51" s="520">
        <v>13</v>
      </c>
      <c r="E51" s="520">
        <v>36.5</v>
      </c>
      <c r="F51" s="520">
        <v>25.5</v>
      </c>
      <c r="G51" s="520">
        <v>2</v>
      </c>
      <c r="H51" s="520">
        <v>3.5</v>
      </c>
      <c r="I51" s="520">
        <f>SUM(B51:H51)</f>
        <v>134</v>
      </c>
    </row>
    <row r="52" spans="1:9" ht="49.5" customHeight="1" x14ac:dyDescent="0.2">
      <c r="A52" s="479"/>
      <c r="B52" s="479"/>
      <c r="C52" s="480">
        <v>0</v>
      </c>
      <c r="D52" s="479"/>
      <c r="E52" s="479"/>
      <c r="F52" s="479"/>
      <c r="G52" s="479"/>
      <c r="H52" s="479"/>
      <c r="I52" s="479"/>
    </row>
    <row r="53" spans="1:9" x14ac:dyDescent="0.2">
      <c r="A53" s="827" t="s">
        <v>394</v>
      </c>
      <c r="B53" s="827"/>
      <c r="C53" s="827"/>
      <c r="D53" s="827"/>
      <c r="E53" s="827"/>
      <c r="F53" s="827"/>
      <c r="G53" s="827"/>
      <c r="H53" s="827"/>
      <c r="I53" s="827"/>
    </row>
    <row r="54" spans="1:9" ht="11.25" customHeight="1" x14ac:dyDescent="0.2">
      <c r="A54" s="828"/>
      <c r="B54" s="828"/>
      <c r="C54" s="828"/>
      <c r="D54" s="828"/>
      <c r="E54" s="828"/>
      <c r="F54" s="828"/>
      <c r="G54" s="828"/>
      <c r="H54" s="828"/>
      <c r="I54" s="828"/>
    </row>
    <row r="55" spans="1:9" x14ac:dyDescent="0.2">
      <c r="A55" s="133" t="s">
        <v>376</v>
      </c>
      <c r="B55" s="477"/>
      <c r="C55" s="481"/>
    </row>
    <row r="56" spans="1:9" x14ac:dyDescent="0.2">
      <c r="A56" s="133" t="s">
        <v>395</v>
      </c>
      <c r="B56" s="477"/>
      <c r="C56" s="481"/>
    </row>
  </sheetData>
  <mergeCells count="11">
    <mergeCell ref="A2:H2"/>
    <mergeCell ref="A3:H3"/>
    <mergeCell ref="B8:B9"/>
    <mergeCell ref="E8:E9"/>
    <mergeCell ref="F8:F9"/>
    <mergeCell ref="G8:G9"/>
    <mergeCell ref="A53:I54"/>
    <mergeCell ref="H8:H9"/>
    <mergeCell ref="C8:D8"/>
    <mergeCell ref="I8:I9"/>
    <mergeCell ref="B7:H7"/>
  </mergeCells>
  <phoneticPr fontId="6" type="noConversion"/>
  <pageMargins left="0.51181102362204722" right="0.51181102362204722" top="0.59055118110236227" bottom="0.19685039370078741" header="0.31496062992125984" footer="0.51181102362204722"/>
  <pageSetup scale="87" orientation="portrait" r:id="rId1"/>
  <headerFooter alignWithMargins="0">
    <oddHeader>&amp;C&amp;"Arial,Regular"&amp;11&amp;A</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M57"/>
  <sheetViews>
    <sheetView showGridLines="0" workbookViewId="0"/>
  </sheetViews>
  <sheetFormatPr defaultColWidth="19.83203125" defaultRowHeight="12" x14ac:dyDescent="0.2"/>
  <cols>
    <col min="1" max="1" width="30.83203125" style="455" customWidth="1"/>
    <col min="2" max="2" width="17" style="455" customWidth="1"/>
    <col min="3" max="3" width="12" style="455" customWidth="1"/>
    <col min="4" max="4" width="16.83203125" style="455" customWidth="1"/>
    <col min="5" max="5" width="11.5" style="455" customWidth="1"/>
    <col min="6" max="6" width="13.33203125" style="455" customWidth="1"/>
    <col min="7" max="7" width="12.5" style="455" customWidth="1"/>
    <col min="8" max="9" width="19.83203125" style="455"/>
    <col min="10" max="10" width="25.5" style="455" bestFit="1" customWidth="1"/>
    <col min="11" max="11" width="21.1640625" style="455" bestFit="1" customWidth="1"/>
    <col min="12" max="16384" width="19.83203125" style="455"/>
  </cols>
  <sheetData>
    <row r="1" spans="1:13" ht="6.95" customHeight="1" x14ac:dyDescent="0.2">
      <c r="A1" s="453"/>
      <c r="B1" s="454"/>
      <c r="C1" s="454"/>
    </row>
    <row r="2" spans="1:13" ht="15.95" customHeight="1" x14ac:dyDescent="0.2">
      <c r="A2" s="456" t="s">
        <v>326</v>
      </c>
      <c r="B2" s="457"/>
      <c r="C2" s="457"/>
      <c r="D2" s="457"/>
      <c r="E2" s="457"/>
      <c r="F2" s="457"/>
      <c r="G2" s="457"/>
    </row>
    <row r="3" spans="1:13" ht="15.95" customHeight="1" x14ac:dyDescent="0.2">
      <c r="A3" s="543" t="str">
        <f>+'- 66 -'!A3</f>
        <v>2015/16 AND 2016/17 ACTUAL</v>
      </c>
      <c r="B3" s="458"/>
      <c r="C3" s="458"/>
      <c r="D3" s="458"/>
      <c r="E3" s="458"/>
      <c r="F3" s="458"/>
      <c r="G3" s="458"/>
    </row>
    <row r="4" spans="1:13" ht="15.95" customHeight="1" x14ac:dyDescent="0.2">
      <c r="B4" s="454"/>
      <c r="C4" s="454"/>
      <c r="J4" s="498"/>
      <c r="K4" s="498"/>
      <c r="L4" s="498"/>
      <c r="M4" s="498"/>
    </row>
    <row r="5" spans="1:13" ht="12" customHeight="1" x14ac:dyDescent="0.2">
      <c r="B5" s="454"/>
      <c r="C5" s="454"/>
      <c r="J5" s="498"/>
      <c r="K5" s="498"/>
      <c r="L5" s="498"/>
      <c r="M5" s="498"/>
    </row>
    <row r="6" spans="1:13" ht="15.75" customHeight="1" x14ac:dyDescent="0.2">
      <c r="B6" s="844" t="s">
        <v>602</v>
      </c>
      <c r="C6" s="845"/>
      <c r="D6" s="845"/>
      <c r="E6" s="846"/>
      <c r="F6" s="838" t="s">
        <v>601</v>
      </c>
      <c r="G6" s="839"/>
      <c r="J6" s="499"/>
      <c r="K6" s="498" t="str">
        <f>+'- 15 -'!E6</f>
        <v>STUDENT SUPPORT
 SERVICES</v>
      </c>
      <c r="L6" s="498" t="str">
        <f>+'- 16 -'!G6</f>
        <v>INSTRUCTIONAL &amp; OTHER 
SUPPORT SERVICES</v>
      </c>
      <c r="M6" s="498"/>
    </row>
    <row r="7" spans="1:13" x14ac:dyDescent="0.2">
      <c r="B7" s="847"/>
      <c r="C7" s="840"/>
      <c r="D7" s="840"/>
      <c r="E7" s="848"/>
      <c r="F7" s="840"/>
      <c r="G7" s="841"/>
      <c r="J7" s="499" t="str">
        <f>+'- 15 -'!B7</f>
        <v>REGULAR INSTRUCTION</v>
      </c>
      <c r="K7" s="498">
        <f>+'- 15 -'!E7</f>
        <v>0</v>
      </c>
      <c r="L7" s="498">
        <f>+'- 16 -'!G7</f>
        <v>0</v>
      </c>
      <c r="M7" s="498"/>
    </row>
    <row r="8" spans="1:13" x14ac:dyDescent="0.2">
      <c r="A8" s="568"/>
      <c r="B8" s="849"/>
      <c r="C8" s="850"/>
      <c r="D8" s="850"/>
      <c r="E8" s="851"/>
      <c r="F8" s="842"/>
      <c r="G8" s="843"/>
      <c r="J8" s="499"/>
      <c r="K8" s="498"/>
      <c r="L8" s="498"/>
      <c r="M8" s="498"/>
    </row>
    <row r="9" spans="1:13" ht="29.25" customHeight="1" x14ac:dyDescent="0.2">
      <c r="A9" s="459" t="s">
        <v>42</v>
      </c>
      <c r="B9" s="569" t="str">
        <f>+'- 66 -'!B9</f>
        <v>2015/16</v>
      </c>
      <c r="C9" s="570" t="s">
        <v>377</v>
      </c>
      <c r="D9" s="569" t="str">
        <f>+'- 66 -'!C9</f>
        <v>2016/17</v>
      </c>
      <c r="E9" s="570" t="s">
        <v>377</v>
      </c>
      <c r="F9" s="476" t="str">
        <f>+B9</f>
        <v>2015/16</v>
      </c>
      <c r="G9" s="476" t="str">
        <f>+D9</f>
        <v>2016/17</v>
      </c>
      <c r="J9" s="498"/>
      <c r="K9" s="498"/>
      <c r="L9" s="498"/>
      <c r="M9" s="498"/>
    </row>
    <row r="10" spans="1:13" ht="5.0999999999999996" customHeight="1" x14ac:dyDescent="0.2">
      <c r="A10" s="460"/>
      <c r="B10" s="461"/>
      <c r="C10" s="461"/>
      <c r="D10" s="453"/>
      <c r="E10" s="453"/>
      <c r="F10" s="453"/>
      <c r="J10" s="498"/>
      <c r="K10" s="498"/>
      <c r="L10" s="498"/>
      <c r="M10" s="498"/>
    </row>
    <row r="11" spans="1:13" ht="14.1" customHeight="1" x14ac:dyDescent="0.2">
      <c r="A11" s="470" t="s">
        <v>110</v>
      </c>
      <c r="B11" s="471">
        <v>13910079</v>
      </c>
      <c r="C11" s="472">
        <v>77.63717213201906</v>
      </c>
      <c r="D11" s="471">
        <v>14976675</v>
      </c>
      <c r="E11" s="472">
        <f>+D11/'- 3 -'!F11*100</f>
        <v>78.429563806010577</v>
      </c>
      <c r="F11" s="471">
        <v>8299.5698090692131</v>
      </c>
      <c r="G11" s="471">
        <f>+D11/'- 7 -'!E11</f>
        <v>8480.5634201585508</v>
      </c>
      <c r="I11" s="462" t="str">
        <f>IF(D11=M11,"",M11-D11)</f>
        <v/>
      </c>
      <c r="J11" s="499">
        <f>+'- 15 -'!B11</f>
        <v>11912469</v>
      </c>
      <c r="K11" s="498">
        <f>+'- 15 -'!E11</f>
        <v>2541888</v>
      </c>
      <c r="L11" s="498">
        <f>+'- 16 -'!G11</f>
        <v>522318</v>
      </c>
      <c r="M11" s="499">
        <f>+J11+K11+L11</f>
        <v>14976675</v>
      </c>
    </row>
    <row r="12" spans="1:13" ht="14.1" customHeight="1" x14ac:dyDescent="0.2">
      <c r="A12" s="463" t="s">
        <v>111</v>
      </c>
      <c r="B12" s="464">
        <v>24435364</v>
      </c>
      <c r="C12" s="465">
        <v>77.132622099185042</v>
      </c>
      <c r="D12" s="464">
        <v>25074202</v>
      </c>
      <c r="E12" s="465">
        <f>+D12/'- 3 -'!F12*100</f>
        <v>76.447189835343522</v>
      </c>
      <c r="F12" s="464">
        <v>11499.535978163678</v>
      </c>
      <c r="G12" s="464">
        <f>+D12/'- 7 -'!E12</f>
        <v>11829.964851029699</v>
      </c>
      <c r="I12" s="462" t="str">
        <f>IF(D12=M12,"",M12-D12)</f>
        <v/>
      </c>
      <c r="J12" s="499">
        <f>+'- 15 -'!B12</f>
        <v>19364827</v>
      </c>
      <c r="K12" s="498">
        <f>+'- 15 -'!E12</f>
        <v>4921092</v>
      </c>
      <c r="L12" s="498">
        <f>+'- 16 -'!G12</f>
        <v>788283</v>
      </c>
      <c r="M12" s="499">
        <f t="shared" ref="M12:M48" si="0">+J12+K12+L12</f>
        <v>25074202</v>
      </c>
    </row>
    <row r="13" spans="1:13" ht="14.1" customHeight="1" x14ac:dyDescent="0.2">
      <c r="A13" s="470" t="s">
        <v>112</v>
      </c>
      <c r="B13" s="471">
        <v>76331482</v>
      </c>
      <c r="C13" s="472">
        <v>84.335779907355743</v>
      </c>
      <c r="D13" s="471">
        <v>80227841</v>
      </c>
      <c r="E13" s="472">
        <f>+D13/'- 3 -'!F13*100</f>
        <v>83.901849282915322</v>
      </c>
      <c r="F13" s="471">
        <v>9252.3008484848488</v>
      </c>
      <c r="G13" s="471">
        <f>+D13/'- 7 -'!E13</f>
        <v>9581.1597301009133</v>
      </c>
      <c r="I13" s="462" t="str">
        <f t="shared" ref="I13:I48" si="1">IF(D13=M13,"",M13-D13)</f>
        <v/>
      </c>
      <c r="J13" s="499">
        <f>+'- 15 -'!B13</f>
        <v>57055436</v>
      </c>
      <c r="K13" s="498">
        <f>+'- 15 -'!E13</f>
        <v>20277126</v>
      </c>
      <c r="L13" s="498">
        <f>+'- 16 -'!G13</f>
        <v>2895279</v>
      </c>
      <c r="M13" s="500">
        <f t="shared" si="0"/>
        <v>80227841</v>
      </c>
    </row>
    <row r="14" spans="1:13" ht="14.1" customHeight="1" x14ac:dyDescent="0.2">
      <c r="A14" s="463" t="s">
        <v>359</v>
      </c>
      <c r="B14" s="464">
        <v>57978391</v>
      </c>
      <c r="C14" s="465">
        <v>72.761806737094474</v>
      </c>
      <c r="D14" s="464">
        <v>59023163</v>
      </c>
      <c r="E14" s="465">
        <f>+D14/'- 3 -'!F14*100</f>
        <v>72.561486294322179</v>
      </c>
      <c r="F14" s="464">
        <v>10851.280366835112</v>
      </c>
      <c r="G14" s="464">
        <f>+D14/'- 7 -'!E14</f>
        <v>10764.482212746711</v>
      </c>
      <c r="I14" s="462" t="str">
        <f t="shared" si="1"/>
        <v/>
      </c>
      <c r="J14" s="499">
        <f>+'- 15 -'!B14</f>
        <v>46430809</v>
      </c>
      <c r="K14" s="498">
        <f>+'- 15 -'!E14</f>
        <v>9550125</v>
      </c>
      <c r="L14" s="498">
        <f>+'- 16 -'!G14</f>
        <v>3042229</v>
      </c>
      <c r="M14" s="499">
        <f t="shared" si="0"/>
        <v>59023163</v>
      </c>
    </row>
    <row r="15" spans="1:13" ht="14.1" customHeight="1" x14ac:dyDescent="0.2">
      <c r="A15" s="470" t="s">
        <v>113</v>
      </c>
      <c r="B15" s="471">
        <v>14649051</v>
      </c>
      <c r="C15" s="472">
        <v>74.10809555656509</v>
      </c>
      <c r="D15" s="471">
        <v>14281257</v>
      </c>
      <c r="E15" s="472">
        <f>+D15/'- 3 -'!F15*100</f>
        <v>73.387675172601305</v>
      </c>
      <c r="F15" s="471">
        <v>10389.397872340425</v>
      </c>
      <c r="G15" s="471">
        <f>+D15/'- 7 -'!E15</f>
        <v>10206.730274442538</v>
      </c>
      <c r="I15" s="462" t="str">
        <f t="shared" si="1"/>
        <v/>
      </c>
      <c r="J15" s="499">
        <f>+'- 15 -'!B15</f>
        <v>10592878</v>
      </c>
      <c r="K15" s="498">
        <f>+'- 15 -'!E15</f>
        <v>3104733</v>
      </c>
      <c r="L15" s="498">
        <f>+'- 16 -'!G15</f>
        <v>583646</v>
      </c>
      <c r="M15" s="499">
        <f t="shared" si="0"/>
        <v>14281257</v>
      </c>
    </row>
    <row r="16" spans="1:13" ht="14.1" customHeight="1" x14ac:dyDescent="0.2">
      <c r="A16" s="463" t="s">
        <v>114</v>
      </c>
      <c r="B16" s="464">
        <v>10315343</v>
      </c>
      <c r="C16" s="465">
        <v>74.140086251197957</v>
      </c>
      <c r="D16" s="464">
        <v>10427309</v>
      </c>
      <c r="E16" s="465">
        <f>+D16/'- 3 -'!F16*100</f>
        <v>72.44393959131213</v>
      </c>
      <c r="F16" s="464">
        <v>11062.030026809651</v>
      </c>
      <c r="G16" s="464">
        <f>+D16/'- 7 -'!E16</f>
        <v>11537.186324408056</v>
      </c>
      <c r="I16" s="462" t="str">
        <f t="shared" si="1"/>
        <v/>
      </c>
      <c r="J16" s="499">
        <f>+'- 15 -'!B16</f>
        <v>7494480</v>
      </c>
      <c r="K16" s="498">
        <f>+'- 15 -'!E16</f>
        <v>2626714</v>
      </c>
      <c r="L16" s="498">
        <f>+'- 16 -'!G16</f>
        <v>306115</v>
      </c>
      <c r="M16" s="499">
        <f t="shared" si="0"/>
        <v>10427309</v>
      </c>
    </row>
    <row r="17" spans="1:13" ht="14.1" customHeight="1" x14ac:dyDescent="0.2">
      <c r="A17" s="470" t="s">
        <v>115</v>
      </c>
      <c r="B17" s="471">
        <v>12585170</v>
      </c>
      <c r="C17" s="472">
        <v>73.871284327525061</v>
      </c>
      <c r="D17" s="471">
        <v>13135973</v>
      </c>
      <c r="E17" s="472">
        <f>+D17/'- 3 -'!F17*100</f>
        <v>74.812193159602316</v>
      </c>
      <c r="F17" s="471">
        <v>9377.821185637793</v>
      </c>
      <c r="G17" s="471">
        <f>+D17/'- 7 -'!E17</f>
        <v>9399.6228980322012</v>
      </c>
      <c r="I17" s="462" t="str">
        <f t="shared" si="1"/>
        <v/>
      </c>
      <c r="J17" s="499">
        <f>+'- 15 -'!B17</f>
        <v>10243974</v>
      </c>
      <c r="K17" s="498">
        <f>+'- 15 -'!E17</f>
        <v>2463250</v>
      </c>
      <c r="L17" s="498">
        <f>+'- 16 -'!G17</f>
        <v>428749</v>
      </c>
      <c r="M17" s="499">
        <f t="shared" si="0"/>
        <v>13135973</v>
      </c>
    </row>
    <row r="18" spans="1:13" ht="14.1" customHeight="1" x14ac:dyDescent="0.2">
      <c r="A18" s="463" t="s">
        <v>116</v>
      </c>
      <c r="B18" s="464">
        <v>80431190</v>
      </c>
      <c r="C18" s="465">
        <v>65.846174184303393</v>
      </c>
      <c r="D18" s="464">
        <v>81811740</v>
      </c>
      <c r="E18" s="465">
        <f>+D18/'- 3 -'!F18*100</f>
        <v>66.106988357983553</v>
      </c>
      <c r="F18" s="464">
        <v>13008.440886301149</v>
      </c>
      <c r="G18" s="464">
        <f>+D18/'- 7 -'!E18</f>
        <v>13422.983149846594</v>
      </c>
      <c r="I18" s="462" t="str">
        <f t="shared" si="1"/>
        <v/>
      </c>
      <c r="J18" s="499">
        <f>+'- 15 -'!B18</f>
        <v>55414518</v>
      </c>
      <c r="K18" s="498">
        <f>+'- 15 -'!E18</f>
        <v>19344503</v>
      </c>
      <c r="L18" s="498">
        <f>+'- 16 -'!G18</f>
        <v>7052719</v>
      </c>
      <c r="M18" s="499">
        <f t="shared" si="0"/>
        <v>81811740</v>
      </c>
    </row>
    <row r="19" spans="1:13" ht="14.1" customHeight="1" x14ac:dyDescent="0.2">
      <c r="A19" s="470" t="s">
        <v>117</v>
      </c>
      <c r="B19" s="471">
        <v>35783017</v>
      </c>
      <c r="C19" s="472">
        <v>80.108778010942274</v>
      </c>
      <c r="D19" s="471">
        <v>36672327.510000005</v>
      </c>
      <c r="E19" s="472">
        <f>+D19/'- 3 -'!F19*100</f>
        <v>79.572495858034401</v>
      </c>
      <c r="F19" s="471">
        <v>8449.9532434410939</v>
      </c>
      <c r="G19" s="471">
        <f>+D19/'- 7 -'!E19</f>
        <v>8370.7663798219601</v>
      </c>
      <c r="I19" s="462" t="str">
        <f t="shared" si="1"/>
        <v/>
      </c>
      <c r="J19" s="499">
        <f>+'- 15 -'!B19</f>
        <v>26402672.509999998</v>
      </c>
      <c r="K19" s="498">
        <f>+'- 15 -'!E19</f>
        <v>8790964</v>
      </c>
      <c r="L19" s="498">
        <f>+'- 16 -'!G19</f>
        <v>1478691</v>
      </c>
      <c r="M19" s="499">
        <f t="shared" si="0"/>
        <v>36672327.509999998</v>
      </c>
    </row>
    <row r="20" spans="1:13" ht="14.1" customHeight="1" x14ac:dyDescent="0.2">
      <c r="A20" s="463" t="s">
        <v>118</v>
      </c>
      <c r="B20" s="464">
        <v>62203220</v>
      </c>
      <c r="C20" s="465">
        <v>79.607523995914732</v>
      </c>
      <c r="D20" s="464">
        <v>65338963</v>
      </c>
      <c r="E20" s="465">
        <f>+D20/'- 3 -'!F20*100</f>
        <v>79.603394584329664</v>
      </c>
      <c r="F20" s="464">
        <v>8222.0119094039346</v>
      </c>
      <c r="G20" s="464">
        <f>+D20/'- 7 -'!E20</f>
        <v>8557.2605592299133</v>
      </c>
      <c r="I20" s="462" t="str">
        <f t="shared" si="1"/>
        <v/>
      </c>
      <c r="J20" s="499">
        <f>+'- 15 -'!B20</f>
        <v>50321264</v>
      </c>
      <c r="K20" s="498">
        <f>+'- 15 -'!E20</f>
        <v>12418469</v>
      </c>
      <c r="L20" s="498">
        <f>+'- 16 -'!G20</f>
        <v>2599230</v>
      </c>
      <c r="M20" s="499">
        <f t="shared" si="0"/>
        <v>65338963</v>
      </c>
    </row>
    <row r="21" spans="1:13" ht="14.1" customHeight="1" x14ac:dyDescent="0.2">
      <c r="A21" s="470" t="s">
        <v>119</v>
      </c>
      <c r="B21" s="471">
        <v>27366463</v>
      </c>
      <c r="C21" s="472">
        <v>78.469845548689378</v>
      </c>
      <c r="D21" s="471">
        <v>27928741</v>
      </c>
      <c r="E21" s="472">
        <f>+D21/'- 3 -'!F21*100</f>
        <v>78.140649381146005</v>
      </c>
      <c r="F21" s="471">
        <v>10188.177283049776</v>
      </c>
      <c r="G21" s="471">
        <f>+D21/'- 7 -'!E21</f>
        <v>10185.165019510594</v>
      </c>
      <c r="I21" s="462" t="str">
        <f t="shared" si="1"/>
        <v/>
      </c>
      <c r="J21" s="499">
        <f>+'- 15 -'!B21</f>
        <v>20737920</v>
      </c>
      <c r="K21" s="498">
        <f>+'- 15 -'!E21</f>
        <v>5864646</v>
      </c>
      <c r="L21" s="498">
        <f>+'- 16 -'!G21</f>
        <v>1326175</v>
      </c>
      <c r="M21" s="499">
        <f t="shared" si="0"/>
        <v>27928741</v>
      </c>
    </row>
    <row r="22" spans="1:13" ht="14.1" customHeight="1" x14ac:dyDescent="0.2">
      <c r="A22" s="463" t="s">
        <v>120</v>
      </c>
      <c r="B22" s="464">
        <v>15120034</v>
      </c>
      <c r="C22" s="465">
        <v>78.204424250185738</v>
      </c>
      <c r="D22" s="464">
        <v>15283612</v>
      </c>
      <c r="E22" s="465">
        <f>+D22/'- 3 -'!F22*100</f>
        <v>78.816066406026593</v>
      </c>
      <c r="F22" s="464">
        <v>9870.1181539264962</v>
      </c>
      <c r="G22" s="464">
        <f>+D22/'- 7 -'!E22</f>
        <v>10031.249671829877</v>
      </c>
      <c r="I22" s="462" t="str">
        <f t="shared" si="1"/>
        <v/>
      </c>
      <c r="J22" s="499">
        <f>+'- 15 -'!B22</f>
        <v>10376779</v>
      </c>
      <c r="K22" s="498">
        <f>+'- 15 -'!E22</f>
        <v>4442900</v>
      </c>
      <c r="L22" s="498">
        <f>+'- 16 -'!G22</f>
        <v>463933</v>
      </c>
      <c r="M22" s="499">
        <f t="shared" si="0"/>
        <v>15283612</v>
      </c>
    </row>
    <row r="23" spans="1:13" ht="14.1" customHeight="1" x14ac:dyDescent="0.2">
      <c r="A23" s="470" t="s">
        <v>121</v>
      </c>
      <c r="B23" s="471">
        <v>11472909</v>
      </c>
      <c r="C23" s="472">
        <v>73.665851282664718</v>
      </c>
      <c r="D23" s="471">
        <v>12435371</v>
      </c>
      <c r="E23" s="472">
        <f>+D23/'- 3 -'!F23*100</f>
        <v>74.747860477708429</v>
      </c>
      <c r="F23" s="471">
        <v>10331.300315173345</v>
      </c>
      <c r="G23" s="471">
        <f>+D23/'- 7 -'!E23</f>
        <v>11157.802602063706</v>
      </c>
      <c r="I23" s="462" t="str">
        <f t="shared" si="1"/>
        <v/>
      </c>
      <c r="J23" s="499">
        <f>+'- 15 -'!B23</f>
        <v>9124862</v>
      </c>
      <c r="K23" s="498">
        <f>+'- 15 -'!E23</f>
        <v>2770478</v>
      </c>
      <c r="L23" s="498">
        <f>+'- 16 -'!G23</f>
        <v>540031</v>
      </c>
      <c r="M23" s="499">
        <f t="shared" si="0"/>
        <v>12435371</v>
      </c>
    </row>
    <row r="24" spans="1:13" ht="14.1" customHeight="1" x14ac:dyDescent="0.2">
      <c r="A24" s="463" t="s">
        <v>122</v>
      </c>
      <c r="B24" s="464">
        <v>42892107</v>
      </c>
      <c r="C24" s="465">
        <v>78.260841244287349</v>
      </c>
      <c r="D24" s="464">
        <v>44537332</v>
      </c>
      <c r="E24" s="465">
        <f>+D24/'- 3 -'!F24*100</f>
        <v>78.888929353229315</v>
      </c>
      <c r="F24" s="464">
        <v>10745.861706125517</v>
      </c>
      <c r="G24" s="464">
        <f>+D24/'- 7 -'!E24</f>
        <v>11280.128662968873</v>
      </c>
      <c r="I24" s="462" t="str">
        <f t="shared" si="1"/>
        <v/>
      </c>
      <c r="J24" s="499">
        <f>+'- 15 -'!B24</f>
        <v>33772952</v>
      </c>
      <c r="K24" s="498">
        <f>+'- 15 -'!E24</f>
        <v>9189743</v>
      </c>
      <c r="L24" s="498">
        <f>+'- 16 -'!G24</f>
        <v>1574637</v>
      </c>
      <c r="M24" s="499">
        <f t="shared" si="0"/>
        <v>44537332</v>
      </c>
    </row>
    <row r="25" spans="1:13" ht="14.1" customHeight="1" x14ac:dyDescent="0.2">
      <c r="A25" s="470" t="s">
        <v>123</v>
      </c>
      <c r="B25" s="471">
        <v>135164076</v>
      </c>
      <c r="C25" s="472">
        <v>81.696012718953043</v>
      </c>
      <c r="D25" s="471">
        <v>142304384</v>
      </c>
      <c r="E25" s="472">
        <f>+D25/'- 3 -'!F25*100</f>
        <v>81.510239341057385</v>
      </c>
      <c r="F25" s="471">
        <v>9547.7781388186413</v>
      </c>
      <c r="G25" s="471">
        <f>+D25/'- 7 -'!E25</f>
        <v>9926.4353127463219</v>
      </c>
      <c r="I25" s="462" t="str">
        <f t="shared" si="1"/>
        <v/>
      </c>
      <c r="J25" s="499">
        <f>+'- 15 -'!B25</f>
        <v>97474071</v>
      </c>
      <c r="K25" s="498">
        <f>+'- 15 -'!E25</f>
        <v>36470380</v>
      </c>
      <c r="L25" s="498">
        <f>+'- 16 -'!G25</f>
        <v>8359933</v>
      </c>
      <c r="M25" s="499">
        <f t="shared" si="0"/>
        <v>142304384</v>
      </c>
    </row>
    <row r="26" spans="1:13" ht="14.1" customHeight="1" x14ac:dyDescent="0.2">
      <c r="A26" s="463" t="s">
        <v>124</v>
      </c>
      <c r="B26" s="464">
        <v>29353405</v>
      </c>
      <c r="C26" s="465">
        <v>74.255575548408686</v>
      </c>
      <c r="D26" s="464">
        <v>30319415</v>
      </c>
      <c r="E26" s="465">
        <f>+D26/'- 3 -'!F26*100</f>
        <v>74.161440389720994</v>
      </c>
      <c r="F26" s="464">
        <v>9542.7194408322503</v>
      </c>
      <c r="G26" s="464">
        <f>+D26/'- 7 -'!E26</f>
        <v>9921.2745418848172</v>
      </c>
      <c r="I26" s="462" t="str">
        <f t="shared" si="1"/>
        <v/>
      </c>
      <c r="J26" s="499">
        <f>+'- 15 -'!B26</f>
        <v>23431057</v>
      </c>
      <c r="K26" s="498">
        <f>+'- 15 -'!E26</f>
        <v>5550643</v>
      </c>
      <c r="L26" s="498">
        <f>+'- 16 -'!G26</f>
        <v>1337715</v>
      </c>
      <c r="M26" s="499">
        <f t="shared" si="0"/>
        <v>30319415</v>
      </c>
    </row>
    <row r="27" spans="1:13" ht="14.1" customHeight="1" x14ac:dyDescent="0.2">
      <c r="A27" s="470" t="s">
        <v>125</v>
      </c>
      <c r="B27" s="471">
        <v>34429623</v>
      </c>
      <c r="C27" s="472">
        <v>81.946675907249244</v>
      </c>
      <c r="D27" s="471">
        <v>33880377</v>
      </c>
      <c r="E27" s="472">
        <f>+D27/'- 3 -'!F27*100</f>
        <v>81.753332237670705</v>
      </c>
      <c r="F27" s="471">
        <v>11850.992871427539</v>
      </c>
      <c r="G27" s="471">
        <f>+D27/'- 7 -'!E27</f>
        <v>11339.763032382225</v>
      </c>
      <c r="I27" s="462" t="str">
        <f t="shared" si="1"/>
        <v/>
      </c>
      <c r="J27" s="499">
        <f>+'- 15 -'!B27</f>
        <v>23683302</v>
      </c>
      <c r="K27" s="498">
        <f>+'- 15 -'!E27</f>
        <v>8349761</v>
      </c>
      <c r="L27" s="498">
        <f>+'- 16 -'!G27</f>
        <v>1847314</v>
      </c>
      <c r="M27" s="499">
        <f t="shared" si="0"/>
        <v>33880377</v>
      </c>
    </row>
    <row r="28" spans="1:13" ht="14.1" customHeight="1" x14ac:dyDescent="0.2">
      <c r="A28" s="463" t="s">
        <v>126</v>
      </c>
      <c r="B28" s="464">
        <v>20843628</v>
      </c>
      <c r="C28" s="465">
        <v>75.500687266290612</v>
      </c>
      <c r="D28" s="464">
        <v>21092881</v>
      </c>
      <c r="E28" s="465">
        <f>+D28/'- 3 -'!F28*100</f>
        <v>75.310472234993426</v>
      </c>
      <c r="F28" s="464">
        <v>10476.817290776577</v>
      </c>
      <c r="G28" s="464">
        <f>+D28/'- 7 -'!E28</f>
        <v>10745.227203260316</v>
      </c>
      <c r="I28" s="462" t="str">
        <f t="shared" si="1"/>
        <v/>
      </c>
      <c r="J28" s="499">
        <f>+'- 15 -'!B28</f>
        <v>16798429</v>
      </c>
      <c r="K28" s="498">
        <f>+'- 15 -'!E28</f>
        <v>3565159</v>
      </c>
      <c r="L28" s="498">
        <f>+'- 16 -'!G28</f>
        <v>729293</v>
      </c>
      <c r="M28" s="499">
        <f t="shared" si="0"/>
        <v>21092881</v>
      </c>
    </row>
    <row r="29" spans="1:13" ht="14.1" customHeight="1" x14ac:dyDescent="0.2">
      <c r="A29" s="470" t="s">
        <v>127</v>
      </c>
      <c r="B29" s="471">
        <v>120667269</v>
      </c>
      <c r="C29" s="472">
        <v>80.729137424801181</v>
      </c>
      <c r="D29" s="471">
        <v>127932131</v>
      </c>
      <c r="E29" s="472">
        <f>+D29/'- 3 -'!F29*100</f>
        <v>80.78091203786532</v>
      </c>
      <c r="F29" s="471">
        <v>9506.3749379593955</v>
      </c>
      <c r="G29" s="471">
        <f>+D29/'- 7 -'!E29</f>
        <v>9778.9496575551893</v>
      </c>
      <c r="I29" s="462" t="str">
        <f t="shared" si="1"/>
        <v/>
      </c>
      <c r="J29" s="499">
        <f>+'- 15 -'!B29</f>
        <v>90755483</v>
      </c>
      <c r="K29" s="498">
        <f>+'- 15 -'!E29</f>
        <v>30555951</v>
      </c>
      <c r="L29" s="498">
        <f>+'- 16 -'!G29</f>
        <v>6620697</v>
      </c>
      <c r="M29" s="499">
        <f t="shared" si="0"/>
        <v>127932131</v>
      </c>
    </row>
    <row r="30" spans="1:13" ht="14.1" customHeight="1" x14ac:dyDescent="0.2">
      <c r="A30" s="463" t="s">
        <v>128</v>
      </c>
      <c r="B30" s="464">
        <v>10593071</v>
      </c>
      <c r="C30" s="465">
        <v>76.34161030928415</v>
      </c>
      <c r="D30" s="464">
        <v>10610973</v>
      </c>
      <c r="E30" s="465">
        <f>+D30/'- 3 -'!F30*100</f>
        <v>75.305288458808874</v>
      </c>
      <c r="F30" s="464">
        <v>10550.867529880477</v>
      </c>
      <c r="G30" s="464">
        <f>+D30/'- 7 -'!E30</f>
        <v>10620.075922219045</v>
      </c>
      <c r="I30" s="462" t="str">
        <f t="shared" si="1"/>
        <v/>
      </c>
      <c r="J30" s="499">
        <f>+'- 15 -'!B30</f>
        <v>8527073</v>
      </c>
      <c r="K30" s="498">
        <f>+'- 15 -'!E30</f>
        <v>1527944</v>
      </c>
      <c r="L30" s="498">
        <f>+'- 16 -'!G30</f>
        <v>555956</v>
      </c>
      <c r="M30" s="499">
        <f t="shared" si="0"/>
        <v>10610973</v>
      </c>
    </row>
    <row r="31" spans="1:13" ht="14.1" customHeight="1" x14ac:dyDescent="0.2">
      <c r="A31" s="470" t="s">
        <v>129</v>
      </c>
      <c r="B31" s="471">
        <v>29159565</v>
      </c>
      <c r="C31" s="472">
        <v>81.589750764215822</v>
      </c>
      <c r="D31" s="471">
        <v>30347999</v>
      </c>
      <c r="E31" s="472">
        <f>+D31/'- 3 -'!F31*100</f>
        <v>81.00597044024029</v>
      </c>
      <c r="F31" s="471">
        <v>8921.3905461220747</v>
      </c>
      <c r="G31" s="471">
        <f>+D31/'- 7 -'!E31</f>
        <v>9329.23424531202</v>
      </c>
      <c r="I31" s="462" t="str">
        <f t="shared" si="1"/>
        <v/>
      </c>
      <c r="J31" s="499">
        <f>+'- 15 -'!B31</f>
        <v>21538871</v>
      </c>
      <c r="K31" s="498">
        <f>+'- 15 -'!E31</f>
        <v>7435844</v>
      </c>
      <c r="L31" s="498">
        <f>+'- 16 -'!G31</f>
        <v>1373284</v>
      </c>
      <c r="M31" s="499">
        <f t="shared" si="0"/>
        <v>30347999</v>
      </c>
    </row>
    <row r="32" spans="1:13" ht="14.1" customHeight="1" x14ac:dyDescent="0.2">
      <c r="A32" s="463" t="s">
        <v>130</v>
      </c>
      <c r="B32" s="464">
        <v>20714537</v>
      </c>
      <c r="C32" s="465">
        <v>74.99675151632411</v>
      </c>
      <c r="D32" s="464">
        <v>22173773</v>
      </c>
      <c r="E32" s="465">
        <f>+D32/'- 3 -'!F32*100</f>
        <v>76.490030632890935</v>
      </c>
      <c r="F32" s="464">
        <v>9807.0907111069009</v>
      </c>
      <c r="G32" s="464">
        <f>+D32/'- 7 -'!E32</f>
        <v>10298.055452349992</v>
      </c>
      <c r="I32" s="462" t="str">
        <f t="shared" si="1"/>
        <v/>
      </c>
      <c r="J32" s="499">
        <f>+'- 15 -'!B32</f>
        <v>17118573</v>
      </c>
      <c r="K32" s="498">
        <f>+'- 15 -'!E32</f>
        <v>4349014</v>
      </c>
      <c r="L32" s="498">
        <f>+'- 16 -'!G32</f>
        <v>706186</v>
      </c>
      <c r="M32" s="499">
        <f t="shared" si="0"/>
        <v>22173773</v>
      </c>
    </row>
    <row r="33" spans="1:13" ht="14.1" customHeight="1" x14ac:dyDescent="0.2">
      <c r="A33" s="470" t="s">
        <v>131</v>
      </c>
      <c r="B33" s="471">
        <v>19751765</v>
      </c>
      <c r="C33" s="472">
        <v>74.738383221381454</v>
      </c>
      <c r="D33" s="471">
        <v>20731098</v>
      </c>
      <c r="E33" s="472">
        <f>+D33/'- 3 -'!F33*100</f>
        <v>74.639080832219477</v>
      </c>
      <c r="F33" s="471">
        <v>9710.3215181161195</v>
      </c>
      <c r="G33" s="471">
        <f>+D33/'- 7 -'!E33</f>
        <v>10265.460757613271</v>
      </c>
      <c r="I33" s="462" t="str">
        <f t="shared" si="1"/>
        <v/>
      </c>
      <c r="J33" s="499">
        <f>+'- 15 -'!B33</f>
        <v>16378185</v>
      </c>
      <c r="K33" s="498">
        <f>+'- 15 -'!E33</f>
        <v>3560602</v>
      </c>
      <c r="L33" s="498">
        <f>+'- 16 -'!G33</f>
        <v>792311</v>
      </c>
      <c r="M33" s="499">
        <f t="shared" si="0"/>
        <v>20731098</v>
      </c>
    </row>
    <row r="34" spans="1:13" ht="14.1" customHeight="1" x14ac:dyDescent="0.2">
      <c r="A34" s="463" t="s">
        <v>132</v>
      </c>
      <c r="B34" s="464">
        <v>20860677</v>
      </c>
      <c r="C34" s="465">
        <v>74.928598344419058</v>
      </c>
      <c r="D34" s="464">
        <v>21788760</v>
      </c>
      <c r="E34" s="465">
        <f>+D34/'- 3 -'!F34*100</f>
        <v>75.076033022654542</v>
      </c>
      <c r="F34" s="464">
        <v>10527.401138496942</v>
      </c>
      <c r="G34" s="464">
        <f>+D34/'- 7 -'!E34</f>
        <v>10707.533539731681</v>
      </c>
      <c r="I34" s="462" t="str">
        <f t="shared" si="1"/>
        <v/>
      </c>
      <c r="J34" s="499">
        <f>+'- 15 -'!B34</f>
        <v>16209840</v>
      </c>
      <c r="K34" s="498">
        <f>+'- 15 -'!E34</f>
        <v>4734223</v>
      </c>
      <c r="L34" s="498">
        <f>+'- 16 -'!G34</f>
        <v>844697</v>
      </c>
      <c r="M34" s="499">
        <f t="shared" si="0"/>
        <v>21788760</v>
      </c>
    </row>
    <row r="35" spans="1:13" ht="14.1" customHeight="1" x14ac:dyDescent="0.2">
      <c r="A35" s="470" t="s">
        <v>133</v>
      </c>
      <c r="B35" s="471">
        <v>144868991</v>
      </c>
      <c r="C35" s="472">
        <v>81.357836422907496</v>
      </c>
      <c r="D35" s="471">
        <v>147262457</v>
      </c>
      <c r="E35" s="472">
        <f>+D35/'- 3 -'!F35*100</f>
        <v>81.224812785611377</v>
      </c>
      <c r="F35" s="471">
        <v>9389.7002949087728</v>
      </c>
      <c r="G35" s="471">
        <f>+D35/'- 7 -'!E35</f>
        <v>9435.0625961045625</v>
      </c>
      <c r="I35" s="462" t="str">
        <f t="shared" si="1"/>
        <v/>
      </c>
      <c r="J35" s="499">
        <f>+'- 15 -'!B35</f>
        <v>104938838</v>
      </c>
      <c r="K35" s="498">
        <f>+'- 15 -'!E35</f>
        <v>34780528</v>
      </c>
      <c r="L35" s="498">
        <f>+'- 16 -'!G35</f>
        <v>7543091</v>
      </c>
      <c r="M35" s="499">
        <f t="shared" si="0"/>
        <v>147262457</v>
      </c>
    </row>
    <row r="36" spans="1:13" ht="14.1" customHeight="1" x14ac:dyDescent="0.2">
      <c r="A36" s="463" t="s">
        <v>134</v>
      </c>
      <c r="B36" s="464">
        <v>16751330</v>
      </c>
      <c r="C36" s="465">
        <v>75.236932606984041</v>
      </c>
      <c r="D36" s="464">
        <v>17298678</v>
      </c>
      <c r="E36" s="465">
        <f>+D36/'- 3 -'!F36*100</f>
        <v>74.365583007102842</v>
      </c>
      <c r="F36" s="464">
        <v>10236.070882981974</v>
      </c>
      <c r="G36" s="464">
        <f>+D36/'- 7 -'!E36</f>
        <v>10374.019790104947</v>
      </c>
      <c r="I36" s="462" t="str">
        <f t="shared" si="1"/>
        <v/>
      </c>
      <c r="J36" s="499">
        <f>+'- 15 -'!B36</f>
        <v>13630715</v>
      </c>
      <c r="K36" s="498">
        <f>+'- 15 -'!E36</f>
        <v>2926805</v>
      </c>
      <c r="L36" s="498">
        <f>+'- 16 -'!G36</f>
        <v>741158</v>
      </c>
      <c r="M36" s="499">
        <f t="shared" si="0"/>
        <v>17298678</v>
      </c>
    </row>
    <row r="37" spans="1:13" ht="14.1" customHeight="1" x14ac:dyDescent="0.2">
      <c r="A37" s="470" t="s">
        <v>135</v>
      </c>
      <c r="B37" s="471">
        <v>36832610</v>
      </c>
      <c r="C37" s="472">
        <v>78.209976720007063</v>
      </c>
      <c r="D37" s="471">
        <v>38611512</v>
      </c>
      <c r="E37" s="472">
        <f>+D37/'- 3 -'!F37*100</f>
        <v>78.113652430921647</v>
      </c>
      <c r="F37" s="471">
        <v>8975.9010600706715</v>
      </c>
      <c r="G37" s="471">
        <f>+D37/'- 7 -'!E37</f>
        <v>9230.5790102797037</v>
      </c>
      <c r="I37" s="462" t="str">
        <f t="shared" si="1"/>
        <v/>
      </c>
      <c r="J37" s="499">
        <f>+'- 15 -'!B37</f>
        <v>28582109</v>
      </c>
      <c r="K37" s="498">
        <f>+'- 15 -'!E37</f>
        <v>8386775</v>
      </c>
      <c r="L37" s="498">
        <f>+'- 16 -'!G37</f>
        <v>1642628</v>
      </c>
      <c r="M37" s="499">
        <f t="shared" si="0"/>
        <v>38611512</v>
      </c>
    </row>
    <row r="38" spans="1:13" ht="14.1" customHeight="1" x14ac:dyDescent="0.2">
      <c r="A38" s="463" t="s">
        <v>136</v>
      </c>
      <c r="B38" s="464">
        <v>102403618</v>
      </c>
      <c r="C38" s="465">
        <v>82.443553139107323</v>
      </c>
      <c r="D38" s="464">
        <v>109962514</v>
      </c>
      <c r="E38" s="465">
        <f>+D38/'- 3 -'!F38*100</f>
        <v>82.840015344790174</v>
      </c>
      <c r="F38" s="464">
        <v>9482.4310834961507</v>
      </c>
      <c r="G38" s="464">
        <f>+D38/'- 7 -'!E38</f>
        <v>10002.229802252179</v>
      </c>
      <c r="I38" s="462" t="str">
        <f t="shared" si="1"/>
        <v/>
      </c>
      <c r="J38" s="499">
        <f>+'- 15 -'!B38</f>
        <v>80488861</v>
      </c>
      <c r="K38" s="498">
        <f>+'- 15 -'!E38</f>
        <v>24420731</v>
      </c>
      <c r="L38" s="498">
        <f>+'- 16 -'!G38</f>
        <v>5052922</v>
      </c>
      <c r="M38" s="499">
        <f t="shared" si="0"/>
        <v>109962514</v>
      </c>
    </row>
    <row r="39" spans="1:13" ht="14.1" customHeight="1" x14ac:dyDescent="0.2">
      <c r="A39" s="470" t="s">
        <v>137</v>
      </c>
      <c r="B39" s="471">
        <v>15185661</v>
      </c>
      <c r="C39" s="472">
        <v>74.002259297600247</v>
      </c>
      <c r="D39" s="471">
        <v>15749413</v>
      </c>
      <c r="E39" s="472">
        <f>+D39/'- 3 -'!F39*100</f>
        <v>73.948957165805979</v>
      </c>
      <c r="F39" s="471">
        <v>9581.4631837970846</v>
      </c>
      <c r="G39" s="471">
        <f>+D39/'- 7 -'!E39</f>
        <v>10499.608666666667</v>
      </c>
      <c r="I39" s="462" t="str">
        <f t="shared" si="1"/>
        <v/>
      </c>
      <c r="J39" s="499">
        <f>+'- 15 -'!B39</f>
        <v>12445891</v>
      </c>
      <c r="K39" s="498">
        <f>+'- 15 -'!E39</f>
        <v>2812106</v>
      </c>
      <c r="L39" s="498">
        <f>+'- 16 -'!G39</f>
        <v>491416</v>
      </c>
      <c r="M39" s="499">
        <f t="shared" si="0"/>
        <v>15749413</v>
      </c>
    </row>
    <row r="40" spans="1:13" ht="14.1" customHeight="1" x14ac:dyDescent="0.2">
      <c r="A40" s="463" t="s">
        <v>138</v>
      </c>
      <c r="B40" s="464">
        <v>82487320</v>
      </c>
      <c r="C40" s="465">
        <v>81.814150713504759</v>
      </c>
      <c r="D40" s="464">
        <v>84906607</v>
      </c>
      <c r="E40" s="465">
        <f>+D40/'- 3 -'!F40*100</f>
        <v>82.154791986562032</v>
      </c>
      <c r="F40" s="464">
        <v>10364.160876503034</v>
      </c>
      <c r="G40" s="464">
        <f>+D40/'- 7 -'!E40</f>
        <v>10278.752481720014</v>
      </c>
      <c r="I40" s="462" t="str">
        <f t="shared" si="1"/>
        <v/>
      </c>
      <c r="J40" s="499">
        <f>+'- 15 -'!B40</f>
        <v>59127682</v>
      </c>
      <c r="K40" s="498">
        <f>+'- 15 -'!E40</f>
        <v>22188693</v>
      </c>
      <c r="L40" s="498">
        <f>+'- 16 -'!G40</f>
        <v>3590232</v>
      </c>
      <c r="M40" s="499">
        <f t="shared" si="0"/>
        <v>84906607</v>
      </c>
    </row>
    <row r="41" spans="1:13" ht="14.1" customHeight="1" x14ac:dyDescent="0.2">
      <c r="A41" s="470" t="s">
        <v>139</v>
      </c>
      <c r="B41" s="471">
        <v>45691084</v>
      </c>
      <c r="C41" s="472">
        <v>75.47716908622327</v>
      </c>
      <c r="D41" s="471">
        <v>46529944</v>
      </c>
      <c r="E41" s="472">
        <f>+D41/'- 3 -'!F41*100</f>
        <v>75.818574357498321</v>
      </c>
      <c r="F41" s="471">
        <v>10417.483812129503</v>
      </c>
      <c r="G41" s="471">
        <f>+D41/'- 7 -'!E41</f>
        <v>10436.23281372659</v>
      </c>
      <c r="I41" s="462" t="str">
        <f t="shared" si="1"/>
        <v/>
      </c>
      <c r="J41" s="499">
        <f>+'- 15 -'!B41</f>
        <v>33269442</v>
      </c>
      <c r="K41" s="498">
        <f>+'- 15 -'!E41</f>
        <v>11781094</v>
      </c>
      <c r="L41" s="498">
        <f>+'- 16 -'!G41</f>
        <v>1479408</v>
      </c>
      <c r="M41" s="499">
        <f t="shared" si="0"/>
        <v>46529944</v>
      </c>
    </row>
    <row r="42" spans="1:13" ht="14.1" customHeight="1" x14ac:dyDescent="0.2">
      <c r="A42" s="463" t="s">
        <v>140</v>
      </c>
      <c r="B42" s="464">
        <v>14594212</v>
      </c>
      <c r="C42" s="465">
        <v>73.770671372608405</v>
      </c>
      <c r="D42" s="464">
        <v>14677941</v>
      </c>
      <c r="E42" s="465">
        <f>+D42/'- 3 -'!F42*100</f>
        <v>73.132691126938042</v>
      </c>
      <c r="F42" s="464">
        <v>10543.427250397343</v>
      </c>
      <c r="G42" s="464">
        <f>+D42/'- 7 -'!E42</f>
        <v>10646.990425068911</v>
      </c>
      <c r="I42" s="462" t="str">
        <f t="shared" si="1"/>
        <v/>
      </c>
      <c r="J42" s="499">
        <f>+'- 15 -'!B42</f>
        <v>11395736</v>
      </c>
      <c r="K42" s="498">
        <f>+'- 15 -'!E42</f>
        <v>2957615</v>
      </c>
      <c r="L42" s="498">
        <f>+'- 16 -'!G42</f>
        <v>324590</v>
      </c>
      <c r="M42" s="499">
        <f t="shared" si="0"/>
        <v>14677941</v>
      </c>
    </row>
    <row r="43" spans="1:13" ht="14.1" customHeight="1" x14ac:dyDescent="0.2">
      <c r="A43" s="470" t="s">
        <v>141</v>
      </c>
      <c r="B43" s="471">
        <v>9564039</v>
      </c>
      <c r="C43" s="472">
        <v>76.676731448780245</v>
      </c>
      <c r="D43" s="471">
        <v>9960999</v>
      </c>
      <c r="E43" s="472">
        <f>+D43/'- 3 -'!F43*100</f>
        <v>76.526822035363224</v>
      </c>
      <c r="F43" s="471">
        <v>10102.502376676879</v>
      </c>
      <c r="G43" s="471">
        <f>+D43/'- 7 -'!E43</f>
        <v>10346.939856653162</v>
      </c>
      <c r="I43" s="462" t="str">
        <f t="shared" si="1"/>
        <v/>
      </c>
      <c r="J43" s="499">
        <f>+'- 15 -'!B43</f>
        <v>7123427</v>
      </c>
      <c r="K43" s="498">
        <f>+'- 15 -'!E43</f>
        <v>2340864</v>
      </c>
      <c r="L43" s="498">
        <f>+'- 16 -'!G43</f>
        <v>496708</v>
      </c>
      <c r="M43" s="499">
        <f t="shared" si="0"/>
        <v>9960999</v>
      </c>
    </row>
    <row r="44" spans="1:13" ht="14.1" customHeight="1" x14ac:dyDescent="0.2">
      <c r="A44" s="463" t="s">
        <v>142</v>
      </c>
      <c r="B44" s="464">
        <v>7932732</v>
      </c>
      <c r="C44" s="465">
        <v>73.086816767656956</v>
      </c>
      <c r="D44" s="464">
        <v>8020370</v>
      </c>
      <c r="E44" s="465">
        <f>+D44/'- 3 -'!F44*100</f>
        <v>74.436922722817854</v>
      </c>
      <c r="F44" s="464">
        <v>11648.651982378855</v>
      </c>
      <c r="G44" s="464">
        <f>+D44/'- 7 -'!E44</f>
        <v>11565.061283345349</v>
      </c>
      <c r="I44" s="462" t="str">
        <f t="shared" si="1"/>
        <v/>
      </c>
      <c r="J44" s="499">
        <f>+'- 15 -'!B44</f>
        <v>6177099</v>
      </c>
      <c r="K44" s="498">
        <f>+'- 15 -'!E44</f>
        <v>1574064</v>
      </c>
      <c r="L44" s="498">
        <f>+'- 16 -'!G44</f>
        <v>269207</v>
      </c>
      <c r="M44" s="499">
        <f t="shared" si="0"/>
        <v>8020370</v>
      </c>
    </row>
    <row r="45" spans="1:13" ht="14.1" customHeight="1" x14ac:dyDescent="0.2">
      <c r="A45" s="470" t="s">
        <v>143</v>
      </c>
      <c r="B45" s="471">
        <v>14235689</v>
      </c>
      <c r="C45" s="472">
        <v>79.606496202000471</v>
      </c>
      <c r="D45" s="471">
        <v>14992496</v>
      </c>
      <c r="E45" s="472">
        <f>+D45/'- 3 -'!F45*100</f>
        <v>79.676195430228191</v>
      </c>
      <c r="F45" s="471">
        <v>8575.7162650602404</v>
      </c>
      <c r="G45" s="471">
        <f>+D45/'- 7 -'!E45</f>
        <v>8897.6237388724039</v>
      </c>
      <c r="I45" s="462" t="str">
        <f t="shared" si="1"/>
        <v/>
      </c>
      <c r="J45" s="499">
        <f>+'- 15 -'!B45</f>
        <v>11699681</v>
      </c>
      <c r="K45" s="498">
        <f>+'- 15 -'!E45</f>
        <v>2744509</v>
      </c>
      <c r="L45" s="498">
        <f>+'- 16 -'!G45</f>
        <v>548306</v>
      </c>
      <c r="M45" s="499">
        <f t="shared" si="0"/>
        <v>14992496</v>
      </c>
    </row>
    <row r="46" spans="1:13" ht="14.1" customHeight="1" x14ac:dyDescent="0.2">
      <c r="A46" s="463" t="s">
        <v>144</v>
      </c>
      <c r="B46" s="464">
        <v>301192400</v>
      </c>
      <c r="C46" s="465">
        <v>81.113470879056536</v>
      </c>
      <c r="D46" s="464">
        <v>309129513</v>
      </c>
      <c r="E46" s="465">
        <f>+D46/'- 3 -'!F46*100</f>
        <v>81.27983600194267</v>
      </c>
      <c r="F46" s="464">
        <v>10095.270655270655</v>
      </c>
      <c r="G46" s="464">
        <f>+D46/'- 7 -'!E46</f>
        <v>10346.04615281636</v>
      </c>
      <c r="I46" s="462" t="str">
        <f t="shared" si="1"/>
        <v/>
      </c>
      <c r="J46" s="499">
        <f>+'- 15 -'!B46</f>
        <v>206967808</v>
      </c>
      <c r="K46" s="498">
        <f>+'- 15 -'!E46</f>
        <v>92756581</v>
      </c>
      <c r="L46" s="498">
        <f>+'- 16 -'!G46</f>
        <v>9405124</v>
      </c>
      <c r="M46" s="499">
        <f t="shared" si="0"/>
        <v>309129513</v>
      </c>
    </row>
    <row r="47" spans="1:13" ht="5.0999999999999996" customHeight="1" x14ac:dyDescent="0.2">
      <c r="B47" s="462"/>
      <c r="C47" s="462"/>
      <c r="D47" s="462"/>
      <c r="E47" s="462"/>
      <c r="F47" s="462"/>
      <c r="G47" s="462"/>
      <c r="I47" s="462" t="str">
        <f t="shared" si="1"/>
        <v/>
      </c>
      <c r="J47" s="499">
        <f>+'- 15 -'!B47</f>
        <v>0</v>
      </c>
      <c r="K47" s="498">
        <f>+'- 15 -'!E47</f>
        <v>0</v>
      </c>
      <c r="L47" s="498">
        <f>+'- 16 -'!G47</f>
        <v>0</v>
      </c>
      <c r="M47" s="499">
        <f t="shared" si="0"/>
        <v>0</v>
      </c>
    </row>
    <row r="48" spans="1:13" ht="14.1" customHeight="1" x14ac:dyDescent="0.2">
      <c r="A48" s="473" t="s">
        <v>145</v>
      </c>
      <c r="B48" s="474">
        <v>1718751122</v>
      </c>
      <c r="C48" s="475">
        <v>78.789212546078431</v>
      </c>
      <c r="D48" s="474">
        <f>SUM(D11:D46)</f>
        <v>1779438741.51</v>
      </c>
      <c r="E48" s="475">
        <f>+D48/'- 3 -'!F48*100</f>
        <v>78.847679514964298</v>
      </c>
      <c r="F48" s="474">
        <v>9877.480695279608</v>
      </c>
      <c r="G48" s="474">
        <f>+D48/'- 7 -'!E48</f>
        <v>10108.300365690184</v>
      </c>
      <c r="I48" s="462" t="str">
        <f t="shared" si="1"/>
        <v/>
      </c>
      <c r="J48" s="499">
        <f>+'- 15 -'!B48</f>
        <v>1277008013.51</v>
      </c>
      <c r="K48" s="498">
        <f>+'- 15 -'!E48</f>
        <v>424076517</v>
      </c>
      <c r="L48" s="498">
        <f>+'- 16 -'!G48</f>
        <v>78354211</v>
      </c>
      <c r="M48" s="499">
        <f t="shared" si="0"/>
        <v>1779438741.51</v>
      </c>
    </row>
    <row r="49" spans="1:7" ht="5.0999999999999996" customHeight="1" x14ac:dyDescent="0.2">
      <c r="B49" s="462"/>
      <c r="C49" s="462"/>
      <c r="D49" s="462"/>
      <c r="E49" s="462"/>
      <c r="F49" s="462"/>
      <c r="G49" s="462"/>
    </row>
    <row r="50" spans="1:7" ht="49.5" customHeight="1" x14ac:dyDescent="0.2">
      <c r="A50" s="466"/>
      <c r="B50" s="467"/>
      <c r="C50" s="467"/>
      <c r="D50" s="467"/>
      <c r="E50" s="467"/>
      <c r="F50" s="467"/>
      <c r="G50" s="467"/>
    </row>
    <row r="51" spans="1:7" ht="12" customHeight="1" x14ac:dyDescent="0.2">
      <c r="A51" s="852" t="s">
        <v>603</v>
      </c>
      <c r="B51" s="853"/>
      <c r="C51" s="853"/>
      <c r="D51" s="853"/>
      <c r="E51" s="853"/>
      <c r="F51" s="853"/>
      <c r="G51" s="853"/>
    </row>
    <row r="52" spans="1:7" x14ac:dyDescent="0.2">
      <c r="A52" s="854"/>
      <c r="B52" s="854"/>
      <c r="C52" s="854"/>
      <c r="D52" s="854"/>
      <c r="E52" s="854"/>
      <c r="F52" s="854"/>
      <c r="G52" s="854"/>
    </row>
    <row r="53" spans="1:7" ht="10.5" customHeight="1" x14ac:dyDescent="0.2">
      <c r="A53" s="468" t="s">
        <v>378</v>
      </c>
      <c r="B53" s="468"/>
      <c r="C53" s="468"/>
    </row>
    <row r="54" spans="1:7" ht="12" customHeight="1" x14ac:dyDescent="0.2">
      <c r="B54" s="468"/>
      <c r="C54" s="468"/>
    </row>
    <row r="55" spans="1:7" ht="12" customHeight="1" x14ac:dyDescent="0.2">
      <c r="A55" s="469"/>
      <c r="B55" s="468"/>
      <c r="C55" s="468"/>
    </row>
    <row r="56" spans="1:7" ht="12" customHeight="1" x14ac:dyDescent="0.2">
      <c r="A56" s="469"/>
      <c r="B56" s="468"/>
      <c r="C56" s="468"/>
    </row>
    <row r="57" spans="1:7" ht="14.45" customHeight="1" x14ac:dyDescent="0.2">
      <c r="A57" s="468"/>
    </row>
  </sheetData>
  <mergeCells count="3">
    <mergeCell ref="F6:G8"/>
    <mergeCell ref="B6:E8"/>
    <mergeCell ref="A51:G52"/>
  </mergeCells>
  <phoneticPr fontId="19" type="noConversion"/>
  <pageMargins left="0.51181102362204722" right="0.51181102362204722" top="0.59055118110236227" bottom="0.19685039370078741" header="0.31496062992125984" footer="0.51181102362204722"/>
  <pageSetup scale="95" orientation="portrait" r:id="rId1"/>
  <headerFooter alignWithMargins="0">
    <oddHeader>&amp;C&amp;"Arial,Regular"&amp;10&amp;A</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I58"/>
  <sheetViews>
    <sheetView showGridLines="0" showZeros="0" workbookViewId="0"/>
  </sheetViews>
  <sheetFormatPr defaultColWidth="12.83203125" defaultRowHeight="12" x14ac:dyDescent="0.2"/>
  <cols>
    <col min="1" max="1" width="30.83203125" style="2" customWidth="1"/>
    <col min="2" max="8" width="12.83203125" style="2" customWidth="1"/>
    <col min="9" max="16384" width="12.83203125" style="2"/>
  </cols>
  <sheetData>
    <row r="1" spans="1:9" ht="6.95" customHeight="1" x14ac:dyDescent="0.2">
      <c r="A1" s="7"/>
      <c r="B1" s="8"/>
      <c r="C1" s="8"/>
    </row>
    <row r="2" spans="1:9" ht="15.95" customHeight="1" x14ac:dyDescent="0.2">
      <c r="A2" s="245" t="s">
        <v>231</v>
      </c>
      <c r="B2" s="246"/>
      <c r="C2" s="246"/>
      <c r="D2" s="246"/>
      <c r="E2" s="246"/>
      <c r="F2" s="142"/>
      <c r="G2" s="142"/>
      <c r="H2" s="142"/>
      <c r="I2" s="142"/>
    </row>
    <row r="3" spans="1:9" ht="15.95" customHeight="1" x14ac:dyDescent="0.2">
      <c r="A3" s="544" t="str">
        <f>B9&amp;" AND "&amp;C9&amp;" ACTUAL"</f>
        <v>2015/16 AND 2016/17 ACTUAL</v>
      </c>
      <c r="B3" s="247"/>
      <c r="C3" s="248"/>
      <c r="D3" s="248"/>
      <c r="E3" s="248"/>
      <c r="F3" s="249"/>
      <c r="G3" s="249"/>
      <c r="H3" s="249"/>
      <c r="I3" s="249"/>
    </row>
    <row r="4" spans="1:9" ht="15.95" customHeight="1" x14ac:dyDescent="0.2">
      <c r="B4" s="31"/>
      <c r="C4" s="8"/>
    </row>
    <row r="5" spans="1:9" ht="15.95" customHeight="1" x14ac:dyDescent="0.2">
      <c r="B5" s="227"/>
      <c r="C5" s="8"/>
    </row>
    <row r="6" spans="1:9" ht="15.95" customHeight="1" x14ac:dyDescent="0.2">
      <c r="B6" s="864" t="s">
        <v>607</v>
      </c>
      <c r="C6" s="865"/>
      <c r="D6" s="571"/>
      <c r="E6" s="377"/>
      <c r="F6" s="859" t="s">
        <v>605</v>
      </c>
      <c r="G6" s="860"/>
      <c r="H6" s="380"/>
      <c r="I6" s="381"/>
    </row>
    <row r="7" spans="1:9" ht="15.95" customHeight="1" x14ac:dyDescent="0.2">
      <c r="B7" s="866"/>
      <c r="C7" s="867"/>
      <c r="D7" s="862" t="s">
        <v>606</v>
      </c>
      <c r="E7" s="856"/>
      <c r="F7" s="861"/>
      <c r="G7" s="856"/>
      <c r="H7" s="855" t="s">
        <v>604</v>
      </c>
      <c r="I7" s="856"/>
    </row>
    <row r="8" spans="1:9" ht="15.95" customHeight="1" x14ac:dyDescent="0.2">
      <c r="A8" s="403"/>
      <c r="B8" s="868"/>
      <c r="C8" s="869"/>
      <c r="D8" s="863"/>
      <c r="E8" s="858"/>
      <c r="F8" s="857"/>
      <c r="G8" s="858"/>
      <c r="H8" s="857"/>
      <c r="I8" s="858"/>
    </row>
    <row r="9" spans="1:9" ht="15.95" customHeight="1" x14ac:dyDescent="0.2">
      <c r="A9" s="35" t="s">
        <v>42</v>
      </c>
      <c r="B9" s="572" t="str">
        <f>PrevY</f>
        <v>2015/16</v>
      </c>
      <c r="C9" s="573" t="str">
        <f>+CurrY</f>
        <v>2016/17</v>
      </c>
      <c r="D9" s="490" t="str">
        <f>+B9</f>
        <v>2015/16</v>
      </c>
      <c r="E9" s="491" t="s">
        <v>641</v>
      </c>
      <c r="F9" s="491">
        <v>2015</v>
      </c>
      <c r="G9" s="491" t="s">
        <v>642</v>
      </c>
      <c r="H9" s="491">
        <f>+F9</f>
        <v>2015</v>
      </c>
      <c r="I9" s="491" t="s">
        <v>643</v>
      </c>
    </row>
    <row r="10" spans="1:9" ht="5.0999999999999996" customHeight="1" x14ac:dyDescent="0.2">
      <c r="A10" s="6"/>
      <c r="C10" s="250"/>
    </row>
    <row r="11" spans="1:9" ht="14.1" customHeight="1" x14ac:dyDescent="0.2">
      <c r="A11" s="352" t="s">
        <v>110</v>
      </c>
      <c r="B11" s="352">
        <v>10690</v>
      </c>
      <c r="C11" s="352">
        <f>'- 4 -'!E11</f>
        <v>10813</v>
      </c>
      <c r="D11" s="353">
        <v>14.095878889823382</v>
      </c>
      <c r="E11" s="353">
        <f>'- 9 -'!C11</f>
        <v>13.934038188417233</v>
      </c>
      <c r="F11" s="352">
        <v>368964</v>
      </c>
      <c r="G11" s="352">
        <f>'- 55 -'!F11</f>
        <v>426198</v>
      </c>
      <c r="H11" s="353">
        <v>13.49714609222295</v>
      </c>
      <c r="I11" s="353">
        <f>'- 53 -'!G11</f>
        <v>11.451137547056465</v>
      </c>
    </row>
    <row r="12" spans="1:9" ht="14.1" customHeight="1" x14ac:dyDescent="0.2">
      <c r="A12" s="151" t="s">
        <v>111</v>
      </c>
      <c r="B12" s="151">
        <v>14909</v>
      </c>
      <c r="C12" s="151">
        <f>'- 4 -'!E12</f>
        <v>15475</v>
      </c>
      <c r="D12" s="238">
        <v>10.589923898471492</v>
      </c>
      <c r="E12" s="238">
        <f>'- 9 -'!C12</f>
        <v>11.076243729096992</v>
      </c>
      <c r="F12" s="151">
        <v>325530</v>
      </c>
      <c r="G12" s="151">
        <f>'- 55 -'!F12</f>
        <v>431678</v>
      </c>
      <c r="H12" s="238">
        <v>16.571894923662775</v>
      </c>
      <c r="I12" s="238">
        <f>'- 53 -'!G12</f>
        <v>14.963803228821055</v>
      </c>
    </row>
    <row r="13" spans="1:9" ht="14.1" customHeight="1" x14ac:dyDescent="0.2">
      <c r="A13" s="352" t="s">
        <v>112</v>
      </c>
      <c r="B13" s="352">
        <v>10971</v>
      </c>
      <c r="C13" s="352">
        <f>'- 4 -'!E13</f>
        <v>11419</v>
      </c>
      <c r="D13" s="353">
        <v>12.939146800501881</v>
      </c>
      <c r="E13" s="353">
        <f>'- 9 -'!C13</f>
        <v>12.829214481606888</v>
      </c>
      <c r="F13" s="352">
        <v>332491</v>
      </c>
      <c r="G13" s="352">
        <f>'- 55 -'!F13</f>
        <v>367136</v>
      </c>
      <c r="H13" s="353">
        <v>15.505250156498025</v>
      </c>
      <c r="I13" s="353">
        <f>'- 53 -'!G13</f>
        <v>14.496671226684288</v>
      </c>
    </row>
    <row r="14" spans="1:9" ht="14.1" customHeight="1" x14ac:dyDescent="0.2">
      <c r="A14" s="151" t="s">
        <v>359</v>
      </c>
      <c r="B14" s="151">
        <v>14913</v>
      </c>
      <c r="C14" s="151">
        <f>'- 4 -'!E14</f>
        <v>14835</v>
      </c>
      <c r="D14" s="238">
        <v>12.042734464804923</v>
      </c>
      <c r="E14" s="238">
        <f>'- 9 -'!C14</f>
        <v>11.864673042800884</v>
      </c>
      <c r="F14" s="151">
        <v>389297</v>
      </c>
      <c r="G14" s="151">
        <f>'- 55 -'!F14</f>
        <v>447781</v>
      </c>
      <c r="H14" s="238">
        <v>0</v>
      </c>
      <c r="I14" s="238">
        <f>'- 53 -'!G14</f>
        <v>0</v>
      </c>
    </row>
    <row r="15" spans="1:9" ht="14.1" customHeight="1" x14ac:dyDescent="0.2">
      <c r="A15" s="352" t="s">
        <v>113</v>
      </c>
      <c r="B15" s="352">
        <v>14019</v>
      </c>
      <c r="C15" s="352">
        <f>'- 4 -'!E15</f>
        <v>13908</v>
      </c>
      <c r="D15" s="353">
        <v>12.760180995475114</v>
      </c>
      <c r="E15" s="353">
        <f>'- 9 -'!C15</f>
        <v>12.257555847568989</v>
      </c>
      <c r="F15" s="352">
        <v>572165</v>
      </c>
      <c r="G15" s="352">
        <f>'- 55 -'!F15</f>
        <v>655610</v>
      </c>
      <c r="H15" s="353">
        <v>11.703041840878955</v>
      </c>
      <c r="I15" s="353">
        <f>'- 53 -'!G15</f>
        <v>10.697684987662338</v>
      </c>
    </row>
    <row r="16" spans="1:9" ht="14.1" customHeight="1" x14ac:dyDescent="0.2">
      <c r="A16" s="151" t="s">
        <v>114</v>
      </c>
      <c r="B16" s="151">
        <v>14920</v>
      </c>
      <c r="C16" s="151">
        <f>'- 4 -'!E16</f>
        <v>15926</v>
      </c>
      <c r="D16" s="238">
        <v>11.685463659147871</v>
      </c>
      <c r="E16" s="238">
        <f>'- 9 -'!C16</f>
        <v>11.447751741608611</v>
      </c>
      <c r="F16" s="151">
        <v>177865</v>
      </c>
      <c r="G16" s="151">
        <f>'- 55 -'!F16</f>
        <v>200703</v>
      </c>
      <c r="H16" s="238">
        <v>20.735635678710477</v>
      </c>
      <c r="I16" s="238">
        <f>'- 53 -'!G16</f>
        <v>19.707525662850252</v>
      </c>
    </row>
    <row r="17" spans="1:9" ht="14.1" customHeight="1" x14ac:dyDescent="0.2">
      <c r="A17" s="352" t="s">
        <v>115</v>
      </c>
      <c r="B17" s="352">
        <v>12695</v>
      </c>
      <c r="C17" s="352">
        <f>'- 4 -'!E17</f>
        <v>12564</v>
      </c>
      <c r="D17" s="353">
        <v>12.064134175784663</v>
      </c>
      <c r="E17" s="353">
        <f>'- 9 -'!C17</f>
        <v>12.431062088596335</v>
      </c>
      <c r="F17" s="352">
        <v>670922</v>
      </c>
      <c r="G17" s="352">
        <f>'- 55 -'!F17</f>
        <v>865949</v>
      </c>
      <c r="H17" s="353">
        <v>9.6706185300122893</v>
      </c>
      <c r="I17" s="353">
        <f>'- 53 -'!G17</f>
        <v>7.7675100411131464</v>
      </c>
    </row>
    <row r="18" spans="1:9" ht="14.1" customHeight="1" x14ac:dyDescent="0.2">
      <c r="A18" s="151" t="s">
        <v>116</v>
      </c>
      <c r="B18" s="151">
        <v>19756</v>
      </c>
      <c r="C18" s="151">
        <f>'- 4 -'!E18</f>
        <v>20305</v>
      </c>
      <c r="D18" s="238">
        <v>11.871327583361477</v>
      </c>
      <c r="E18" s="238">
        <f>'- 9 -'!C18</f>
        <v>11.796961192296523</v>
      </c>
      <c r="F18" s="151">
        <v>88244</v>
      </c>
      <c r="G18" s="151">
        <f>'- 55 -'!F18</f>
        <v>101055</v>
      </c>
      <c r="H18" s="238">
        <v>15.398998929353137</v>
      </c>
      <c r="I18" s="238">
        <f>'- 53 -'!G18</f>
        <v>13.501126808906184</v>
      </c>
    </row>
    <row r="19" spans="1:9" ht="14.1" customHeight="1" x14ac:dyDescent="0.2">
      <c r="A19" s="352" t="s">
        <v>117</v>
      </c>
      <c r="B19" s="352">
        <v>10548</v>
      </c>
      <c r="C19" s="352">
        <f>'- 4 -'!E19</f>
        <v>10520</v>
      </c>
      <c r="D19" s="353">
        <v>14.507862550960976</v>
      </c>
      <c r="E19" s="353">
        <f>'- 9 -'!C19</f>
        <v>14.979314117687283</v>
      </c>
      <c r="F19" s="352">
        <v>229539</v>
      </c>
      <c r="G19" s="352">
        <f>'- 55 -'!F19</f>
        <v>269173</v>
      </c>
      <c r="H19" s="353">
        <v>18.048139981536597</v>
      </c>
      <c r="I19" s="353">
        <f>'- 53 -'!G19</f>
        <v>15.986978437482181</v>
      </c>
    </row>
    <row r="20" spans="1:9" ht="14.1" customHeight="1" x14ac:dyDescent="0.2">
      <c r="A20" s="151" t="s">
        <v>118</v>
      </c>
      <c r="B20" s="151">
        <v>10328</v>
      </c>
      <c r="C20" s="151">
        <f>'- 4 -'!E20</f>
        <v>10750</v>
      </c>
      <c r="D20" s="238">
        <v>14.567151246750745</v>
      </c>
      <c r="E20" s="238">
        <f>'- 9 -'!C20</f>
        <v>14.447082864251724</v>
      </c>
      <c r="F20" s="151">
        <v>237543</v>
      </c>
      <c r="G20" s="151">
        <f>'- 55 -'!F20</f>
        <v>263343</v>
      </c>
      <c r="H20" s="238">
        <v>16.01964862641659</v>
      </c>
      <c r="I20" s="238">
        <f>'- 53 -'!G20</f>
        <v>14.943420292054606</v>
      </c>
    </row>
    <row r="21" spans="1:9" ht="14.1" customHeight="1" x14ac:dyDescent="0.2">
      <c r="A21" s="352" t="s">
        <v>119</v>
      </c>
      <c r="B21" s="352">
        <v>12984</v>
      </c>
      <c r="C21" s="352">
        <f>'- 4 -'!E21</f>
        <v>13034</v>
      </c>
      <c r="D21" s="353">
        <v>11.967476052572957</v>
      </c>
      <c r="E21" s="353">
        <f>'- 9 -'!C21</f>
        <v>11.764630169898746</v>
      </c>
      <c r="F21" s="352">
        <v>397738</v>
      </c>
      <c r="G21" s="352">
        <f>'- 55 -'!F21</f>
        <v>468821</v>
      </c>
      <c r="H21" s="353">
        <v>14.380395883652278</v>
      </c>
      <c r="I21" s="353">
        <f>'- 53 -'!G21</f>
        <v>13.156761198914246</v>
      </c>
    </row>
    <row r="22" spans="1:9" ht="14.1" customHeight="1" x14ac:dyDescent="0.2">
      <c r="A22" s="151" t="s">
        <v>120</v>
      </c>
      <c r="B22" s="151">
        <v>12621</v>
      </c>
      <c r="C22" s="151">
        <f>'- 4 -'!E22</f>
        <v>12727</v>
      </c>
      <c r="D22" s="238">
        <v>12.92197385069591</v>
      </c>
      <c r="E22" s="238">
        <f>'- 9 -'!C22</f>
        <v>12.851961197806832</v>
      </c>
      <c r="F22" s="151">
        <v>138610</v>
      </c>
      <c r="G22" s="151">
        <f>'- 55 -'!F22</f>
        <v>171241</v>
      </c>
      <c r="H22" s="238">
        <v>20.702062140486383</v>
      </c>
      <c r="I22" s="238">
        <f>'- 53 -'!G22</f>
        <v>17.338417914110664</v>
      </c>
    </row>
    <row r="23" spans="1:9" ht="14.1" customHeight="1" x14ac:dyDescent="0.2">
      <c r="A23" s="352" t="s">
        <v>121</v>
      </c>
      <c r="B23" s="352">
        <v>14025</v>
      </c>
      <c r="C23" s="352">
        <f>'- 4 -'!E23</f>
        <v>14927</v>
      </c>
      <c r="D23" s="353">
        <v>11.973045822102426</v>
      </c>
      <c r="E23" s="353">
        <f>'- 9 -'!C23</f>
        <v>11.818663838812302</v>
      </c>
      <c r="F23" s="352">
        <v>229221</v>
      </c>
      <c r="G23" s="352">
        <f>'- 55 -'!F23</f>
        <v>280115</v>
      </c>
      <c r="H23" s="353">
        <v>18.712788216767052</v>
      </c>
      <c r="I23" s="353">
        <f>'- 53 -'!G23</f>
        <v>16.116129461525475</v>
      </c>
    </row>
    <row r="24" spans="1:9" ht="14.1" customHeight="1" x14ac:dyDescent="0.2">
      <c r="A24" s="151" t="s">
        <v>122</v>
      </c>
      <c r="B24" s="151">
        <v>13731</v>
      </c>
      <c r="C24" s="151">
        <f>'- 4 -'!E24</f>
        <v>14299</v>
      </c>
      <c r="D24" s="238">
        <v>11.788245717660956</v>
      </c>
      <c r="E24" s="238">
        <f>'- 9 -'!C24</f>
        <v>11.61264705882353</v>
      </c>
      <c r="F24" s="151">
        <v>435844</v>
      </c>
      <c r="G24" s="151">
        <f>'- 55 -'!F24</f>
        <v>506891</v>
      </c>
      <c r="H24" s="238">
        <v>14.804598145193991</v>
      </c>
      <c r="I24" s="238">
        <f>'- 53 -'!G24</f>
        <v>13.819839248448121</v>
      </c>
    </row>
    <row r="25" spans="1:9" ht="14.1" customHeight="1" x14ac:dyDescent="0.2">
      <c r="A25" s="352" t="s">
        <v>123</v>
      </c>
      <c r="B25" s="352">
        <v>11687</v>
      </c>
      <c r="C25" s="352">
        <f>'- 4 -'!E25</f>
        <v>12178</v>
      </c>
      <c r="D25" s="353">
        <v>14.130881795132861</v>
      </c>
      <c r="E25" s="353">
        <f>'- 9 -'!C25</f>
        <v>13.790353611143177</v>
      </c>
      <c r="F25" s="352">
        <v>446063</v>
      </c>
      <c r="G25" s="352">
        <f>'- 55 -'!F25</f>
        <v>484170</v>
      </c>
      <c r="H25" s="353">
        <v>13.029825839779617</v>
      </c>
      <c r="I25" s="353">
        <f>'- 53 -'!G25</f>
        <v>12.679022158127459</v>
      </c>
    </row>
    <row r="26" spans="1:9" ht="14.1" customHeight="1" x14ac:dyDescent="0.2">
      <c r="A26" s="151" t="s">
        <v>124</v>
      </c>
      <c r="B26" s="151">
        <v>12851</v>
      </c>
      <c r="C26" s="151">
        <f>'- 4 -'!E26</f>
        <v>13378</v>
      </c>
      <c r="D26" s="238">
        <v>12.807594620477159</v>
      </c>
      <c r="E26" s="238">
        <f>'- 9 -'!C26</f>
        <v>12.940927376667373</v>
      </c>
      <c r="F26" s="151">
        <v>292889</v>
      </c>
      <c r="G26" s="151">
        <f>'- 55 -'!F26</f>
        <v>350850</v>
      </c>
      <c r="H26" s="238">
        <v>17.079867584267916</v>
      </c>
      <c r="I26" s="238">
        <f>'- 53 -'!G26</f>
        <v>14.996851936873073</v>
      </c>
    </row>
    <row r="27" spans="1:9" ht="14.1" customHeight="1" x14ac:dyDescent="0.2">
      <c r="A27" s="352" t="s">
        <v>125</v>
      </c>
      <c r="B27" s="352">
        <v>14462</v>
      </c>
      <c r="C27" s="352">
        <f>'- 4 -'!E27</f>
        <v>13871</v>
      </c>
      <c r="D27" s="353">
        <v>11.73348142164782</v>
      </c>
      <c r="E27" s="353">
        <f>'- 9 -'!C27</f>
        <v>11.829393831413075</v>
      </c>
      <c r="F27" s="352">
        <v>185741</v>
      </c>
      <c r="G27" s="352">
        <f>'- 55 -'!F27</f>
        <v>184869</v>
      </c>
      <c r="H27" s="353">
        <v>17.62758894501566</v>
      </c>
      <c r="I27" s="353">
        <f>'- 53 -'!G27</f>
        <v>18.528571178179497</v>
      </c>
    </row>
    <row r="28" spans="1:9" ht="14.1" customHeight="1" x14ac:dyDescent="0.2">
      <c r="A28" s="151" t="s">
        <v>126</v>
      </c>
      <c r="B28" s="151">
        <v>13876</v>
      </c>
      <c r="C28" s="151">
        <f>'- 4 -'!E28</f>
        <v>14268</v>
      </c>
      <c r="D28" s="238">
        <v>11.33941293815902</v>
      </c>
      <c r="E28" s="238">
        <f>'- 9 -'!C28</f>
        <v>11.169910094457723</v>
      </c>
      <c r="F28" s="151">
        <v>413176</v>
      </c>
      <c r="G28" s="151">
        <f>'- 55 -'!F28</f>
        <v>532498</v>
      </c>
      <c r="H28" s="238">
        <v>13.250661113249206</v>
      </c>
      <c r="I28" s="238">
        <f>'- 53 -'!G28</f>
        <v>10.63448002179722</v>
      </c>
    </row>
    <row r="29" spans="1:9" ht="14.1" customHeight="1" x14ac:dyDescent="0.2">
      <c r="A29" s="352" t="s">
        <v>127</v>
      </c>
      <c r="B29" s="352">
        <v>11776</v>
      </c>
      <c r="C29" s="352">
        <f>'- 4 -'!E29</f>
        <v>12106</v>
      </c>
      <c r="D29" s="353">
        <v>14.083011583011583</v>
      </c>
      <c r="E29" s="353">
        <f>'- 9 -'!C29</f>
        <v>14.160740379931807</v>
      </c>
      <c r="F29" s="352">
        <v>555452</v>
      </c>
      <c r="G29" s="352">
        <f>'- 55 -'!F29</f>
        <v>609410</v>
      </c>
      <c r="H29" s="353">
        <v>12.452841586775635</v>
      </c>
      <c r="I29" s="353">
        <f>'- 53 -'!G29</f>
        <v>12.001809868751904</v>
      </c>
    </row>
    <row r="30" spans="1:9" ht="14.1" customHeight="1" x14ac:dyDescent="0.2">
      <c r="A30" s="151" t="s">
        <v>128</v>
      </c>
      <c r="B30" s="151">
        <v>13821</v>
      </c>
      <c r="C30" s="151">
        <f>'- 4 -'!E30</f>
        <v>14103</v>
      </c>
      <c r="D30" s="238">
        <v>12.196307094266277</v>
      </c>
      <c r="E30" s="238">
        <f>'- 9 -'!C30</f>
        <v>10.951310978712742</v>
      </c>
      <c r="F30" s="151">
        <v>351865</v>
      </c>
      <c r="G30" s="151">
        <f>'- 55 -'!F30</f>
        <v>450654</v>
      </c>
      <c r="H30" s="238">
        <v>15.021312488035266</v>
      </c>
      <c r="I30" s="238">
        <f>'- 53 -'!G30</f>
        <v>13.831392067473258</v>
      </c>
    </row>
    <row r="31" spans="1:9" ht="14.1" customHeight="1" x14ac:dyDescent="0.2">
      <c r="A31" s="352" t="s">
        <v>129</v>
      </c>
      <c r="B31" s="352">
        <v>10934</v>
      </c>
      <c r="C31" s="352">
        <f>'- 4 -'!E31</f>
        <v>11517</v>
      </c>
      <c r="D31" s="353">
        <v>13.047904191616766</v>
      </c>
      <c r="E31" s="353">
        <f>'- 9 -'!C31</f>
        <v>12.920522699289034</v>
      </c>
      <c r="F31" s="352">
        <v>334327</v>
      </c>
      <c r="G31" s="352">
        <f>'- 55 -'!F31</f>
        <v>401369</v>
      </c>
      <c r="H31" s="353">
        <v>14.973609195437771</v>
      </c>
      <c r="I31" s="353">
        <f>'- 53 -'!G31</f>
        <v>13.22893093788228</v>
      </c>
    </row>
    <row r="32" spans="1:9" ht="14.1" customHeight="1" x14ac:dyDescent="0.2">
      <c r="A32" s="151" t="s">
        <v>130</v>
      </c>
      <c r="B32" s="151">
        <v>13077</v>
      </c>
      <c r="C32" s="151">
        <f>'- 4 -'!E32</f>
        <v>13463</v>
      </c>
      <c r="D32" s="238">
        <v>12.031899743662775</v>
      </c>
      <c r="E32" s="238">
        <f>'- 9 -'!C32</f>
        <v>11.678056188306755</v>
      </c>
      <c r="F32" s="151">
        <v>429590</v>
      </c>
      <c r="G32" s="151">
        <f>'- 55 -'!F32</f>
        <v>574923</v>
      </c>
      <c r="H32" s="238">
        <v>13.996251930497856</v>
      </c>
      <c r="I32" s="238">
        <f>'- 53 -'!G32</f>
        <v>11.56324914800193</v>
      </c>
    </row>
    <row r="33" spans="1:9" ht="14.1" customHeight="1" x14ac:dyDescent="0.2">
      <c r="A33" s="352" t="s">
        <v>131</v>
      </c>
      <c r="B33" s="352">
        <v>12992</v>
      </c>
      <c r="C33" s="352">
        <f>'- 4 -'!E33</f>
        <v>13753</v>
      </c>
      <c r="D33" s="353">
        <v>12.675099700897308</v>
      </c>
      <c r="E33" s="353">
        <f>'- 9 -'!C33</f>
        <v>12.474519735622954</v>
      </c>
      <c r="F33" s="352">
        <v>412249</v>
      </c>
      <c r="G33" s="352">
        <f>'- 55 -'!F33</f>
        <v>582797</v>
      </c>
      <c r="H33" s="353">
        <v>14.478366511808822</v>
      </c>
      <c r="I33" s="353">
        <f>'- 53 -'!G33</f>
        <v>10.569852746667964</v>
      </c>
    </row>
    <row r="34" spans="1:9" ht="14.1" customHeight="1" x14ac:dyDescent="0.2">
      <c r="A34" s="151" t="s">
        <v>132</v>
      </c>
      <c r="B34" s="151">
        <v>14050</v>
      </c>
      <c r="C34" s="151">
        <f>'- 4 -'!E34</f>
        <v>14262</v>
      </c>
      <c r="D34" s="238">
        <v>12.125566026190183</v>
      </c>
      <c r="E34" s="238">
        <f>'- 9 -'!C34</f>
        <v>12.164634146341465</v>
      </c>
      <c r="F34" s="151">
        <v>450476</v>
      </c>
      <c r="G34" s="151">
        <f>'- 55 -'!F34</f>
        <v>610264</v>
      </c>
      <c r="H34" s="238">
        <v>15.799773867203545</v>
      </c>
      <c r="I34" s="238">
        <f>'- 53 -'!G34</f>
        <v>12.966003036364162</v>
      </c>
    </row>
    <row r="35" spans="1:9" ht="14.1" customHeight="1" x14ac:dyDescent="0.2">
      <c r="A35" s="352" t="s">
        <v>133</v>
      </c>
      <c r="B35" s="352">
        <v>11541</v>
      </c>
      <c r="C35" s="352">
        <f>'- 4 -'!E35</f>
        <v>11616</v>
      </c>
      <c r="D35" s="353">
        <v>13.380483235911399</v>
      </c>
      <c r="E35" s="353">
        <f>'- 9 -'!C35</f>
        <v>13.579967633598411</v>
      </c>
      <c r="F35" s="352">
        <v>377253</v>
      </c>
      <c r="G35" s="352">
        <f>'- 55 -'!F35</f>
        <v>425693</v>
      </c>
      <c r="H35" s="353">
        <v>13.566637667228783</v>
      </c>
      <c r="I35" s="353">
        <f>'- 53 -'!G35</f>
        <v>12.851057459864924</v>
      </c>
    </row>
    <row r="36" spans="1:9" ht="14.1" customHeight="1" x14ac:dyDescent="0.2">
      <c r="A36" s="151" t="s">
        <v>134</v>
      </c>
      <c r="B36" s="151">
        <v>13605</v>
      </c>
      <c r="C36" s="151">
        <f>'- 4 -'!E36</f>
        <v>13950</v>
      </c>
      <c r="D36" s="238">
        <v>12.065914620659147</v>
      </c>
      <c r="E36" s="238">
        <f>'- 9 -'!C36</f>
        <v>12.053635969350877</v>
      </c>
      <c r="F36" s="151">
        <v>474985</v>
      </c>
      <c r="G36" s="151">
        <f>'- 55 -'!F36</f>
        <v>597054</v>
      </c>
      <c r="H36" s="238">
        <v>13.386935075211806</v>
      </c>
      <c r="I36" s="238">
        <f>'- 53 -'!G36</f>
        <v>11.298269102446946</v>
      </c>
    </row>
    <row r="37" spans="1:9" ht="14.1" customHeight="1" x14ac:dyDescent="0.2">
      <c r="A37" s="352" t="s">
        <v>135</v>
      </c>
      <c r="B37" s="352">
        <v>11477</v>
      </c>
      <c r="C37" s="352">
        <f>'- 4 -'!E37</f>
        <v>11817</v>
      </c>
      <c r="D37" s="353">
        <v>14.269569148381263</v>
      </c>
      <c r="E37" s="353">
        <f>'- 9 -'!C37</f>
        <v>13.794354306819681</v>
      </c>
      <c r="F37" s="352">
        <v>278573</v>
      </c>
      <c r="G37" s="352">
        <f>'- 55 -'!F37</f>
        <v>313398</v>
      </c>
      <c r="H37" s="353">
        <v>15.098522110613921</v>
      </c>
      <c r="I37" s="353">
        <f>'- 53 -'!G37</f>
        <v>14.036827695365218</v>
      </c>
    </row>
    <row r="38" spans="1:9" ht="14.1" customHeight="1" x14ac:dyDescent="0.2">
      <c r="A38" s="151" t="s">
        <v>136</v>
      </c>
      <c r="B38" s="151">
        <v>11502</v>
      </c>
      <c r="C38" s="151">
        <f>'- 4 -'!E38</f>
        <v>12074</v>
      </c>
      <c r="D38" s="238">
        <v>13.871933204881181</v>
      </c>
      <c r="E38" s="238">
        <f>'- 9 -'!C38</f>
        <v>13.636397464680419</v>
      </c>
      <c r="F38" s="151">
        <v>297274</v>
      </c>
      <c r="G38" s="151">
        <f>'- 55 -'!F38</f>
        <v>323900</v>
      </c>
      <c r="H38" s="238">
        <v>15.624721952113394</v>
      </c>
      <c r="I38" s="238">
        <f>'- 53 -'!G38</f>
        <v>15.238621334558534</v>
      </c>
    </row>
    <row r="39" spans="1:9" ht="14.1" customHeight="1" x14ac:dyDescent="0.2">
      <c r="A39" s="352" t="s">
        <v>137</v>
      </c>
      <c r="B39" s="352">
        <v>12948</v>
      </c>
      <c r="C39" s="352">
        <f>'- 4 -'!E39</f>
        <v>14198</v>
      </c>
      <c r="D39" s="353">
        <v>12.048806446708227</v>
      </c>
      <c r="E39" s="353">
        <f>'- 9 -'!C39</f>
        <v>11.493372155390393</v>
      </c>
      <c r="F39" s="352">
        <v>639816</v>
      </c>
      <c r="G39" s="352">
        <f>'- 55 -'!F39</f>
        <v>794896</v>
      </c>
      <c r="H39" s="353">
        <v>11.364694225956022</v>
      </c>
      <c r="I39" s="353">
        <f>'- 53 -'!G39</f>
        <v>10.001962097911349</v>
      </c>
    </row>
    <row r="40" spans="1:9" ht="14.1" customHeight="1" x14ac:dyDescent="0.2">
      <c r="A40" s="151" t="s">
        <v>138</v>
      </c>
      <c r="B40" s="151">
        <v>12668</v>
      </c>
      <c r="C40" s="151">
        <f>'- 4 -'!E40</f>
        <v>12511</v>
      </c>
      <c r="D40" s="238">
        <v>13.195556660863799</v>
      </c>
      <c r="E40" s="238">
        <f>'- 9 -'!C40</f>
        <v>13.505771557503024</v>
      </c>
      <c r="F40" s="151">
        <v>540929</v>
      </c>
      <c r="G40" s="151">
        <f>'- 55 -'!F40</f>
        <v>589299</v>
      </c>
      <c r="H40" s="238">
        <v>12.620605803816643</v>
      </c>
      <c r="I40" s="238">
        <f>'- 53 -'!G40</f>
        <v>12.243473305972472</v>
      </c>
    </row>
    <row r="41" spans="1:9" ht="14.1" customHeight="1" x14ac:dyDescent="0.2">
      <c r="A41" s="352" t="s">
        <v>139</v>
      </c>
      <c r="B41" s="352">
        <v>13802</v>
      </c>
      <c r="C41" s="352">
        <f>'- 4 -'!E41</f>
        <v>13765</v>
      </c>
      <c r="D41" s="353">
        <v>12.021378648759763</v>
      </c>
      <c r="E41" s="353">
        <f>'- 9 -'!C41</f>
        <v>12.079709555934867</v>
      </c>
      <c r="F41" s="352">
        <v>469301</v>
      </c>
      <c r="G41" s="352">
        <f>'- 55 -'!F41</f>
        <v>540810</v>
      </c>
      <c r="H41" s="353">
        <v>14.341634769958029</v>
      </c>
      <c r="I41" s="353">
        <f>'- 53 -'!G41</f>
        <v>13.294637840180883</v>
      </c>
    </row>
    <row r="42" spans="1:9" ht="14.1" customHeight="1" x14ac:dyDescent="0.2">
      <c r="A42" s="151" t="s">
        <v>140</v>
      </c>
      <c r="B42" s="151">
        <v>14292</v>
      </c>
      <c r="C42" s="151">
        <f>'- 4 -'!E42</f>
        <v>14558</v>
      </c>
      <c r="D42" s="238">
        <v>12.148499210110582</v>
      </c>
      <c r="E42" s="238">
        <f>'- 9 -'!C42</f>
        <v>11.980533588250628</v>
      </c>
      <c r="F42" s="151">
        <v>299120</v>
      </c>
      <c r="G42" s="151">
        <f>'- 55 -'!F42</f>
        <v>389698</v>
      </c>
      <c r="H42" s="238">
        <v>16.672999371777209</v>
      </c>
      <c r="I42" s="238">
        <f>'- 53 -'!G42</f>
        <v>13.435665187773052</v>
      </c>
    </row>
    <row r="43" spans="1:9" ht="14.1" customHeight="1" x14ac:dyDescent="0.2">
      <c r="A43" s="352" t="s">
        <v>141</v>
      </c>
      <c r="B43" s="352">
        <v>13175</v>
      </c>
      <c r="C43" s="352">
        <f>'- 4 -'!E43</f>
        <v>13521</v>
      </c>
      <c r="D43" s="353">
        <v>12.278858625162128</v>
      </c>
      <c r="E43" s="353">
        <f>'- 9 -'!C43</f>
        <v>11.967182547081858</v>
      </c>
      <c r="F43" s="352">
        <v>431452</v>
      </c>
      <c r="G43" s="352">
        <f>'- 55 -'!F43</f>
        <v>604941</v>
      </c>
      <c r="H43" s="353">
        <v>15.184728225006923</v>
      </c>
      <c r="I43" s="353">
        <f>'- 53 -'!G43</f>
        <v>11.520951505411723</v>
      </c>
    </row>
    <row r="44" spans="1:9" ht="14.1" customHeight="1" x14ac:dyDescent="0.2">
      <c r="A44" s="151" t="s">
        <v>142</v>
      </c>
      <c r="B44" s="151">
        <v>15938</v>
      </c>
      <c r="C44" s="151">
        <f>'- 4 -'!E44</f>
        <v>15537</v>
      </c>
      <c r="D44" s="238">
        <v>10.699135899450118</v>
      </c>
      <c r="E44" s="238">
        <f>'- 9 -'!C44</f>
        <v>10.78538102643857</v>
      </c>
      <c r="F44" s="151">
        <v>212427</v>
      </c>
      <c r="G44" s="151">
        <f>'- 55 -'!F44</f>
        <v>262413</v>
      </c>
      <c r="H44" s="238">
        <v>18.917748698919478</v>
      </c>
      <c r="I44" s="238">
        <f>'- 53 -'!G44</f>
        <v>15.943048102976809</v>
      </c>
    </row>
    <row r="45" spans="1:9" ht="14.1" customHeight="1" x14ac:dyDescent="0.2">
      <c r="A45" s="352" t="s">
        <v>143</v>
      </c>
      <c r="B45" s="352">
        <v>10773</v>
      </c>
      <c r="C45" s="352">
        <f>'- 4 -'!E45</f>
        <v>11167</v>
      </c>
      <c r="D45" s="353">
        <v>13.457640859343332</v>
      </c>
      <c r="E45" s="353">
        <f>'- 9 -'!C45</f>
        <v>13.676948051948052</v>
      </c>
      <c r="F45" s="352">
        <v>286085</v>
      </c>
      <c r="G45" s="352">
        <f>'- 55 -'!F45</f>
        <v>326648</v>
      </c>
      <c r="H45" s="353">
        <v>17.434999319764238</v>
      </c>
      <c r="I45" s="353">
        <f>'- 53 -'!G45</f>
        <v>15.993254874992084</v>
      </c>
    </row>
    <row r="46" spans="1:9" ht="14.1" customHeight="1" x14ac:dyDescent="0.2">
      <c r="A46" s="151" t="s">
        <v>144</v>
      </c>
      <c r="B46" s="151">
        <v>12446</v>
      </c>
      <c r="C46" s="151">
        <f>'- 4 -'!E46</f>
        <v>12729</v>
      </c>
      <c r="D46" s="238">
        <v>13.381083941802265</v>
      </c>
      <c r="E46" s="238">
        <f>'- 9 -'!C46</f>
        <v>13.476309676837381</v>
      </c>
      <c r="F46" s="151">
        <v>362928</v>
      </c>
      <c r="G46" s="151">
        <f>'- 55 -'!F46</f>
        <v>417464</v>
      </c>
      <c r="H46" s="238">
        <v>15.583288681265151</v>
      </c>
      <c r="I46" s="238">
        <f>'- 53 -'!G46</f>
        <v>14.190948621361464</v>
      </c>
    </row>
    <row r="47" spans="1:9" ht="5.0999999999999996" customHeight="1" x14ac:dyDescent="0.2">
      <c r="A47"/>
      <c r="B47"/>
      <c r="C47"/>
      <c r="D47" s="378"/>
      <c r="E47" s="378"/>
      <c r="F47"/>
      <c r="G47"/>
      <c r="H47" s="378"/>
      <c r="I47" s="378"/>
    </row>
    <row r="48" spans="1:9" ht="14.1" customHeight="1" x14ac:dyDescent="0.2">
      <c r="A48" s="355" t="s">
        <v>145</v>
      </c>
      <c r="B48" s="356">
        <v>12537</v>
      </c>
      <c r="C48" s="356">
        <f>'- 4 -'!E48</f>
        <v>12820</v>
      </c>
      <c r="D48" s="379">
        <v>13.113408572959694</v>
      </c>
      <c r="E48" s="379">
        <f>'- 9 -'!C48</f>
        <v>13.08346128672618</v>
      </c>
      <c r="F48" s="356">
        <v>379006.21142656368</v>
      </c>
      <c r="G48" s="356">
        <f>'- 55 -'!F48</f>
        <v>435010.95248891297</v>
      </c>
      <c r="H48" s="379">
        <v>14.332392218220495</v>
      </c>
      <c r="I48" s="379">
        <f>'- 53 -'!G48</f>
        <v>13.20872414256054</v>
      </c>
    </row>
    <row r="49" spans="1:9" ht="5.0999999999999996" customHeight="1" x14ac:dyDescent="0.2">
      <c r="A49" s="130"/>
      <c r="B49" s="152"/>
      <c r="C49" s="152"/>
      <c r="D49" s="240"/>
      <c r="E49" s="240"/>
      <c r="F49" s="152"/>
      <c r="G49" s="152"/>
      <c r="H49" s="240"/>
      <c r="I49" s="240"/>
    </row>
    <row r="50" spans="1:9" ht="14.1" customHeight="1" x14ac:dyDescent="0.2">
      <c r="A50" s="151" t="s">
        <v>146</v>
      </c>
      <c r="B50" s="151">
        <v>19207</v>
      </c>
      <c r="C50" s="151">
        <f>'- 4 -'!E50</f>
        <v>20093</v>
      </c>
      <c r="D50" s="238">
        <v>7.661290322580645</v>
      </c>
      <c r="E50" s="238">
        <f>'- 9 -'!C50</f>
        <v>7.9365079365079358</v>
      </c>
      <c r="F50" s="151"/>
      <c r="G50" s="151"/>
      <c r="H50" s="238">
        <v>0</v>
      </c>
      <c r="I50" s="238">
        <f>'- 53 -'!G50</f>
        <v>0</v>
      </c>
    </row>
    <row r="51" spans="1:9" ht="14.1" customHeight="1" x14ac:dyDescent="0.2">
      <c r="A51" s="352" t="s">
        <v>609</v>
      </c>
      <c r="B51" s="352">
        <v>13867</v>
      </c>
      <c r="C51" s="352">
        <f>'- 4 -'!E51</f>
        <v>13426</v>
      </c>
      <c r="D51" s="353">
        <v>25.4</v>
      </c>
      <c r="E51" s="353">
        <f>'- 9 -'!C51</f>
        <v>28.841463414634145</v>
      </c>
      <c r="F51" s="352"/>
      <c r="G51" s="352"/>
      <c r="H51" s="353">
        <v>0</v>
      </c>
      <c r="I51" s="353">
        <f>'- 53 -'!G51</f>
        <v>0</v>
      </c>
    </row>
    <row r="52" spans="1:9" ht="50.1" customHeight="1" x14ac:dyDescent="0.2">
      <c r="A52" s="23"/>
      <c r="B52" s="23"/>
      <c r="C52" s="23"/>
      <c r="D52" s="23"/>
      <c r="E52" s="23"/>
      <c r="F52" s="23"/>
      <c r="G52" s="23"/>
      <c r="H52" s="23"/>
      <c r="I52" s="23"/>
    </row>
    <row r="53" spans="1:9" ht="15" customHeight="1" x14ac:dyDescent="0.2">
      <c r="A53" s="38" t="s">
        <v>335</v>
      </c>
      <c r="B53" s="38"/>
      <c r="C53" s="38"/>
    </row>
    <row r="54" spans="1:9" ht="12" customHeight="1" x14ac:dyDescent="0.2">
      <c r="A54" s="38" t="s">
        <v>336</v>
      </c>
      <c r="B54" s="38"/>
      <c r="C54" s="38"/>
    </row>
    <row r="55" spans="1:9" ht="12" customHeight="1" x14ac:dyDescent="0.2">
      <c r="A55" s="133" t="s">
        <v>418</v>
      </c>
      <c r="B55" s="38"/>
      <c r="C55" s="38"/>
    </row>
    <row r="56" spans="1:9" ht="12" customHeight="1" x14ac:dyDescent="0.2">
      <c r="A56" s="133" t="s">
        <v>419</v>
      </c>
      <c r="B56" s="38"/>
      <c r="C56" s="38"/>
    </row>
    <row r="57" spans="1:9" ht="12" customHeight="1" x14ac:dyDescent="0.2">
      <c r="A57" s="38"/>
      <c r="B57" s="38"/>
      <c r="C57" s="38"/>
    </row>
    <row r="58" spans="1:9" ht="12" customHeight="1" x14ac:dyDescent="0.2">
      <c r="B58" s="38"/>
      <c r="C58" s="38"/>
    </row>
  </sheetData>
  <mergeCells count="4">
    <mergeCell ref="H7:I8"/>
    <mergeCell ref="F6:G8"/>
    <mergeCell ref="D7:E8"/>
    <mergeCell ref="B6: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7"/>
  <sheetViews>
    <sheetView showGridLines="0" showZeros="0" workbookViewId="0"/>
  </sheetViews>
  <sheetFormatPr defaultColWidth="16.83203125" defaultRowHeight="12" x14ac:dyDescent="0.2"/>
  <cols>
    <col min="1" max="1" width="32.83203125" style="2" customWidth="1"/>
    <col min="2" max="6" width="16.83203125" style="2" customWidth="1"/>
    <col min="7" max="16384" width="16.83203125" style="2"/>
  </cols>
  <sheetData>
    <row r="1" spans="1:7" ht="6.95" customHeight="1" x14ac:dyDescent="0.2">
      <c r="A1" s="7"/>
      <c r="B1" s="8"/>
      <c r="C1" s="8"/>
      <c r="D1" s="8"/>
      <c r="E1" s="8"/>
      <c r="F1" s="8"/>
      <c r="G1" s="8"/>
    </row>
    <row r="2" spans="1:7" ht="15.95" customHeight="1" x14ac:dyDescent="0.2">
      <c r="A2" s="63"/>
      <c r="B2" s="72" t="s">
        <v>86</v>
      </c>
      <c r="C2" s="10"/>
      <c r="D2" s="10"/>
      <c r="E2" s="10"/>
      <c r="F2" s="73"/>
      <c r="G2" s="73"/>
    </row>
    <row r="3" spans="1:7" ht="15.95" customHeight="1" x14ac:dyDescent="0.2">
      <c r="A3" s="542"/>
      <c r="B3" s="74" t="s">
        <v>227</v>
      </c>
      <c r="C3" s="12"/>
      <c r="D3" s="12"/>
      <c r="E3" s="12"/>
      <c r="F3" s="75"/>
      <c r="G3" s="75"/>
    </row>
    <row r="4" spans="1:7" ht="15.95" customHeight="1" x14ac:dyDescent="0.2">
      <c r="B4" s="8"/>
      <c r="C4" s="8"/>
      <c r="D4" s="8"/>
      <c r="E4" s="8"/>
      <c r="F4" s="8"/>
      <c r="G4" s="8"/>
    </row>
    <row r="5" spans="1:7" ht="15.95" customHeight="1" x14ac:dyDescent="0.2"/>
    <row r="6" spans="1:7" ht="15.95" customHeight="1" x14ac:dyDescent="0.2">
      <c r="B6" s="528" t="s">
        <v>238</v>
      </c>
      <c r="C6" s="529"/>
      <c r="D6" s="530"/>
      <c r="E6" s="531" t="s">
        <v>239</v>
      </c>
      <c r="F6" s="531" t="s">
        <v>240</v>
      </c>
      <c r="G6" s="532" t="s">
        <v>240</v>
      </c>
    </row>
    <row r="7" spans="1:7" ht="15.95" customHeight="1" x14ac:dyDescent="0.2">
      <c r="B7" s="624" t="s">
        <v>647</v>
      </c>
      <c r="C7" s="625"/>
      <c r="D7" s="626"/>
      <c r="E7" s="394" t="s">
        <v>647</v>
      </c>
      <c r="F7" s="452" t="s">
        <v>619</v>
      </c>
      <c r="G7" s="452" t="s">
        <v>398</v>
      </c>
    </row>
    <row r="8" spans="1:7" ht="15.95" customHeight="1" x14ac:dyDescent="0.2">
      <c r="A8" s="403"/>
      <c r="B8" s="594" t="s">
        <v>457</v>
      </c>
      <c r="C8" s="617" t="s">
        <v>458</v>
      </c>
      <c r="D8" s="617" t="s">
        <v>459</v>
      </c>
      <c r="E8" s="618" t="s">
        <v>454</v>
      </c>
      <c r="F8" s="618" t="s">
        <v>459</v>
      </c>
      <c r="G8" s="622" t="s">
        <v>459</v>
      </c>
    </row>
    <row r="9" spans="1:7" ht="15.95" customHeight="1" x14ac:dyDescent="0.2">
      <c r="A9" s="404" t="s">
        <v>42</v>
      </c>
      <c r="B9" s="627"/>
      <c r="C9" s="628"/>
      <c r="D9" s="628"/>
      <c r="E9" s="621"/>
      <c r="F9" s="621"/>
      <c r="G9" s="623"/>
    </row>
    <row r="10" spans="1:7" ht="5.0999999999999996" customHeight="1" x14ac:dyDescent="0.2">
      <c r="A10" s="6"/>
    </row>
    <row r="11" spans="1:7" ht="14.1" customHeight="1" x14ac:dyDescent="0.2">
      <c r="A11" s="284" t="s">
        <v>110</v>
      </c>
      <c r="B11" s="285">
        <v>1841</v>
      </c>
      <c r="C11" s="285">
        <v>0</v>
      </c>
      <c r="D11" s="285">
        <f>+B11-C11</f>
        <v>1841</v>
      </c>
      <c r="E11" s="291">
        <f>'- 7 -'!E11</f>
        <v>1766</v>
      </c>
      <c r="F11" s="291">
        <v>1685.9</v>
      </c>
      <c r="G11" s="291">
        <v>1590</v>
      </c>
    </row>
    <row r="12" spans="1:7" ht="14.1" customHeight="1" x14ac:dyDescent="0.2">
      <c r="A12" s="19" t="s">
        <v>111</v>
      </c>
      <c r="B12" s="20">
        <v>2186</v>
      </c>
      <c r="C12" s="20">
        <v>0</v>
      </c>
      <c r="D12" s="20">
        <f t="shared" ref="D12:D46" si="0">+B12-C12</f>
        <v>2186</v>
      </c>
      <c r="E12" s="70">
        <f>'- 7 -'!E12</f>
        <v>2119.5500000000002</v>
      </c>
      <c r="F12" s="70">
        <v>1998.2</v>
      </c>
      <c r="G12" s="70">
        <v>2004.7</v>
      </c>
    </row>
    <row r="13" spans="1:7" ht="14.1" customHeight="1" x14ac:dyDescent="0.2">
      <c r="A13" s="284" t="s">
        <v>112</v>
      </c>
      <c r="B13" s="285">
        <v>8731</v>
      </c>
      <c r="C13" s="285">
        <v>0</v>
      </c>
      <c r="D13" s="285">
        <f t="shared" si="0"/>
        <v>8731</v>
      </c>
      <c r="E13" s="291">
        <f>'- 7 -'!E13</f>
        <v>8373.5</v>
      </c>
      <c r="F13" s="291">
        <v>8208.2999999999993</v>
      </c>
      <c r="G13" s="291">
        <v>8000.3</v>
      </c>
    </row>
    <row r="14" spans="1:7" ht="14.1" customHeight="1" x14ac:dyDescent="0.2">
      <c r="A14" s="19" t="s">
        <v>359</v>
      </c>
      <c r="B14" s="20">
        <v>5502</v>
      </c>
      <c r="C14" s="20">
        <v>32</v>
      </c>
      <c r="D14" s="20">
        <f t="shared" si="0"/>
        <v>5470</v>
      </c>
      <c r="E14" s="70">
        <f>'- 7 -'!E14</f>
        <v>5483.14</v>
      </c>
      <c r="F14" s="70">
        <v>5069.5</v>
      </c>
      <c r="G14" s="70">
        <v>5002.5</v>
      </c>
    </row>
    <row r="15" spans="1:7" ht="14.1" customHeight="1" x14ac:dyDescent="0.2">
      <c r="A15" s="284" t="s">
        <v>113</v>
      </c>
      <c r="B15" s="285">
        <v>1455</v>
      </c>
      <c r="C15" s="285">
        <v>0</v>
      </c>
      <c r="D15" s="285">
        <f t="shared" si="0"/>
        <v>1455</v>
      </c>
      <c r="E15" s="291">
        <f>'- 7 -'!E15</f>
        <v>1399.2</v>
      </c>
      <c r="F15" s="291">
        <v>1394</v>
      </c>
      <c r="G15" s="291">
        <v>1434.3</v>
      </c>
    </row>
    <row r="16" spans="1:7" ht="14.1" customHeight="1" x14ac:dyDescent="0.2">
      <c r="A16" s="19" t="s">
        <v>114</v>
      </c>
      <c r="B16" s="20">
        <v>961</v>
      </c>
      <c r="C16" s="20">
        <v>0</v>
      </c>
      <c r="D16" s="20">
        <f t="shared" si="0"/>
        <v>961</v>
      </c>
      <c r="E16" s="70">
        <f>'- 7 -'!E16</f>
        <v>903.8</v>
      </c>
      <c r="F16" s="70">
        <v>910.1</v>
      </c>
      <c r="G16" s="70">
        <v>896.4</v>
      </c>
    </row>
    <row r="17" spans="1:7" ht="14.1" customHeight="1" x14ac:dyDescent="0.2">
      <c r="A17" s="284" t="s">
        <v>115</v>
      </c>
      <c r="B17" s="285">
        <v>1449</v>
      </c>
      <c r="C17" s="285">
        <v>4</v>
      </c>
      <c r="D17" s="285">
        <f t="shared" si="0"/>
        <v>1445</v>
      </c>
      <c r="E17" s="291">
        <f>'- 7 -'!E17</f>
        <v>1397.5</v>
      </c>
      <c r="F17" s="291">
        <v>1284.5</v>
      </c>
      <c r="G17" s="291">
        <v>1266.8</v>
      </c>
    </row>
    <row r="18" spans="1:7" ht="14.1" customHeight="1" x14ac:dyDescent="0.2">
      <c r="A18" s="19" t="s">
        <v>116</v>
      </c>
      <c r="B18" s="20">
        <v>6658</v>
      </c>
      <c r="C18" s="20">
        <v>431</v>
      </c>
      <c r="D18" s="20">
        <f t="shared" si="0"/>
        <v>6227</v>
      </c>
      <c r="E18" s="70">
        <f>'- 7 -'!E18</f>
        <v>6094.9</v>
      </c>
      <c r="F18" s="70">
        <v>2281.1</v>
      </c>
      <c r="G18" s="70">
        <v>2373.3000000000002</v>
      </c>
    </row>
    <row r="19" spans="1:7" ht="14.1" customHeight="1" x14ac:dyDescent="0.2">
      <c r="A19" s="284" t="s">
        <v>117</v>
      </c>
      <c r="B19" s="285">
        <v>4440</v>
      </c>
      <c r="C19" s="285">
        <v>0</v>
      </c>
      <c r="D19" s="285">
        <f t="shared" si="0"/>
        <v>4440</v>
      </c>
      <c r="E19" s="291">
        <f>'- 7 -'!E19</f>
        <v>4381</v>
      </c>
      <c r="F19" s="291">
        <v>4201</v>
      </c>
      <c r="G19" s="291">
        <v>4174.3</v>
      </c>
    </row>
    <row r="20" spans="1:7" ht="14.1" customHeight="1" x14ac:dyDescent="0.2">
      <c r="A20" s="19" t="s">
        <v>118</v>
      </c>
      <c r="B20" s="20">
        <v>7977</v>
      </c>
      <c r="C20" s="20">
        <v>0</v>
      </c>
      <c r="D20" s="20">
        <f t="shared" si="0"/>
        <v>7977</v>
      </c>
      <c r="E20" s="70">
        <f>'- 7 -'!E20</f>
        <v>7635.5</v>
      </c>
      <c r="F20" s="70">
        <v>7559.9</v>
      </c>
      <c r="G20" s="70">
        <v>7368.1</v>
      </c>
    </row>
    <row r="21" spans="1:7" ht="14.1" customHeight="1" x14ac:dyDescent="0.2">
      <c r="A21" s="284" t="s">
        <v>119</v>
      </c>
      <c r="B21" s="285">
        <v>2858</v>
      </c>
      <c r="C21" s="285">
        <v>0</v>
      </c>
      <c r="D21" s="285">
        <f t="shared" si="0"/>
        <v>2858</v>
      </c>
      <c r="E21" s="291">
        <f>'- 7 -'!E21</f>
        <v>2742.1</v>
      </c>
      <c r="F21" s="291">
        <v>2686.1</v>
      </c>
      <c r="G21" s="291">
        <v>2677</v>
      </c>
    </row>
    <row r="22" spans="1:7" ht="14.1" customHeight="1" x14ac:dyDescent="0.2">
      <c r="A22" s="19" t="s">
        <v>120</v>
      </c>
      <c r="B22" s="20">
        <v>1588</v>
      </c>
      <c r="C22" s="20">
        <v>0</v>
      </c>
      <c r="D22" s="20">
        <f t="shared" si="0"/>
        <v>1588</v>
      </c>
      <c r="E22" s="70">
        <f>'- 7 -'!E22</f>
        <v>1523.6</v>
      </c>
      <c r="F22" s="70">
        <v>1532.3</v>
      </c>
      <c r="G22" s="70">
        <v>1531.9</v>
      </c>
    </row>
    <row r="23" spans="1:7" ht="14.1" customHeight="1" x14ac:dyDescent="0.2">
      <c r="A23" s="284" t="s">
        <v>121</v>
      </c>
      <c r="B23" s="285">
        <v>1147</v>
      </c>
      <c r="C23" s="285">
        <v>0</v>
      </c>
      <c r="D23" s="285">
        <f t="shared" si="0"/>
        <v>1147</v>
      </c>
      <c r="E23" s="291">
        <f>'- 7 -'!E23</f>
        <v>1114.5</v>
      </c>
      <c r="F23" s="291">
        <v>986</v>
      </c>
      <c r="G23" s="291">
        <v>1015.1</v>
      </c>
    </row>
    <row r="24" spans="1:7" ht="14.1" customHeight="1" x14ac:dyDescent="0.2">
      <c r="A24" s="19" t="s">
        <v>122</v>
      </c>
      <c r="B24" s="20">
        <v>4083</v>
      </c>
      <c r="C24" s="20">
        <v>0</v>
      </c>
      <c r="D24" s="20">
        <f t="shared" si="0"/>
        <v>4083</v>
      </c>
      <c r="E24" s="70">
        <f>'- 7 -'!E24</f>
        <v>3948.3</v>
      </c>
      <c r="F24" s="70">
        <v>3917</v>
      </c>
      <c r="G24" s="70">
        <v>3971.2</v>
      </c>
    </row>
    <row r="25" spans="1:7" ht="14.1" customHeight="1" x14ac:dyDescent="0.2">
      <c r="A25" s="284" t="s">
        <v>123</v>
      </c>
      <c r="B25" s="285">
        <v>14931</v>
      </c>
      <c r="C25" s="285">
        <v>0</v>
      </c>
      <c r="D25" s="285">
        <f t="shared" si="0"/>
        <v>14931</v>
      </c>
      <c r="E25" s="291">
        <f>'- 7 -'!E25</f>
        <v>14335.9</v>
      </c>
      <c r="F25" s="291">
        <v>13915</v>
      </c>
      <c r="G25" s="291">
        <v>13644</v>
      </c>
    </row>
    <row r="26" spans="1:7" ht="14.1" customHeight="1" x14ac:dyDescent="0.2">
      <c r="A26" s="19" t="s">
        <v>124</v>
      </c>
      <c r="B26" s="20">
        <v>3168</v>
      </c>
      <c r="C26" s="20">
        <v>0</v>
      </c>
      <c r="D26" s="20">
        <f t="shared" si="0"/>
        <v>3168</v>
      </c>
      <c r="E26" s="70">
        <f>'- 7 -'!E26</f>
        <v>3056</v>
      </c>
      <c r="F26" s="70">
        <v>2935.6</v>
      </c>
      <c r="G26" s="70">
        <v>2923.6</v>
      </c>
    </row>
    <row r="27" spans="1:7" ht="14.1" customHeight="1" x14ac:dyDescent="0.2">
      <c r="A27" s="284" t="s">
        <v>125</v>
      </c>
      <c r="B27" s="285">
        <v>3118</v>
      </c>
      <c r="C27" s="285">
        <v>0</v>
      </c>
      <c r="D27" s="285">
        <f t="shared" si="0"/>
        <v>3118</v>
      </c>
      <c r="E27" s="291">
        <f>'- 7 -'!E27</f>
        <v>2987.7500000000005</v>
      </c>
      <c r="F27" s="291">
        <v>2857.7</v>
      </c>
      <c r="G27" s="291">
        <v>2786.5</v>
      </c>
    </row>
    <row r="28" spans="1:7" ht="14.1" customHeight="1" x14ac:dyDescent="0.2">
      <c r="A28" s="19" t="s">
        <v>126</v>
      </c>
      <c r="B28" s="20">
        <v>2073</v>
      </c>
      <c r="C28" s="20">
        <v>36</v>
      </c>
      <c r="D28" s="20">
        <f t="shared" si="0"/>
        <v>2037</v>
      </c>
      <c r="E28" s="70">
        <f>'- 7 -'!E28</f>
        <v>1963</v>
      </c>
      <c r="F28" s="70">
        <v>1517.4</v>
      </c>
      <c r="G28" s="70">
        <v>1509</v>
      </c>
    </row>
    <row r="29" spans="1:7" ht="14.1" customHeight="1" x14ac:dyDescent="0.2">
      <c r="A29" s="284" t="s">
        <v>127</v>
      </c>
      <c r="B29" s="285">
        <v>13577</v>
      </c>
      <c r="C29" s="285">
        <v>0</v>
      </c>
      <c r="D29" s="285">
        <f t="shared" si="0"/>
        <v>13577</v>
      </c>
      <c r="E29" s="291">
        <f>'- 7 -'!E29</f>
        <v>13082.4</v>
      </c>
      <c r="F29" s="291">
        <v>12545.1</v>
      </c>
      <c r="G29" s="291">
        <v>12290.7</v>
      </c>
    </row>
    <row r="30" spans="1:7" ht="14.1" customHeight="1" x14ac:dyDescent="0.2">
      <c r="A30" s="19" t="s">
        <v>128</v>
      </c>
      <c r="B30" s="20">
        <v>1031</v>
      </c>
      <c r="C30" s="20">
        <v>0</v>
      </c>
      <c r="D30" s="20">
        <f t="shared" si="0"/>
        <v>1031</v>
      </c>
      <c r="E30" s="70">
        <f>'- 7 -'!E30</f>
        <v>999.14285714285711</v>
      </c>
      <c r="F30" s="70">
        <v>1003</v>
      </c>
      <c r="G30" s="70">
        <v>1043.5</v>
      </c>
    </row>
    <row r="31" spans="1:7" ht="14.1" customHeight="1" x14ac:dyDescent="0.2">
      <c r="A31" s="284" t="s">
        <v>129</v>
      </c>
      <c r="B31" s="285">
        <v>3411</v>
      </c>
      <c r="C31" s="285">
        <v>0</v>
      </c>
      <c r="D31" s="285">
        <f t="shared" si="0"/>
        <v>3411</v>
      </c>
      <c r="E31" s="291">
        <f>'- 7 -'!E31</f>
        <v>3253</v>
      </c>
      <c r="F31" s="291">
        <v>3109</v>
      </c>
      <c r="G31" s="291">
        <v>3103.8</v>
      </c>
    </row>
    <row r="32" spans="1:7" ht="14.1" customHeight="1" x14ac:dyDescent="0.2">
      <c r="A32" s="19" t="s">
        <v>130</v>
      </c>
      <c r="B32" s="20">
        <v>2257</v>
      </c>
      <c r="C32" s="20">
        <v>0</v>
      </c>
      <c r="D32" s="20">
        <f t="shared" si="0"/>
        <v>2257</v>
      </c>
      <c r="E32" s="70">
        <f>'- 7 -'!E32</f>
        <v>2153.1999999999998</v>
      </c>
      <c r="F32" s="70">
        <v>2112.1999999999998</v>
      </c>
      <c r="G32" s="70">
        <v>2085</v>
      </c>
    </row>
    <row r="33" spans="1:8" ht="14.1" customHeight="1" x14ac:dyDescent="0.2">
      <c r="A33" s="284" t="s">
        <v>131</v>
      </c>
      <c r="B33" s="285">
        <v>2096</v>
      </c>
      <c r="C33" s="285">
        <v>0</v>
      </c>
      <c r="D33" s="285">
        <f t="shared" si="0"/>
        <v>2096</v>
      </c>
      <c r="E33" s="291">
        <f>'- 7 -'!E33</f>
        <v>2019.5</v>
      </c>
      <c r="F33" s="291">
        <v>2000.6</v>
      </c>
      <c r="G33" s="291">
        <v>1980.3</v>
      </c>
    </row>
    <row r="34" spans="1:8" ht="14.1" customHeight="1" x14ac:dyDescent="0.2">
      <c r="A34" s="19" t="s">
        <v>132</v>
      </c>
      <c r="B34" s="20">
        <v>2115</v>
      </c>
      <c r="C34" s="20">
        <v>0</v>
      </c>
      <c r="D34" s="20">
        <f t="shared" si="0"/>
        <v>2115</v>
      </c>
      <c r="E34" s="70">
        <f>'- 7 -'!E34</f>
        <v>2034.9</v>
      </c>
      <c r="F34" s="70">
        <v>1979</v>
      </c>
      <c r="G34" s="70">
        <v>1995.4</v>
      </c>
    </row>
    <row r="35" spans="1:8" ht="14.1" customHeight="1" x14ac:dyDescent="0.2">
      <c r="A35" s="284" t="s">
        <v>133</v>
      </c>
      <c r="B35" s="285">
        <v>16183</v>
      </c>
      <c r="C35" s="285">
        <v>0</v>
      </c>
      <c r="D35" s="285">
        <f t="shared" si="0"/>
        <v>16183</v>
      </c>
      <c r="E35" s="291">
        <f>'- 7 -'!E35</f>
        <v>15608</v>
      </c>
      <c r="F35" s="291">
        <v>15311.800000000001</v>
      </c>
      <c r="G35" s="291">
        <v>15351.6</v>
      </c>
    </row>
    <row r="36" spans="1:8" ht="14.1" customHeight="1" x14ac:dyDescent="0.2">
      <c r="A36" s="19" t="s">
        <v>134</v>
      </c>
      <c r="B36" s="20">
        <v>1726</v>
      </c>
      <c r="C36" s="20">
        <v>0</v>
      </c>
      <c r="D36" s="20">
        <f t="shared" si="0"/>
        <v>1726</v>
      </c>
      <c r="E36" s="70">
        <f>'- 7 -'!E36</f>
        <v>1667.5</v>
      </c>
      <c r="F36" s="70">
        <v>1523</v>
      </c>
      <c r="G36" s="70">
        <v>1523.2</v>
      </c>
    </row>
    <row r="37" spans="1:8" ht="14.1" customHeight="1" x14ac:dyDescent="0.2">
      <c r="A37" s="284" t="s">
        <v>135</v>
      </c>
      <c r="B37" s="285">
        <v>4360</v>
      </c>
      <c r="C37" s="285">
        <v>0</v>
      </c>
      <c r="D37" s="285">
        <f t="shared" si="0"/>
        <v>4360</v>
      </c>
      <c r="E37" s="291">
        <f>'- 7 -'!E37</f>
        <v>4183</v>
      </c>
      <c r="F37" s="291">
        <v>4102.2</v>
      </c>
      <c r="G37" s="291">
        <v>3948.5</v>
      </c>
    </row>
    <row r="38" spans="1:8" ht="14.1" customHeight="1" x14ac:dyDescent="0.2">
      <c r="A38" s="19" t="s">
        <v>136</v>
      </c>
      <c r="B38" s="20">
        <v>11440</v>
      </c>
      <c r="C38" s="20">
        <v>0</v>
      </c>
      <c r="D38" s="20">
        <f t="shared" si="0"/>
        <v>11440</v>
      </c>
      <c r="E38" s="70">
        <f>'- 7 -'!E38</f>
        <v>10993.8</v>
      </c>
      <c r="F38" s="70">
        <v>10694.3</v>
      </c>
      <c r="G38" s="70">
        <v>10433.200000000001</v>
      </c>
    </row>
    <row r="39" spans="1:8" ht="14.1" customHeight="1" x14ac:dyDescent="0.2">
      <c r="A39" s="284" t="s">
        <v>137</v>
      </c>
      <c r="B39" s="285">
        <v>1573</v>
      </c>
      <c r="C39" s="285">
        <v>0</v>
      </c>
      <c r="D39" s="285">
        <f t="shared" si="0"/>
        <v>1573</v>
      </c>
      <c r="E39" s="291">
        <f>'- 7 -'!E39</f>
        <v>1500</v>
      </c>
      <c r="F39" s="291">
        <v>1542.4</v>
      </c>
      <c r="G39" s="291">
        <v>1541.2</v>
      </c>
    </row>
    <row r="40" spans="1:8" ht="14.1" customHeight="1" x14ac:dyDescent="0.2">
      <c r="A40" s="19" t="s">
        <v>138</v>
      </c>
      <c r="B40" s="20">
        <v>8447</v>
      </c>
      <c r="C40" s="20">
        <v>0</v>
      </c>
      <c r="D40" s="20">
        <f t="shared" si="0"/>
        <v>8447</v>
      </c>
      <c r="E40" s="70">
        <f>'- 7 -'!E40</f>
        <v>8260.4</v>
      </c>
      <c r="F40" s="70">
        <v>7826.9</v>
      </c>
      <c r="G40" s="70">
        <v>7799.8</v>
      </c>
    </row>
    <row r="41" spans="1:8" ht="14.1" customHeight="1" x14ac:dyDescent="0.2">
      <c r="A41" s="284" t="s">
        <v>139</v>
      </c>
      <c r="B41" s="285">
        <v>4630</v>
      </c>
      <c r="C41" s="285">
        <v>0</v>
      </c>
      <c r="D41" s="285">
        <f t="shared" si="0"/>
        <v>4630</v>
      </c>
      <c r="E41" s="291">
        <f>'- 7 -'!E41</f>
        <v>4458.5</v>
      </c>
      <c r="F41" s="291">
        <v>4325.5</v>
      </c>
      <c r="G41" s="291">
        <v>4303.2</v>
      </c>
    </row>
    <row r="42" spans="1:8" ht="14.1" customHeight="1" x14ac:dyDescent="0.2">
      <c r="A42" s="19" t="s">
        <v>140</v>
      </c>
      <c r="B42" s="20">
        <v>1485</v>
      </c>
      <c r="C42" s="20">
        <v>50</v>
      </c>
      <c r="D42" s="20">
        <f t="shared" si="0"/>
        <v>1435</v>
      </c>
      <c r="E42" s="70">
        <f>'- 7 -'!E42</f>
        <v>1378.6</v>
      </c>
      <c r="F42" s="70">
        <v>1349.7</v>
      </c>
      <c r="G42" s="70">
        <v>1371.6000000000001</v>
      </c>
    </row>
    <row r="43" spans="1:8" ht="14.1" customHeight="1" x14ac:dyDescent="0.2">
      <c r="A43" s="284" t="s">
        <v>141</v>
      </c>
      <c r="B43" s="285">
        <v>1012</v>
      </c>
      <c r="C43" s="285">
        <v>0</v>
      </c>
      <c r="D43" s="285">
        <f t="shared" si="0"/>
        <v>1012</v>
      </c>
      <c r="E43" s="291">
        <f>'- 7 -'!E43</f>
        <v>962.7</v>
      </c>
      <c r="F43" s="291">
        <v>946.7</v>
      </c>
      <c r="G43" s="291">
        <v>960.2</v>
      </c>
    </row>
    <row r="44" spans="1:8" ht="14.1" customHeight="1" x14ac:dyDescent="0.2">
      <c r="A44" s="19" t="s">
        <v>142</v>
      </c>
      <c r="B44" s="20">
        <v>720</v>
      </c>
      <c r="C44" s="20">
        <v>0</v>
      </c>
      <c r="D44" s="20">
        <f t="shared" si="0"/>
        <v>720</v>
      </c>
      <c r="E44" s="70">
        <f>'- 7 -'!E44</f>
        <v>693.5</v>
      </c>
      <c r="F44" s="70">
        <v>681</v>
      </c>
      <c r="G44" s="70">
        <v>697.7</v>
      </c>
    </row>
    <row r="45" spans="1:8" ht="14.1" customHeight="1" x14ac:dyDescent="0.2">
      <c r="A45" s="284" t="s">
        <v>143</v>
      </c>
      <c r="B45" s="285">
        <v>1752</v>
      </c>
      <c r="C45" s="285">
        <v>0</v>
      </c>
      <c r="D45" s="285">
        <f t="shared" si="0"/>
        <v>1752</v>
      </c>
      <c r="E45" s="291">
        <f>'- 7 -'!E45</f>
        <v>1685</v>
      </c>
      <c r="F45" s="291">
        <v>1636.3</v>
      </c>
      <c r="G45" s="291">
        <v>1594</v>
      </c>
    </row>
    <row r="46" spans="1:8" ht="14.1" customHeight="1" x14ac:dyDescent="0.2">
      <c r="A46" s="19" t="s">
        <v>144</v>
      </c>
      <c r="B46" s="20">
        <v>33244</v>
      </c>
      <c r="C46" s="20">
        <v>1820</v>
      </c>
      <c r="D46" s="20">
        <f t="shared" si="0"/>
        <v>31424</v>
      </c>
      <c r="E46" s="70">
        <f>'- 7 -'!E46</f>
        <v>29879</v>
      </c>
      <c r="F46" s="70">
        <v>29586.1</v>
      </c>
      <c r="G46" s="70">
        <v>29575.3</v>
      </c>
    </row>
    <row r="47" spans="1:8" ht="5.0999999999999996" customHeight="1" x14ac:dyDescent="0.2">
      <c r="A47"/>
      <c r="B47"/>
      <c r="C47"/>
      <c r="D47"/>
      <c r="E47"/>
      <c r="F47"/>
      <c r="G47"/>
      <c r="H47"/>
    </row>
    <row r="48" spans="1:8" ht="14.1" customHeight="1" x14ac:dyDescent="0.2">
      <c r="A48" s="286" t="s">
        <v>145</v>
      </c>
      <c r="B48" s="287">
        <f t="shared" ref="B48:G48" si="1">SUM(B11:B46)</f>
        <v>185225</v>
      </c>
      <c r="C48" s="287">
        <f t="shared" si="1"/>
        <v>2373</v>
      </c>
      <c r="D48" s="287">
        <f t="shared" si="1"/>
        <v>182852</v>
      </c>
      <c r="E48" s="294">
        <f t="shared" si="1"/>
        <v>176037.38285714286</v>
      </c>
      <c r="F48" s="294">
        <f t="shared" si="1"/>
        <v>167214.39999999999</v>
      </c>
      <c r="G48" s="294">
        <f t="shared" si="1"/>
        <v>165767.20000000001</v>
      </c>
      <c r="H48" s="501"/>
    </row>
    <row r="49" spans="1:7" ht="5.0999999999999996" customHeight="1" x14ac:dyDescent="0.2">
      <c r="A49" s="21" t="s">
        <v>7</v>
      </c>
      <c r="B49" s="22"/>
      <c r="C49" s="22"/>
      <c r="D49" s="22"/>
      <c r="E49" s="71"/>
      <c r="F49" s="71"/>
      <c r="G49" s="71"/>
    </row>
    <row r="50" spans="1:7" ht="14.1" customHeight="1" x14ac:dyDescent="0.2">
      <c r="A50" s="284" t="s">
        <v>146</v>
      </c>
      <c r="B50" s="285">
        <v>164</v>
      </c>
      <c r="C50" s="285">
        <v>0</v>
      </c>
      <c r="D50" s="285">
        <f>+B50-C50</f>
        <v>164</v>
      </c>
      <c r="E50" s="291">
        <f>'- 7 -'!E50</f>
        <v>155</v>
      </c>
      <c r="F50" s="291">
        <v>169</v>
      </c>
      <c r="G50" s="291">
        <v>164.4</v>
      </c>
    </row>
    <row r="51" spans="1:7" ht="14.1" customHeight="1" x14ac:dyDescent="0.2">
      <c r="A51" s="19" t="s">
        <v>609</v>
      </c>
      <c r="B51" s="20"/>
      <c r="C51" s="20"/>
      <c r="D51" s="20">
        <f>+B51-C51</f>
        <v>0</v>
      </c>
      <c r="E51" s="70">
        <f>'- 7 -'!E51</f>
        <v>1182.5</v>
      </c>
      <c r="F51" s="70"/>
      <c r="G51" s="70"/>
    </row>
    <row r="52" spans="1:7" ht="50.1" customHeight="1" x14ac:dyDescent="0.2">
      <c r="A52" s="23"/>
      <c r="B52" s="23"/>
      <c r="C52" s="23"/>
      <c r="D52" s="23"/>
      <c r="E52" s="23"/>
      <c r="F52" s="79"/>
      <c r="G52" s="79"/>
    </row>
    <row r="53" spans="1:7" ht="15" customHeight="1" x14ac:dyDescent="0.2">
      <c r="A53" s="2" t="s">
        <v>241</v>
      </c>
      <c r="C53" s="80"/>
      <c r="D53" s="80"/>
      <c r="E53" s="80"/>
      <c r="F53" s="80"/>
    </row>
    <row r="54" spans="1:7" ht="12" customHeight="1" x14ac:dyDescent="0.2">
      <c r="A54" s="620" t="s">
        <v>460</v>
      </c>
      <c r="B54" s="620"/>
      <c r="C54" s="620"/>
      <c r="D54" s="620"/>
      <c r="E54" s="620"/>
      <c r="F54" s="620"/>
      <c r="G54" s="620"/>
    </row>
    <row r="55" spans="1:7" ht="12" customHeight="1" x14ac:dyDescent="0.2">
      <c r="A55" s="620"/>
      <c r="B55" s="620"/>
      <c r="C55" s="620"/>
      <c r="D55" s="620"/>
      <c r="E55" s="620"/>
      <c r="F55" s="620"/>
      <c r="G55" s="620"/>
    </row>
    <row r="56" spans="1:7" ht="12" customHeight="1" x14ac:dyDescent="0.2">
      <c r="A56" s="593" t="s">
        <v>648</v>
      </c>
      <c r="B56" s="593"/>
      <c r="C56" s="593"/>
      <c r="D56" s="593"/>
      <c r="E56" s="593"/>
      <c r="F56" s="593"/>
      <c r="G56" s="593"/>
    </row>
    <row r="57" spans="1:7" x14ac:dyDescent="0.2">
      <c r="A57" s="593"/>
      <c r="B57" s="593"/>
      <c r="C57" s="593"/>
      <c r="D57" s="593"/>
      <c r="E57" s="593"/>
      <c r="F57" s="593"/>
      <c r="G57" s="593"/>
    </row>
  </sheetData>
  <mergeCells count="9">
    <mergeCell ref="F8:F9"/>
    <mergeCell ref="G8:G9"/>
    <mergeCell ref="A56:G57"/>
    <mergeCell ref="A54:G55"/>
    <mergeCell ref="B7:D7"/>
    <mergeCell ref="B8:B9"/>
    <mergeCell ref="C8:C9"/>
    <mergeCell ref="D8:D9"/>
    <mergeCell ref="E8:E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49"/>
  <dimension ref="A1:AD91"/>
  <sheetViews>
    <sheetView showGridLines="0" defaultGridColor="0" colorId="22" workbookViewId="0">
      <pane xSplit="1" ySplit="10" topLeftCell="L11" activePane="bottomRight" state="frozen"/>
      <selection activeCell="D22" sqref="D22"/>
      <selection pane="topRight" activeCell="D22" sqref="D22"/>
      <selection pane="bottomLeft" activeCell="D22" sqref="D22"/>
      <selection pane="bottomRight"/>
    </sheetView>
  </sheetViews>
  <sheetFormatPr defaultColWidth="15.83203125" defaultRowHeight="12" x14ac:dyDescent="0.2"/>
  <cols>
    <col min="1" max="1" width="5.83203125" style="2" customWidth="1"/>
    <col min="2" max="2" width="30.83203125" style="2" customWidth="1"/>
    <col min="3" max="15" width="15.83203125" style="2" customWidth="1"/>
    <col min="16" max="16" width="9.1640625" style="2" customWidth="1"/>
    <col min="17" max="18" width="15.83203125" style="2" customWidth="1"/>
    <col min="19" max="19" width="17.1640625" style="2" bestFit="1" customWidth="1"/>
    <col min="20" max="21" width="15.83203125" style="2" customWidth="1"/>
    <col min="22" max="22" width="3.5" style="2" customWidth="1"/>
    <col min="23" max="23" width="15.83203125" style="2"/>
    <col min="24" max="24" width="1.83203125" style="2" customWidth="1"/>
    <col min="25" max="25" width="21.33203125" style="2" bestFit="1" customWidth="1"/>
    <col min="26" max="26" width="14.1640625" style="2" bestFit="1" customWidth="1"/>
    <col min="27" max="27" width="2.1640625" style="2" customWidth="1"/>
    <col min="28" max="28" width="23.6640625" style="2" bestFit="1" customWidth="1"/>
    <col min="29" max="16384" width="15.83203125" style="2"/>
  </cols>
  <sheetData>
    <row r="1" spans="1:29" ht="6" customHeight="1" x14ac:dyDescent="0.2">
      <c r="A1" s="7"/>
      <c r="B1" s="205"/>
      <c r="C1" s="205"/>
      <c r="D1" s="205"/>
      <c r="E1" s="205"/>
      <c r="F1" s="205"/>
      <c r="G1" s="205"/>
      <c r="H1" s="205"/>
      <c r="I1" s="205"/>
      <c r="J1" s="205"/>
      <c r="K1" s="205"/>
      <c r="L1" s="205"/>
      <c r="M1" s="205"/>
      <c r="N1" s="205"/>
      <c r="O1" s="205"/>
      <c r="P1" s="205"/>
      <c r="Q1" s="205"/>
      <c r="R1" s="205"/>
      <c r="S1" s="205"/>
      <c r="T1" s="205"/>
      <c r="U1" s="205"/>
    </row>
    <row r="2" spans="1:29" x14ac:dyDescent="0.2">
      <c r="A2" s="205"/>
      <c r="B2" s="184"/>
      <c r="C2" s="184"/>
      <c r="D2" s="184"/>
      <c r="E2" s="184"/>
      <c r="F2" s="184"/>
      <c r="G2" s="184"/>
      <c r="H2" s="184"/>
      <c r="I2" s="184"/>
      <c r="J2" s="184"/>
      <c r="K2" s="184"/>
      <c r="L2" s="184"/>
      <c r="M2" s="184"/>
      <c r="N2" s="184"/>
      <c r="O2" s="184"/>
      <c r="P2" s="184"/>
      <c r="Q2" s="184"/>
      <c r="R2" s="184"/>
      <c r="S2" s="184"/>
      <c r="T2" s="184"/>
      <c r="U2" s="184"/>
    </row>
    <row r="3" spans="1:29" x14ac:dyDescent="0.2">
      <c r="A3" s="270" t="s">
        <v>49</v>
      </c>
      <c r="B3" s="2" t="s">
        <v>84</v>
      </c>
      <c r="C3" s="205"/>
      <c r="D3" s="205"/>
      <c r="E3" s="205"/>
      <c r="F3" s="205"/>
      <c r="G3" s="205"/>
      <c r="H3" s="205"/>
      <c r="I3" s="205"/>
      <c r="J3" s="205"/>
      <c r="K3" s="205"/>
      <c r="L3" s="205"/>
      <c r="M3" s="205"/>
      <c r="N3" s="205"/>
      <c r="O3" s="205"/>
      <c r="P3" s="205"/>
      <c r="Q3" s="205"/>
      <c r="R3" s="205"/>
      <c r="S3" s="205"/>
      <c r="T3" s="205"/>
      <c r="U3" s="205"/>
    </row>
    <row r="4" spans="1:29" x14ac:dyDescent="0.2">
      <c r="A4" s="2" t="s">
        <v>333</v>
      </c>
      <c r="B4" s="276" t="s">
        <v>617</v>
      </c>
      <c r="C4" s="184"/>
      <c r="D4" s="184"/>
      <c r="E4" s="184"/>
      <c r="F4" s="184"/>
      <c r="G4" s="184"/>
      <c r="H4" s="184"/>
      <c r="I4" s="184"/>
      <c r="J4" s="184"/>
      <c r="K4" s="184"/>
      <c r="L4" s="184"/>
      <c r="M4" s="184"/>
      <c r="N4" s="184"/>
      <c r="O4" s="184"/>
      <c r="P4" s="184"/>
      <c r="Q4" s="184"/>
      <c r="R4" s="184"/>
      <c r="S4" s="184"/>
      <c r="T4" s="184"/>
      <c r="U4" s="184"/>
      <c r="W4" s="133" t="s">
        <v>644</v>
      </c>
    </row>
    <row r="5" spans="1:29" x14ac:dyDescent="0.2">
      <c r="A5" s="2" t="s">
        <v>332</v>
      </c>
      <c r="B5" s="276" t="s">
        <v>635</v>
      </c>
      <c r="C5" s="271" t="s">
        <v>33</v>
      </c>
      <c r="D5" s="272"/>
      <c r="E5" s="272"/>
      <c r="F5" s="272"/>
      <c r="G5" s="272"/>
      <c r="H5" s="272"/>
      <c r="I5" s="272"/>
      <c r="J5" s="272"/>
      <c r="K5" s="272"/>
      <c r="L5" s="272"/>
      <c r="M5" s="273"/>
      <c r="N5" s="184"/>
      <c r="O5" s="184"/>
      <c r="P5" s="184"/>
      <c r="Q5" s="184"/>
      <c r="R5" s="184"/>
      <c r="S5" s="184"/>
      <c r="T5" s="184"/>
      <c r="U5" s="184"/>
      <c r="W5" s="2" t="s">
        <v>374</v>
      </c>
    </row>
    <row r="6" spans="1:29" x14ac:dyDescent="0.2">
      <c r="A6" s="2" t="s">
        <v>4</v>
      </c>
      <c r="B6" s="489">
        <v>2016</v>
      </c>
      <c r="N6" s="873" t="s">
        <v>624</v>
      </c>
      <c r="O6" s="579"/>
      <c r="W6" s="133" t="s">
        <v>645</v>
      </c>
      <c r="AB6" s="2" t="s">
        <v>383</v>
      </c>
    </row>
    <row r="7" spans="1:29" x14ac:dyDescent="0.2">
      <c r="A7" s="2" t="s">
        <v>5</v>
      </c>
      <c r="B7" s="274" t="str">
        <f>TEXT((B6+1),"0")</f>
        <v>2017</v>
      </c>
      <c r="M7" s="4" t="s">
        <v>235</v>
      </c>
      <c r="N7" s="873"/>
      <c r="O7" s="579"/>
      <c r="P7" s="4"/>
      <c r="Q7" s="4" t="s">
        <v>430</v>
      </c>
      <c r="R7" s="4" t="s">
        <v>31</v>
      </c>
      <c r="S7" s="4" t="s">
        <v>435</v>
      </c>
      <c r="T7" s="4"/>
      <c r="U7" s="4"/>
      <c r="W7" s="2" t="s">
        <v>371</v>
      </c>
      <c r="Y7" s="546" t="s">
        <v>620</v>
      </c>
      <c r="AB7" s="4" t="s">
        <v>31</v>
      </c>
    </row>
    <row r="8" spans="1:29" x14ac:dyDescent="0.2">
      <c r="C8" s="275" t="s">
        <v>40</v>
      </c>
      <c r="D8" s="8"/>
      <c r="E8" s="8"/>
      <c r="F8" s="8"/>
      <c r="G8" s="8"/>
      <c r="H8" s="8"/>
      <c r="I8" s="8"/>
      <c r="J8" s="8">
        <v>700</v>
      </c>
      <c r="K8" s="4" t="s">
        <v>31</v>
      </c>
      <c r="L8" s="4" t="s">
        <v>232</v>
      </c>
      <c r="M8" s="4" t="s">
        <v>233</v>
      </c>
      <c r="N8" s="873"/>
      <c r="O8" s="579" t="s">
        <v>625</v>
      </c>
      <c r="P8" s="4" t="s">
        <v>630</v>
      </c>
      <c r="Q8" s="4" t="s">
        <v>431</v>
      </c>
      <c r="R8" s="4" t="s">
        <v>59</v>
      </c>
      <c r="S8" s="4" t="s">
        <v>436</v>
      </c>
      <c r="T8" s="4" t="s">
        <v>435</v>
      </c>
      <c r="U8" s="4"/>
      <c r="W8" s="2" t="s">
        <v>372</v>
      </c>
      <c r="Y8" s="526" t="s">
        <v>329</v>
      </c>
      <c r="Z8" s="2" t="s">
        <v>330</v>
      </c>
      <c r="AB8" s="4" t="s">
        <v>41</v>
      </c>
      <c r="AC8" s="545" t="s">
        <v>41</v>
      </c>
    </row>
    <row r="9" spans="1:29" x14ac:dyDescent="0.2">
      <c r="A9" s="276" t="s">
        <v>149</v>
      </c>
      <c r="B9" s="2" t="s">
        <v>150</v>
      </c>
      <c r="C9" s="2">
        <v>100</v>
      </c>
      <c r="D9" s="2">
        <v>200</v>
      </c>
      <c r="E9" s="2">
        <v>300</v>
      </c>
      <c r="F9" s="2">
        <v>400</v>
      </c>
      <c r="G9" s="2">
        <v>500</v>
      </c>
      <c r="H9" s="2">
        <v>600</v>
      </c>
      <c r="I9" s="2">
        <v>700</v>
      </c>
      <c r="J9" s="4" t="s">
        <v>46</v>
      </c>
      <c r="K9" s="4" t="s">
        <v>47</v>
      </c>
      <c r="L9" s="4" t="s">
        <v>88</v>
      </c>
      <c r="M9" s="4" t="s">
        <v>103</v>
      </c>
      <c r="N9" s="873"/>
      <c r="O9" s="579" t="s">
        <v>626</v>
      </c>
      <c r="P9" s="4" t="s">
        <v>631</v>
      </c>
      <c r="Q9" s="4" t="s">
        <v>432</v>
      </c>
      <c r="R9" s="4" t="s">
        <v>65</v>
      </c>
      <c r="S9" s="4" t="s">
        <v>437</v>
      </c>
      <c r="T9" s="4" t="s">
        <v>438</v>
      </c>
      <c r="U9" s="4" t="s">
        <v>439</v>
      </c>
      <c r="W9" s="2" t="s">
        <v>373</v>
      </c>
      <c r="Y9" s="526" t="s">
        <v>63</v>
      </c>
      <c r="Z9" s="2" t="s">
        <v>63</v>
      </c>
      <c r="AB9" s="415" t="s">
        <v>646</v>
      </c>
      <c r="AC9" s="4" t="s">
        <v>397</v>
      </c>
    </row>
    <row r="10" spans="1:29" x14ac:dyDescent="0.2">
      <c r="C10" s="549" t="s">
        <v>421</v>
      </c>
      <c r="D10" s="549" t="s">
        <v>423</v>
      </c>
      <c r="E10" s="549" t="s">
        <v>424</v>
      </c>
      <c r="F10" s="549" t="s">
        <v>425</v>
      </c>
      <c r="G10" s="549" t="s">
        <v>426</v>
      </c>
      <c r="H10" s="549" t="s">
        <v>427</v>
      </c>
      <c r="I10" s="549" t="s">
        <v>422</v>
      </c>
      <c r="J10" s="549" t="s">
        <v>420</v>
      </c>
      <c r="L10" s="549" t="s">
        <v>428</v>
      </c>
      <c r="M10" s="549" t="s">
        <v>429</v>
      </c>
      <c r="N10" s="549" t="s">
        <v>627</v>
      </c>
      <c r="O10" s="549" t="s">
        <v>626</v>
      </c>
      <c r="P10" s="549"/>
      <c r="Q10" s="549" t="s">
        <v>433</v>
      </c>
      <c r="R10" s="549" t="s">
        <v>434</v>
      </c>
      <c r="S10" s="549" t="s">
        <v>440</v>
      </c>
      <c r="T10" s="549" t="s">
        <v>441</v>
      </c>
      <c r="U10" s="549" t="s">
        <v>442</v>
      </c>
    </row>
    <row r="11" spans="1:29" ht="10.9" customHeight="1" x14ac:dyDescent="0.2">
      <c r="A11" s="274" t="s">
        <v>151</v>
      </c>
      <c r="B11" s="2" t="s">
        <v>110</v>
      </c>
      <c r="C11" s="57">
        <v>50958</v>
      </c>
      <c r="D11" s="57">
        <v>0</v>
      </c>
      <c r="E11" s="57">
        <v>0</v>
      </c>
      <c r="F11" s="57">
        <v>0</v>
      </c>
      <c r="G11" s="57">
        <v>0</v>
      </c>
      <c r="H11" s="57">
        <v>5220</v>
      </c>
      <c r="I11" s="57">
        <v>0</v>
      </c>
      <c r="J11" s="57">
        <v>0</v>
      </c>
      <c r="K11" s="57">
        <f t="shared" ref="K11:K42" si="0">SUM(C11:I11)-J11</f>
        <v>56178</v>
      </c>
      <c r="L11" s="57">
        <v>24507</v>
      </c>
      <c r="M11" s="57">
        <v>0</v>
      </c>
      <c r="N11" s="57">
        <v>0</v>
      </c>
      <c r="O11" s="57">
        <v>0</v>
      </c>
      <c r="P11" s="584">
        <v>4.1099999999999994</v>
      </c>
      <c r="Q11" s="57">
        <v>0</v>
      </c>
      <c r="R11" s="57">
        <v>2181684</v>
      </c>
      <c r="S11" s="57">
        <v>178706</v>
      </c>
      <c r="T11" s="57">
        <v>298300</v>
      </c>
      <c r="U11" s="57">
        <v>190170</v>
      </c>
      <c r="W11" s="2">
        <v>426198</v>
      </c>
      <c r="Y11" s="2">
        <v>8713249</v>
      </c>
      <c r="Z11" s="2">
        <v>8208918</v>
      </c>
      <c r="AB11" s="2">
        <v>273589</v>
      </c>
    </row>
    <row r="12" spans="1:29" ht="10.9" customHeight="1" x14ac:dyDescent="0.2">
      <c r="A12" s="274" t="s">
        <v>152</v>
      </c>
      <c r="B12" s="2" t="s">
        <v>111</v>
      </c>
      <c r="C12" s="57">
        <v>440324</v>
      </c>
      <c r="D12" s="57">
        <v>0</v>
      </c>
      <c r="E12" s="57">
        <v>-591</v>
      </c>
      <c r="F12" s="57">
        <v>0</v>
      </c>
      <c r="G12" s="57">
        <v>0</v>
      </c>
      <c r="H12" s="57">
        <v>0</v>
      </c>
      <c r="I12" s="57">
        <v>1410</v>
      </c>
      <c r="J12" s="57">
        <v>0</v>
      </c>
      <c r="K12" s="57">
        <f t="shared" si="0"/>
        <v>441143</v>
      </c>
      <c r="L12" s="57">
        <v>36190</v>
      </c>
      <c r="M12" s="57">
        <v>0</v>
      </c>
      <c r="N12" s="57">
        <v>0</v>
      </c>
      <c r="O12" s="57">
        <v>837</v>
      </c>
      <c r="P12" s="584">
        <v>4.04</v>
      </c>
      <c r="Q12" s="57">
        <v>0</v>
      </c>
      <c r="R12" s="57">
        <v>3151050</v>
      </c>
      <c r="S12" s="57">
        <v>213807</v>
      </c>
      <c r="T12" s="57">
        <v>507300</v>
      </c>
      <c r="U12" s="57">
        <v>390905</v>
      </c>
      <c r="W12" s="2">
        <v>431678</v>
      </c>
      <c r="Y12" s="2">
        <v>16139621</v>
      </c>
      <c r="Z12" s="2">
        <v>13402666</v>
      </c>
      <c r="AB12" s="2">
        <v>390464</v>
      </c>
    </row>
    <row r="13" spans="1:29" ht="10.9" customHeight="1" x14ac:dyDescent="0.2">
      <c r="A13" s="274" t="s">
        <v>153</v>
      </c>
      <c r="B13" s="2" t="s">
        <v>112</v>
      </c>
      <c r="C13" s="57">
        <v>102310</v>
      </c>
      <c r="D13" s="57">
        <v>0</v>
      </c>
      <c r="E13" s="57">
        <v>0</v>
      </c>
      <c r="F13" s="57">
        <v>0</v>
      </c>
      <c r="G13" s="57">
        <v>0</v>
      </c>
      <c r="H13" s="57">
        <v>0</v>
      </c>
      <c r="I13" s="57">
        <v>0</v>
      </c>
      <c r="J13" s="57">
        <v>0</v>
      </c>
      <c r="K13" s="57">
        <f t="shared" si="0"/>
        <v>102310</v>
      </c>
      <c r="L13" s="57">
        <v>81573</v>
      </c>
      <c r="M13" s="57">
        <v>0</v>
      </c>
      <c r="N13" s="57">
        <v>0</v>
      </c>
      <c r="O13" s="57">
        <v>0</v>
      </c>
      <c r="P13" s="584">
        <v>3.5000000000000004</v>
      </c>
      <c r="Q13" s="57">
        <v>0</v>
      </c>
      <c r="R13" s="57">
        <v>7411664</v>
      </c>
      <c r="S13" s="57">
        <v>615585</v>
      </c>
      <c r="T13" s="57">
        <v>1263500</v>
      </c>
      <c r="U13" s="57">
        <v>1310060</v>
      </c>
      <c r="W13" s="2">
        <v>367136</v>
      </c>
      <c r="Y13" s="2">
        <v>45835385</v>
      </c>
      <c r="Z13" s="2">
        <v>43987372</v>
      </c>
      <c r="AB13" s="2">
        <v>1049205</v>
      </c>
    </row>
    <row r="14" spans="1:29" ht="10.9" customHeight="1" x14ac:dyDescent="0.2">
      <c r="A14" s="274" t="s">
        <v>154</v>
      </c>
      <c r="B14" s="2" t="s">
        <v>147</v>
      </c>
      <c r="C14" s="57">
        <v>802271</v>
      </c>
      <c r="D14" s="57">
        <v>0</v>
      </c>
      <c r="E14" s="57">
        <v>0</v>
      </c>
      <c r="F14" s="57">
        <v>0</v>
      </c>
      <c r="G14" s="57">
        <v>0</v>
      </c>
      <c r="H14" s="57">
        <v>13446</v>
      </c>
      <c r="I14" s="57">
        <v>0</v>
      </c>
      <c r="J14" s="57">
        <v>0</v>
      </c>
      <c r="K14" s="57">
        <f t="shared" si="0"/>
        <v>815717</v>
      </c>
      <c r="L14" s="57">
        <v>0</v>
      </c>
      <c r="M14" s="57">
        <v>0</v>
      </c>
      <c r="N14" s="57">
        <v>0</v>
      </c>
      <c r="O14" s="57">
        <v>0</v>
      </c>
      <c r="P14" s="584">
        <v>3.5000000000000004</v>
      </c>
      <c r="Q14" s="57">
        <v>0</v>
      </c>
      <c r="R14" s="57">
        <v>7992461</v>
      </c>
      <c r="S14" s="57">
        <v>455938</v>
      </c>
      <c r="T14" s="57">
        <v>389500</v>
      </c>
      <c r="U14" s="57">
        <v>316950</v>
      </c>
      <c r="W14" s="2">
        <v>447781</v>
      </c>
      <c r="Y14" s="2">
        <v>0</v>
      </c>
      <c r="Z14" s="2">
        <v>0</v>
      </c>
      <c r="AB14" s="2">
        <v>981497</v>
      </c>
    </row>
    <row r="15" spans="1:29" ht="10.9" customHeight="1" x14ac:dyDescent="0.2">
      <c r="A15" s="274" t="s">
        <v>155</v>
      </c>
      <c r="B15" s="2" t="s">
        <v>113</v>
      </c>
      <c r="C15" s="57">
        <v>70667</v>
      </c>
      <c r="D15" s="57">
        <v>0</v>
      </c>
      <c r="E15" s="57">
        <v>0</v>
      </c>
      <c r="F15" s="57">
        <v>0</v>
      </c>
      <c r="G15" s="57">
        <v>3250</v>
      </c>
      <c r="H15" s="57">
        <v>6700</v>
      </c>
      <c r="I15" s="57">
        <v>0</v>
      </c>
      <c r="J15" s="57">
        <v>0</v>
      </c>
      <c r="K15" s="57">
        <f t="shared" si="0"/>
        <v>80617</v>
      </c>
      <c r="L15" s="57">
        <v>25771</v>
      </c>
      <c r="M15" s="57">
        <v>0</v>
      </c>
      <c r="N15" s="57">
        <v>0</v>
      </c>
      <c r="O15" s="57">
        <v>0</v>
      </c>
      <c r="P15" s="584">
        <v>4.18</v>
      </c>
      <c r="Q15" s="57">
        <v>0</v>
      </c>
      <c r="R15" s="57">
        <v>2241513</v>
      </c>
      <c r="S15" s="57">
        <v>147764</v>
      </c>
      <c r="T15" s="57">
        <v>359100</v>
      </c>
      <c r="U15" s="57">
        <v>348645</v>
      </c>
      <c r="W15" s="2">
        <v>655610</v>
      </c>
      <c r="Y15" s="2">
        <v>11712311</v>
      </c>
      <c r="Z15" s="2">
        <v>10116994</v>
      </c>
      <c r="AB15" s="2">
        <v>291254</v>
      </c>
    </row>
    <row r="16" spans="1:29" ht="10.9" customHeight="1" x14ac:dyDescent="0.2">
      <c r="A16" s="274" t="s">
        <v>156</v>
      </c>
      <c r="B16" s="2" t="s">
        <v>114</v>
      </c>
      <c r="C16" s="57">
        <v>0</v>
      </c>
      <c r="D16" s="57">
        <v>0</v>
      </c>
      <c r="E16" s="57">
        <v>0</v>
      </c>
      <c r="F16" s="57">
        <v>0</v>
      </c>
      <c r="G16" s="57">
        <v>0</v>
      </c>
      <c r="H16" s="57">
        <v>0</v>
      </c>
      <c r="I16" s="57">
        <v>0</v>
      </c>
      <c r="J16" s="57">
        <v>0</v>
      </c>
      <c r="K16" s="57">
        <f t="shared" si="0"/>
        <v>0</v>
      </c>
      <c r="L16" s="57">
        <v>22734</v>
      </c>
      <c r="M16" s="57">
        <v>0</v>
      </c>
      <c r="N16" s="57">
        <v>0</v>
      </c>
      <c r="O16" s="57">
        <v>0</v>
      </c>
      <c r="P16" s="584">
        <v>5</v>
      </c>
      <c r="Q16" s="57">
        <v>0</v>
      </c>
      <c r="R16" s="57">
        <v>1437904</v>
      </c>
      <c r="S16" s="57">
        <v>101931</v>
      </c>
      <c r="T16" s="57">
        <v>285000</v>
      </c>
      <c r="U16" s="57">
        <v>84520</v>
      </c>
      <c r="W16" s="2">
        <v>200703</v>
      </c>
      <c r="Y16" s="2">
        <v>4855299</v>
      </c>
      <c r="Z16" s="2">
        <v>4102586</v>
      </c>
      <c r="AB16" s="2">
        <v>209745</v>
      </c>
    </row>
    <row r="17" spans="1:30" ht="10.9" customHeight="1" x14ac:dyDescent="0.2">
      <c r="A17" s="274" t="s">
        <v>157</v>
      </c>
      <c r="B17" s="2" t="s">
        <v>115</v>
      </c>
      <c r="C17" s="57">
        <v>67188</v>
      </c>
      <c r="D17" s="57">
        <v>0</v>
      </c>
      <c r="E17" s="57">
        <v>0</v>
      </c>
      <c r="F17" s="57">
        <v>0</v>
      </c>
      <c r="G17" s="57">
        <v>238</v>
      </c>
      <c r="H17" s="57">
        <v>0</v>
      </c>
      <c r="I17" s="57">
        <v>0</v>
      </c>
      <c r="J17" s="57">
        <v>0</v>
      </c>
      <c r="K17" s="57">
        <f t="shared" si="0"/>
        <v>67426</v>
      </c>
      <c r="L17" s="57">
        <v>29495</v>
      </c>
      <c r="M17" s="57">
        <v>0</v>
      </c>
      <c r="N17" s="57">
        <v>0</v>
      </c>
      <c r="O17" s="57">
        <v>0</v>
      </c>
      <c r="P17" s="584">
        <v>4.18</v>
      </c>
      <c r="Q17" s="57">
        <v>0</v>
      </c>
      <c r="R17" s="57">
        <v>1850114</v>
      </c>
      <c r="S17" s="57">
        <v>138727</v>
      </c>
      <c r="T17" s="57">
        <v>336300</v>
      </c>
      <c r="U17" s="57">
        <v>109876</v>
      </c>
      <c r="W17" s="2">
        <v>865949</v>
      </c>
      <c r="Y17" s="2">
        <v>9114219</v>
      </c>
      <c r="Z17" s="2">
        <v>8626434</v>
      </c>
      <c r="AB17" s="2">
        <v>262183</v>
      </c>
    </row>
    <row r="18" spans="1:30" ht="10.9" customHeight="1" x14ac:dyDescent="0.2">
      <c r="A18" s="274" t="s">
        <v>158</v>
      </c>
      <c r="B18" s="2" t="s">
        <v>116</v>
      </c>
      <c r="C18" s="57">
        <v>2847440</v>
      </c>
      <c r="D18" s="57">
        <v>0</v>
      </c>
      <c r="E18" s="57">
        <v>1519715</v>
      </c>
      <c r="F18" s="57">
        <v>0</v>
      </c>
      <c r="G18" s="57">
        <v>99048</v>
      </c>
      <c r="H18" s="57">
        <v>30175</v>
      </c>
      <c r="I18" s="57">
        <v>150514</v>
      </c>
      <c r="J18" s="57">
        <v>0</v>
      </c>
      <c r="K18" s="57">
        <f t="shared" si="0"/>
        <v>4646892</v>
      </c>
      <c r="L18" s="57">
        <v>0</v>
      </c>
      <c r="M18" s="57">
        <v>0</v>
      </c>
      <c r="N18" s="57">
        <v>0</v>
      </c>
      <c r="O18" s="57">
        <v>0</v>
      </c>
      <c r="P18" s="584">
        <v>3.5000000000000004</v>
      </c>
      <c r="Q18" s="57">
        <v>0</v>
      </c>
      <c r="R18" s="57">
        <v>6998547</v>
      </c>
      <c r="S18" s="57">
        <v>335322</v>
      </c>
      <c r="T18" s="57">
        <v>972800</v>
      </c>
      <c r="U18" s="57">
        <v>555719</v>
      </c>
      <c r="W18" s="2">
        <v>101055</v>
      </c>
      <c r="Y18" s="2">
        <v>3604525</v>
      </c>
      <c r="Z18" s="2">
        <v>3286051</v>
      </c>
      <c r="AB18" s="2">
        <v>1435393</v>
      </c>
    </row>
    <row r="19" spans="1:30" ht="10.9" customHeight="1" x14ac:dyDescent="0.2">
      <c r="A19" s="274" t="s">
        <v>159</v>
      </c>
      <c r="B19" s="2" t="s">
        <v>117</v>
      </c>
      <c r="C19" s="57">
        <v>455818</v>
      </c>
      <c r="D19" s="57">
        <v>0</v>
      </c>
      <c r="E19" s="57">
        <v>0</v>
      </c>
      <c r="F19" s="57">
        <v>27000</v>
      </c>
      <c r="G19" s="57">
        <v>0</v>
      </c>
      <c r="H19" s="57">
        <v>18835</v>
      </c>
      <c r="I19" s="57">
        <v>0</v>
      </c>
      <c r="J19" s="57">
        <v>0</v>
      </c>
      <c r="K19" s="57">
        <f t="shared" si="0"/>
        <v>501653</v>
      </c>
      <c r="L19" s="57">
        <v>38358</v>
      </c>
      <c r="M19" s="57">
        <v>0</v>
      </c>
      <c r="N19" s="57">
        <v>0</v>
      </c>
      <c r="O19" s="57">
        <v>0</v>
      </c>
      <c r="P19" s="584">
        <v>3.62</v>
      </c>
      <c r="Q19" s="57">
        <v>0</v>
      </c>
      <c r="R19" s="57">
        <v>5022108</v>
      </c>
      <c r="S19" s="57">
        <v>315075</v>
      </c>
      <c r="T19" s="57">
        <v>811300</v>
      </c>
      <c r="U19" s="57">
        <v>824070</v>
      </c>
      <c r="W19" s="2">
        <v>269173</v>
      </c>
      <c r="Y19" s="2">
        <v>18633368</v>
      </c>
      <c r="Z19" s="2">
        <v>17987195</v>
      </c>
      <c r="AB19" s="2">
        <v>647584</v>
      </c>
    </row>
    <row r="20" spans="1:30" ht="10.9" customHeight="1" x14ac:dyDescent="0.2">
      <c r="A20" s="274" t="s">
        <v>160</v>
      </c>
      <c r="B20" s="2" t="s">
        <v>118</v>
      </c>
      <c r="C20" s="57">
        <v>1618649</v>
      </c>
      <c r="D20" s="57">
        <v>0</v>
      </c>
      <c r="E20" s="57">
        <v>0</v>
      </c>
      <c r="F20" s="57">
        <v>0</v>
      </c>
      <c r="G20" s="57">
        <v>0</v>
      </c>
      <c r="H20" s="57">
        <v>0</v>
      </c>
      <c r="I20" s="57">
        <v>0</v>
      </c>
      <c r="J20" s="57">
        <v>0</v>
      </c>
      <c r="K20" s="57">
        <f t="shared" si="0"/>
        <v>1618649</v>
      </c>
      <c r="L20" s="57">
        <v>71287</v>
      </c>
      <c r="M20" s="57">
        <v>0</v>
      </c>
      <c r="N20" s="57">
        <v>0</v>
      </c>
      <c r="O20" s="57">
        <v>0</v>
      </c>
      <c r="P20" s="584">
        <v>3.5000000000000004</v>
      </c>
      <c r="Q20" s="57">
        <v>0</v>
      </c>
      <c r="R20" s="57">
        <v>8397076</v>
      </c>
      <c r="S20" s="57">
        <v>566993</v>
      </c>
      <c r="T20" s="57">
        <v>1493400</v>
      </c>
      <c r="U20" s="57">
        <v>1345981</v>
      </c>
      <c r="W20" s="2">
        <v>263343</v>
      </c>
      <c r="Y20" s="2">
        <v>32488323</v>
      </c>
      <c r="Z20" s="2">
        <v>30980197</v>
      </c>
      <c r="AB20" s="2">
        <v>1045359</v>
      </c>
    </row>
    <row r="21" spans="1:30" ht="10.9" customHeight="1" x14ac:dyDescent="0.2">
      <c r="A21" s="274" t="s">
        <v>161</v>
      </c>
      <c r="B21" s="2" t="s">
        <v>119</v>
      </c>
      <c r="C21" s="57">
        <v>220024</v>
      </c>
      <c r="D21" s="57">
        <v>92023</v>
      </c>
      <c r="E21" s="57">
        <v>0</v>
      </c>
      <c r="F21" s="57">
        <v>0</v>
      </c>
      <c r="G21" s="57">
        <v>11160</v>
      </c>
      <c r="H21" s="57">
        <v>16658</v>
      </c>
      <c r="I21" s="57">
        <v>0</v>
      </c>
      <c r="J21" s="57">
        <v>0</v>
      </c>
      <c r="K21" s="57">
        <f t="shared" si="0"/>
        <v>339865</v>
      </c>
      <c r="L21" s="57">
        <v>41842</v>
      </c>
      <c r="M21" s="57">
        <v>0</v>
      </c>
      <c r="N21" s="57">
        <v>0</v>
      </c>
      <c r="O21" s="57">
        <v>0</v>
      </c>
      <c r="P21" s="584">
        <v>3.92</v>
      </c>
      <c r="Q21" s="57">
        <v>0</v>
      </c>
      <c r="R21" s="57">
        <v>3455570</v>
      </c>
      <c r="S21" s="57">
        <v>276669</v>
      </c>
      <c r="T21" s="57">
        <v>537700</v>
      </c>
      <c r="U21" s="57">
        <v>509233</v>
      </c>
      <c r="W21" s="2">
        <v>468821</v>
      </c>
      <c r="Y21" s="2">
        <v>18314911</v>
      </c>
      <c r="Z21" s="2">
        <v>17025360</v>
      </c>
      <c r="AB21" s="2">
        <v>459333.5</v>
      </c>
    </row>
    <row r="22" spans="1:30" ht="10.9" customHeight="1" x14ac:dyDescent="0.2">
      <c r="A22" s="274" t="s">
        <v>162</v>
      </c>
      <c r="B22" s="2" t="s">
        <v>120</v>
      </c>
      <c r="C22" s="57">
        <v>4029</v>
      </c>
      <c r="D22" s="57">
        <v>0</v>
      </c>
      <c r="E22" s="57">
        <v>0</v>
      </c>
      <c r="F22" s="57">
        <v>0</v>
      </c>
      <c r="G22" s="57">
        <v>0</v>
      </c>
      <c r="H22" s="57">
        <v>15976</v>
      </c>
      <c r="I22" s="57">
        <v>0</v>
      </c>
      <c r="J22" s="57">
        <v>0</v>
      </c>
      <c r="K22" s="57">
        <f t="shared" si="0"/>
        <v>20005</v>
      </c>
      <c r="L22" s="57">
        <v>30261</v>
      </c>
      <c r="M22" s="57">
        <v>0</v>
      </c>
      <c r="N22" s="57">
        <v>0</v>
      </c>
      <c r="O22" s="57">
        <v>0</v>
      </c>
      <c r="P22" s="584">
        <v>5</v>
      </c>
      <c r="Q22" s="57">
        <v>0</v>
      </c>
      <c r="R22" s="57">
        <v>2706739</v>
      </c>
      <c r="S22" s="57">
        <v>194603</v>
      </c>
      <c r="T22" s="57">
        <v>491150</v>
      </c>
      <c r="U22" s="57">
        <v>287368</v>
      </c>
      <c r="W22" s="2">
        <v>171241</v>
      </c>
      <c r="Y22" s="2">
        <v>4866303</v>
      </c>
      <c r="Z22" s="2">
        <v>4556896</v>
      </c>
      <c r="AB22" s="2">
        <v>318923</v>
      </c>
    </row>
    <row r="23" spans="1:30" ht="10.9" customHeight="1" x14ac:dyDescent="0.2">
      <c r="A23" s="274" t="s">
        <v>163</v>
      </c>
      <c r="B23" s="2" t="s">
        <v>121</v>
      </c>
      <c r="C23" s="57">
        <v>88133</v>
      </c>
      <c r="D23" s="57">
        <v>0</v>
      </c>
      <c r="E23" s="57">
        <v>0</v>
      </c>
      <c r="F23" s="57">
        <v>0</v>
      </c>
      <c r="G23" s="57">
        <v>0</v>
      </c>
      <c r="H23" s="57">
        <v>1700</v>
      </c>
      <c r="I23" s="57">
        <v>0</v>
      </c>
      <c r="J23" s="57">
        <v>0</v>
      </c>
      <c r="K23" s="57">
        <f t="shared" si="0"/>
        <v>89833</v>
      </c>
      <c r="L23" s="57">
        <v>26830</v>
      </c>
      <c r="M23" s="57">
        <v>0</v>
      </c>
      <c r="N23" s="57">
        <v>0</v>
      </c>
      <c r="O23" s="57">
        <v>0</v>
      </c>
      <c r="P23" s="584">
        <v>4.2299999999999995</v>
      </c>
      <c r="Q23" s="57">
        <v>0</v>
      </c>
      <c r="R23" s="57">
        <v>2047291</v>
      </c>
      <c r="S23" s="57">
        <v>107474</v>
      </c>
      <c r="T23" s="57">
        <v>304000</v>
      </c>
      <c r="U23" s="57">
        <v>242995</v>
      </c>
      <c r="W23" s="2">
        <v>280115</v>
      </c>
      <c r="Y23" s="2">
        <v>4993716</v>
      </c>
      <c r="Z23" s="2">
        <v>4553643</v>
      </c>
      <c r="AB23" s="2">
        <v>233256</v>
      </c>
    </row>
    <row r="24" spans="1:30" ht="10.9" customHeight="1" x14ac:dyDescent="0.2">
      <c r="A24" s="274" t="s">
        <v>164</v>
      </c>
      <c r="B24" s="2" t="s">
        <v>122</v>
      </c>
      <c r="C24" s="57">
        <v>167179</v>
      </c>
      <c r="D24" s="57">
        <v>0</v>
      </c>
      <c r="E24" s="57">
        <v>0</v>
      </c>
      <c r="F24" s="57">
        <v>0</v>
      </c>
      <c r="G24" s="57">
        <v>4200</v>
      </c>
      <c r="H24" s="57">
        <v>0</v>
      </c>
      <c r="I24" s="57">
        <v>0</v>
      </c>
      <c r="J24" s="57">
        <v>0</v>
      </c>
      <c r="K24" s="57">
        <f t="shared" si="0"/>
        <v>171379</v>
      </c>
      <c r="L24" s="57">
        <v>51937</v>
      </c>
      <c r="M24" s="57">
        <v>0</v>
      </c>
      <c r="N24" s="57">
        <v>0</v>
      </c>
      <c r="O24" s="57">
        <v>0</v>
      </c>
      <c r="P24" s="584">
        <v>3.6999999999999997</v>
      </c>
      <c r="Q24" s="57">
        <v>0</v>
      </c>
      <c r="R24" s="57">
        <v>5179799</v>
      </c>
      <c r="S24" s="57">
        <v>360364</v>
      </c>
      <c r="T24" s="57">
        <v>984200</v>
      </c>
      <c r="U24" s="57">
        <v>688838</v>
      </c>
      <c r="W24" s="2">
        <v>506891</v>
      </c>
      <c r="Y24" s="2">
        <v>30730305</v>
      </c>
      <c r="Z24" s="2">
        <v>28037402</v>
      </c>
      <c r="AB24" s="2">
        <v>711729</v>
      </c>
    </row>
    <row r="25" spans="1:30" ht="10.9" customHeight="1" x14ac:dyDescent="0.2">
      <c r="A25" s="274" t="s">
        <v>165</v>
      </c>
      <c r="B25" s="2" t="s">
        <v>123</v>
      </c>
      <c r="C25" s="57">
        <v>604879</v>
      </c>
      <c r="D25" s="57">
        <v>485430</v>
      </c>
      <c r="E25" s="57">
        <v>21484</v>
      </c>
      <c r="F25" s="57">
        <v>0</v>
      </c>
      <c r="G25" s="57">
        <v>12820</v>
      </c>
      <c r="H25" s="57">
        <v>31900</v>
      </c>
      <c r="I25" s="57">
        <v>0</v>
      </c>
      <c r="J25" s="57">
        <v>0</v>
      </c>
      <c r="K25" s="57">
        <f t="shared" si="0"/>
        <v>1156513</v>
      </c>
      <c r="L25" s="57">
        <v>19351</v>
      </c>
      <c r="M25" s="57">
        <v>534318</v>
      </c>
      <c r="N25" s="57">
        <v>0</v>
      </c>
      <c r="O25" s="57">
        <v>3423</v>
      </c>
      <c r="P25" s="584">
        <v>3.5000000000000004</v>
      </c>
      <c r="Q25" s="57">
        <v>0</v>
      </c>
      <c r="R25" s="57">
        <v>15885774</v>
      </c>
      <c r="S25" s="57">
        <v>1043625</v>
      </c>
      <c r="T25" s="57">
        <v>3105550</v>
      </c>
      <c r="U25" s="57">
        <v>4788058</v>
      </c>
      <c r="W25" s="2">
        <v>484170</v>
      </c>
      <c r="Y25" s="2">
        <v>103190256</v>
      </c>
      <c r="Z25" s="2">
        <v>96649253</v>
      </c>
      <c r="AB25" s="2">
        <v>2245543</v>
      </c>
    </row>
    <row r="26" spans="1:30" ht="10.9" customHeight="1" x14ac:dyDescent="0.2">
      <c r="A26" s="274" t="s">
        <v>166</v>
      </c>
      <c r="B26" s="2" t="s">
        <v>124</v>
      </c>
      <c r="C26" s="57">
        <v>0</v>
      </c>
      <c r="D26" s="57">
        <v>0</v>
      </c>
      <c r="E26" s="57">
        <v>0</v>
      </c>
      <c r="F26" s="57">
        <v>0</v>
      </c>
      <c r="G26" s="57">
        <v>0</v>
      </c>
      <c r="H26" s="57">
        <v>4050</v>
      </c>
      <c r="I26" s="57">
        <v>0</v>
      </c>
      <c r="J26" s="57">
        <v>0</v>
      </c>
      <c r="K26" s="57">
        <f t="shared" si="0"/>
        <v>4050</v>
      </c>
      <c r="L26" s="57">
        <v>24423</v>
      </c>
      <c r="M26" s="57">
        <v>0</v>
      </c>
      <c r="N26" s="57">
        <v>0</v>
      </c>
      <c r="O26" s="57">
        <v>0</v>
      </c>
      <c r="P26" s="584">
        <v>3.8600000000000003</v>
      </c>
      <c r="Q26" s="57">
        <v>0</v>
      </c>
      <c r="R26" s="57">
        <v>3826330</v>
      </c>
      <c r="S26" s="57">
        <v>314109</v>
      </c>
      <c r="T26" s="57">
        <v>563350</v>
      </c>
      <c r="U26" s="57">
        <v>297933</v>
      </c>
      <c r="W26" s="2">
        <v>350850</v>
      </c>
      <c r="Y26" s="2">
        <v>15710254</v>
      </c>
      <c r="Z26" s="2">
        <v>15019894</v>
      </c>
      <c r="AB26" s="2">
        <v>769803</v>
      </c>
    </row>
    <row r="27" spans="1:30" ht="10.9" customHeight="1" x14ac:dyDescent="0.2">
      <c r="A27" s="274" t="s">
        <v>167</v>
      </c>
      <c r="B27" s="2" t="s">
        <v>125</v>
      </c>
      <c r="C27" s="57">
        <v>6400</v>
      </c>
      <c r="D27" s="57">
        <v>0</v>
      </c>
      <c r="E27" s="57">
        <v>0</v>
      </c>
      <c r="F27" s="57">
        <v>0</v>
      </c>
      <c r="G27" s="57">
        <v>0</v>
      </c>
      <c r="H27" s="57">
        <v>0</v>
      </c>
      <c r="I27" s="57">
        <v>0</v>
      </c>
      <c r="J27" s="57">
        <v>0</v>
      </c>
      <c r="K27" s="57">
        <f t="shared" si="0"/>
        <v>6400</v>
      </c>
      <c r="L27" s="57">
        <v>48773</v>
      </c>
      <c r="M27" s="57">
        <v>0</v>
      </c>
      <c r="N27" s="57">
        <v>0</v>
      </c>
      <c r="O27" s="57">
        <v>0</v>
      </c>
      <c r="P27" s="584">
        <v>5</v>
      </c>
      <c r="Q27" s="57">
        <v>0</v>
      </c>
      <c r="R27" s="57">
        <v>5105844</v>
      </c>
      <c r="S27" s="57">
        <v>320062</v>
      </c>
      <c r="T27" s="57">
        <v>695400</v>
      </c>
      <c r="U27" s="57">
        <v>944511</v>
      </c>
      <c r="W27" s="2">
        <v>184869</v>
      </c>
      <c r="Y27" s="2">
        <v>9786133</v>
      </c>
      <c r="Z27" s="2">
        <v>8700083</v>
      </c>
      <c r="AB27" s="2">
        <v>465111</v>
      </c>
    </row>
    <row r="28" spans="1:30" ht="10.9" customHeight="1" x14ac:dyDescent="0.2">
      <c r="A28" s="274" t="s">
        <v>168</v>
      </c>
      <c r="B28" s="2" t="s">
        <v>126</v>
      </c>
      <c r="C28" s="57">
        <v>119115</v>
      </c>
      <c r="D28" s="57">
        <v>0</v>
      </c>
      <c r="E28" s="57">
        <v>31018</v>
      </c>
      <c r="F28" s="57">
        <v>0</v>
      </c>
      <c r="G28" s="57">
        <v>0</v>
      </c>
      <c r="H28" s="57">
        <v>0</v>
      </c>
      <c r="I28" s="57">
        <v>0</v>
      </c>
      <c r="J28" s="57">
        <v>0</v>
      </c>
      <c r="K28" s="57">
        <f t="shared" si="0"/>
        <v>150133</v>
      </c>
      <c r="L28" s="57">
        <v>29834</v>
      </c>
      <c r="M28" s="57">
        <v>0</v>
      </c>
      <c r="N28" s="57">
        <v>197591</v>
      </c>
      <c r="O28" s="57">
        <v>0</v>
      </c>
      <c r="P28" s="584">
        <v>4.07</v>
      </c>
      <c r="Q28" s="57">
        <v>0</v>
      </c>
      <c r="R28" s="57">
        <v>2322913</v>
      </c>
      <c r="S28" s="57">
        <v>163879</v>
      </c>
      <c r="T28" s="57">
        <v>270750</v>
      </c>
      <c r="U28" s="57">
        <v>162701</v>
      </c>
      <c r="W28" s="2">
        <v>532498</v>
      </c>
      <c r="Y28" s="2">
        <v>9744820</v>
      </c>
      <c r="Z28" s="2">
        <v>8927467</v>
      </c>
      <c r="AB28" s="2">
        <v>390571</v>
      </c>
      <c r="AC28" s="2">
        <v>50000</v>
      </c>
      <c r="AD28" s="2" t="s">
        <v>396</v>
      </c>
    </row>
    <row r="29" spans="1:30" ht="10.9" customHeight="1" x14ac:dyDescent="0.2">
      <c r="A29" s="274" t="s">
        <v>169</v>
      </c>
      <c r="B29" s="2" t="s">
        <v>127</v>
      </c>
      <c r="C29" s="57">
        <v>1889713</v>
      </c>
      <c r="D29" s="57">
        <v>0</v>
      </c>
      <c r="E29" s="57">
        <v>0</v>
      </c>
      <c r="F29" s="57">
        <v>0</v>
      </c>
      <c r="G29" s="57">
        <v>0</v>
      </c>
      <c r="H29" s="57">
        <v>0</v>
      </c>
      <c r="I29" s="57">
        <v>0</v>
      </c>
      <c r="J29" s="57">
        <v>0</v>
      </c>
      <c r="K29" s="57">
        <f t="shared" si="0"/>
        <v>1889713</v>
      </c>
      <c r="L29" s="57">
        <v>127711</v>
      </c>
      <c r="M29" s="57">
        <v>778012</v>
      </c>
      <c r="N29" s="57">
        <v>0</v>
      </c>
      <c r="O29" s="57">
        <v>0</v>
      </c>
      <c r="P29" s="584">
        <v>3.5000000000000004</v>
      </c>
      <c r="Q29" s="57">
        <v>0</v>
      </c>
      <c r="R29" s="57">
        <v>13002959</v>
      </c>
      <c r="S29" s="57">
        <v>940883</v>
      </c>
      <c r="T29" s="57">
        <v>2798700</v>
      </c>
      <c r="U29" s="57">
        <v>3110336</v>
      </c>
      <c r="W29" s="2">
        <v>609410</v>
      </c>
      <c r="Y29" s="2">
        <v>99149827</v>
      </c>
      <c r="Z29" s="2">
        <v>94290138</v>
      </c>
      <c r="AB29" s="2">
        <v>1732925</v>
      </c>
    </row>
    <row r="30" spans="1:30" ht="10.9" customHeight="1" x14ac:dyDescent="0.2">
      <c r="A30" s="274" t="s">
        <v>170</v>
      </c>
      <c r="B30" s="2" t="s">
        <v>128</v>
      </c>
      <c r="C30" s="57">
        <v>41393</v>
      </c>
      <c r="D30" s="57">
        <v>0</v>
      </c>
      <c r="E30" s="57">
        <v>0</v>
      </c>
      <c r="F30" s="57">
        <v>0</v>
      </c>
      <c r="G30" s="57">
        <v>0</v>
      </c>
      <c r="H30" s="57">
        <v>0</v>
      </c>
      <c r="I30" s="57">
        <v>0</v>
      </c>
      <c r="J30" s="57">
        <v>0</v>
      </c>
      <c r="K30" s="57">
        <f t="shared" si="0"/>
        <v>41393</v>
      </c>
      <c r="L30" s="57">
        <v>25177</v>
      </c>
      <c r="M30" s="57">
        <v>0</v>
      </c>
      <c r="N30" s="57">
        <v>0</v>
      </c>
      <c r="O30" s="57">
        <v>0</v>
      </c>
      <c r="P30" s="584">
        <v>4.25</v>
      </c>
      <c r="Q30" s="57">
        <v>0</v>
      </c>
      <c r="R30" s="57">
        <v>1723703</v>
      </c>
      <c r="S30" s="57">
        <v>107321</v>
      </c>
      <c r="T30" s="57">
        <v>210900</v>
      </c>
      <c r="U30" s="57">
        <v>253560</v>
      </c>
      <c r="W30" s="2">
        <v>450654</v>
      </c>
      <c r="Y30" s="2">
        <v>6816416</v>
      </c>
      <c r="Z30" s="2">
        <v>6484201</v>
      </c>
      <c r="AB30" s="2">
        <v>209725</v>
      </c>
    </row>
    <row r="31" spans="1:30" ht="10.9" customHeight="1" x14ac:dyDescent="0.2">
      <c r="A31" s="274" t="s">
        <v>171</v>
      </c>
      <c r="B31" s="2" t="s">
        <v>129</v>
      </c>
      <c r="C31" s="57">
        <v>42250</v>
      </c>
      <c r="D31" s="57">
        <v>0</v>
      </c>
      <c r="E31" s="57">
        <v>0</v>
      </c>
      <c r="F31" s="57">
        <v>0</v>
      </c>
      <c r="G31" s="57">
        <v>0</v>
      </c>
      <c r="H31" s="57">
        <v>0</v>
      </c>
      <c r="I31" s="57">
        <v>0</v>
      </c>
      <c r="J31" s="57">
        <v>0</v>
      </c>
      <c r="K31" s="57">
        <f t="shared" si="0"/>
        <v>42250</v>
      </c>
      <c r="L31" s="57">
        <v>41589</v>
      </c>
      <c r="M31" s="57">
        <v>0</v>
      </c>
      <c r="N31" s="57">
        <v>0</v>
      </c>
      <c r="O31" s="57">
        <v>0</v>
      </c>
      <c r="P31" s="584">
        <v>3.83</v>
      </c>
      <c r="Q31" s="57">
        <v>0</v>
      </c>
      <c r="R31" s="57">
        <v>3748942</v>
      </c>
      <c r="S31" s="57">
        <v>307791</v>
      </c>
      <c r="T31" s="57">
        <v>870200</v>
      </c>
      <c r="U31" s="57">
        <v>650804</v>
      </c>
      <c r="W31" s="2">
        <v>401369</v>
      </c>
      <c r="Y31" s="2">
        <v>17081265</v>
      </c>
      <c r="Z31" s="2">
        <v>16558229</v>
      </c>
      <c r="AB31" s="2">
        <v>606504</v>
      </c>
    </row>
    <row r="32" spans="1:30" ht="10.9" customHeight="1" x14ac:dyDescent="0.2">
      <c r="A32" s="274" t="s">
        <v>172</v>
      </c>
      <c r="B32" s="2" t="s">
        <v>130</v>
      </c>
      <c r="C32" s="57">
        <v>252748</v>
      </c>
      <c r="D32" s="57">
        <v>0</v>
      </c>
      <c r="E32" s="57">
        <v>744</v>
      </c>
      <c r="F32" s="57">
        <v>0</v>
      </c>
      <c r="G32" s="57">
        <v>0</v>
      </c>
      <c r="H32" s="57">
        <v>4740</v>
      </c>
      <c r="I32" s="57">
        <v>0</v>
      </c>
      <c r="J32" s="57">
        <v>0</v>
      </c>
      <c r="K32" s="57">
        <f t="shared" si="0"/>
        <v>258232</v>
      </c>
      <c r="L32" s="57">
        <v>35347</v>
      </c>
      <c r="M32" s="57">
        <v>0</v>
      </c>
      <c r="N32" s="57">
        <v>0</v>
      </c>
      <c r="O32" s="57">
        <v>0</v>
      </c>
      <c r="P32" s="584">
        <v>4.03</v>
      </c>
      <c r="Q32" s="57">
        <v>0</v>
      </c>
      <c r="R32" s="57">
        <v>3037102</v>
      </c>
      <c r="S32" s="57">
        <v>223893</v>
      </c>
      <c r="T32" s="57">
        <v>326800</v>
      </c>
      <c r="U32" s="57">
        <v>300046</v>
      </c>
      <c r="W32" s="2">
        <v>574923</v>
      </c>
      <c r="Y32" s="2">
        <v>16337101</v>
      </c>
      <c r="Z32" s="2">
        <v>15183992</v>
      </c>
      <c r="AB32" s="2">
        <v>383886</v>
      </c>
    </row>
    <row r="33" spans="1:28" ht="10.9" customHeight="1" x14ac:dyDescent="0.2">
      <c r="A33" s="274" t="s">
        <v>173</v>
      </c>
      <c r="B33" s="2" t="s">
        <v>131</v>
      </c>
      <c r="C33" s="57">
        <v>86145</v>
      </c>
      <c r="D33" s="57">
        <v>0</v>
      </c>
      <c r="E33" s="57">
        <v>0</v>
      </c>
      <c r="F33" s="57">
        <v>0</v>
      </c>
      <c r="G33" s="57">
        <v>0</v>
      </c>
      <c r="H33" s="57">
        <v>7780</v>
      </c>
      <c r="I33" s="57">
        <v>0</v>
      </c>
      <c r="J33" s="57">
        <v>0</v>
      </c>
      <c r="K33" s="57">
        <f t="shared" si="0"/>
        <v>93925</v>
      </c>
      <c r="L33" s="57">
        <v>40787</v>
      </c>
      <c r="M33" s="57">
        <v>0</v>
      </c>
      <c r="N33" s="57">
        <v>0</v>
      </c>
      <c r="O33" s="57">
        <v>0</v>
      </c>
      <c r="P33" s="584">
        <v>4.0599999999999996</v>
      </c>
      <c r="Q33" s="57">
        <v>0</v>
      </c>
      <c r="R33" s="57">
        <v>3084060</v>
      </c>
      <c r="S33" s="57">
        <v>216065</v>
      </c>
      <c r="T33" s="57">
        <v>304000</v>
      </c>
      <c r="U33" s="57">
        <v>338080</v>
      </c>
      <c r="W33" s="2">
        <v>582797</v>
      </c>
      <c r="Y33" s="2">
        <v>14579212</v>
      </c>
      <c r="Z33" s="2">
        <v>13685227</v>
      </c>
      <c r="AB33" s="2">
        <v>491955</v>
      </c>
    </row>
    <row r="34" spans="1:28" ht="10.9" customHeight="1" x14ac:dyDescent="0.2">
      <c r="A34" s="274" t="s">
        <v>174</v>
      </c>
      <c r="B34" s="2" t="s">
        <v>132</v>
      </c>
      <c r="C34" s="57">
        <v>423241</v>
      </c>
      <c r="D34" s="57">
        <v>8296</v>
      </c>
      <c r="E34" s="57">
        <v>0</v>
      </c>
      <c r="F34" s="57">
        <v>0</v>
      </c>
      <c r="G34" s="57">
        <v>0</v>
      </c>
      <c r="H34" s="57">
        <v>7595</v>
      </c>
      <c r="I34" s="57">
        <v>0</v>
      </c>
      <c r="J34" s="57">
        <v>0</v>
      </c>
      <c r="K34" s="57">
        <f t="shared" si="0"/>
        <v>439132</v>
      </c>
      <c r="L34" s="57">
        <v>38086</v>
      </c>
      <c r="M34" s="57">
        <v>0</v>
      </c>
      <c r="N34" s="57">
        <v>0</v>
      </c>
      <c r="O34" s="57">
        <v>0</v>
      </c>
      <c r="P34" s="584">
        <v>4.0599999999999996</v>
      </c>
      <c r="Q34" s="57">
        <v>0</v>
      </c>
      <c r="R34" s="57">
        <v>3591807</v>
      </c>
      <c r="S34" s="57">
        <v>205816</v>
      </c>
      <c r="T34" s="57">
        <v>555750</v>
      </c>
      <c r="U34" s="57">
        <v>511346</v>
      </c>
      <c r="W34" s="2">
        <v>610264</v>
      </c>
      <c r="Y34" s="2">
        <v>18415181</v>
      </c>
      <c r="Z34" s="2">
        <v>17545305</v>
      </c>
      <c r="AB34" s="2">
        <v>359048</v>
      </c>
    </row>
    <row r="35" spans="1:28" ht="10.9" customHeight="1" x14ac:dyDescent="0.2">
      <c r="A35" s="274" t="s">
        <v>175</v>
      </c>
      <c r="B35" s="2" t="s">
        <v>133</v>
      </c>
      <c r="C35" s="57">
        <v>565896</v>
      </c>
      <c r="D35" s="57">
        <v>0</v>
      </c>
      <c r="E35" s="57">
        <v>0</v>
      </c>
      <c r="F35" s="57">
        <v>0</v>
      </c>
      <c r="G35" s="57">
        <v>0</v>
      </c>
      <c r="H35" s="57">
        <v>35500</v>
      </c>
      <c r="I35" s="57">
        <v>0</v>
      </c>
      <c r="J35" s="57">
        <v>0</v>
      </c>
      <c r="K35" s="57">
        <f t="shared" si="0"/>
        <v>601396</v>
      </c>
      <c r="L35" s="57">
        <v>125833</v>
      </c>
      <c r="M35" s="57">
        <v>359194</v>
      </c>
      <c r="N35" s="57">
        <v>0</v>
      </c>
      <c r="O35" s="57">
        <v>0</v>
      </c>
      <c r="P35" s="584">
        <v>3.5000000000000004</v>
      </c>
      <c r="Q35" s="57">
        <v>0</v>
      </c>
      <c r="R35" s="57">
        <v>16749945</v>
      </c>
      <c r="S35" s="57">
        <v>1148385</v>
      </c>
      <c r="T35" s="57">
        <v>4062200</v>
      </c>
      <c r="U35" s="57">
        <v>4348554</v>
      </c>
      <c r="W35" s="2">
        <v>425693</v>
      </c>
      <c r="Y35" s="2">
        <v>85770519</v>
      </c>
      <c r="Z35" s="2">
        <v>84279996</v>
      </c>
      <c r="AB35" s="2">
        <v>2440701</v>
      </c>
    </row>
    <row r="36" spans="1:28" ht="10.9" customHeight="1" x14ac:dyDescent="0.2">
      <c r="A36" s="274" t="s">
        <v>176</v>
      </c>
      <c r="B36" s="2" t="s">
        <v>134</v>
      </c>
      <c r="C36" s="57">
        <v>336575</v>
      </c>
      <c r="D36" s="57">
        <v>0</v>
      </c>
      <c r="E36" s="57">
        <v>0</v>
      </c>
      <c r="F36" s="57">
        <v>0</v>
      </c>
      <c r="G36" s="57">
        <v>0</v>
      </c>
      <c r="H36" s="57">
        <v>1250</v>
      </c>
      <c r="I36" s="57">
        <v>0</v>
      </c>
      <c r="J36" s="57">
        <v>0</v>
      </c>
      <c r="K36" s="57">
        <f t="shared" si="0"/>
        <v>337825</v>
      </c>
      <c r="L36" s="57">
        <v>35401</v>
      </c>
      <c r="M36" s="57">
        <v>0</v>
      </c>
      <c r="N36" s="57">
        <v>0</v>
      </c>
      <c r="O36" s="57">
        <v>0</v>
      </c>
      <c r="P36" s="584">
        <v>4.12</v>
      </c>
      <c r="Q36" s="57">
        <v>0</v>
      </c>
      <c r="R36" s="57">
        <v>1956016</v>
      </c>
      <c r="S36" s="57">
        <v>162961</v>
      </c>
      <c r="T36" s="57">
        <v>294500</v>
      </c>
      <c r="U36" s="57">
        <v>126780</v>
      </c>
      <c r="W36" s="2">
        <v>597054</v>
      </c>
      <c r="Y36" s="2">
        <v>11304018</v>
      </c>
      <c r="Z36" s="2">
        <v>10540127</v>
      </c>
      <c r="AB36" s="2">
        <v>321899</v>
      </c>
    </row>
    <row r="37" spans="1:28" ht="10.9" customHeight="1" x14ac:dyDescent="0.2">
      <c r="A37" s="274" t="s">
        <v>177</v>
      </c>
      <c r="B37" s="2" t="s">
        <v>135</v>
      </c>
      <c r="C37" s="57">
        <v>402299</v>
      </c>
      <c r="D37" s="57">
        <v>125314</v>
      </c>
      <c r="E37" s="57">
        <v>0</v>
      </c>
      <c r="F37" s="57">
        <v>0</v>
      </c>
      <c r="G37" s="57">
        <v>0</v>
      </c>
      <c r="H37" s="57">
        <v>31240</v>
      </c>
      <c r="I37" s="57">
        <v>0</v>
      </c>
      <c r="J37" s="57">
        <v>0</v>
      </c>
      <c r="K37" s="57">
        <f t="shared" si="0"/>
        <v>558853</v>
      </c>
      <c r="L37" s="57">
        <v>48948</v>
      </c>
      <c r="M37" s="57">
        <v>0</v>
      </c>
      <c r="N37" s="57">
        <v>0</v>
      </c>
      <c r="O37" s="57">
        <v>0</v>
      </c>
      <c r="P37" s="584">
        <v>3.65</v>
      </c>
      <c r="Q37" s="57">
        <v>0</v>
      </c>
      <c r="R37" s="57">
        <v>5956954</v>
      </c>
      <c r="S37" s="57">
        <v>397913</v>
      </c>
      <c r="T37" s="57">
        <v>1183700</v>
      </c>
      <c r="U37" s="57">
        <v>847313</v>
      </c>
      <c r="W37" s="2">
        <v>313398</v>
      </c>
      <c r="Y37" s="2">
        <v>26323285</v>
      </c>
      <c r="Z37" s="2">
        <v>23744191</v>
      </c>
      <c r="AB37" s="2">
        <v>584155</v>
      </c>
    </row>
    <row r="38" spans="1:28" ht="10.9" customHeight="1" x14ac:dyDescent="0.2">
      <c r="A38" s="274" t="s">
        <v>178</v>
      </c>
      <c r="B38" s="2" t="s">
        <v>136</v>
      </c>
      <c r="C38" s="57">
        <v>837143</v>
      </c>
      <c r="D38" s="57">
        <v>214727</v>
      </c>
      <c r="E38" s="57">
        <v>25086</v>
      </c>
      <c r="F38" s="57">
        <v>60005</v>
      </c>
      <c r="G38" s="57">
        <v>-85091</v>
      </c>
      <c r="H38" s="57">
        <v>118104</v>
      </c>
      <c r="I38" s="57">
        <v>0</v>
      </c>
      <c r="J38" s="57">
        <v>0</v>
      </c>
      <c r="K38" s="57">
        <f t="shared" si="0"/>
        <v>1169974</v>
      </c>
      <c r="L38" s="57">
        <v>98013</v>
      </c>
      <c r="M38" s="57">
        <v>0</v>
      </c>
      <c r="N38" s="57">
        <v>0</v>
      </c>
      <c r="O38" s="57">
        <v>0</v>
      </c>
      <c r="P38" s="584">
        <v>3.5000000000000004</v>
      </c>
      <c r="Q38" s="57">
        <v>0</v>
      </c>
      <c r="R38" s="57">
        <v>11140489</v>
      </c>
      <c r="S38" s="57">
        <v>802073</v>
      </c>
      <c r="T38" s="57">
        <v>2265750</v>
      </c>
      <c r="U38" s="57">
        <v>3296280</v>
      </c>
      <c r="W38" s="2">
        <v>323900</v>
      </c>
      <c r="Y38" s="2">
        <v>56412269</v>
      </c>
      <c r="Z38" s="2">
        <v>51048435</v>
      </c>
      <c r="AB38" s="2">
        <v>1376252</v>
      </c>
    </row>
    <row r="39" spans="1:28" ht="10.9" customHeight="1" x14ac:dyDescent="0.2">
      <c r="A39" s="274" t="s">
        <v>179</v>
      </c>
      <c r="B39" s="2" t="s">
        <v>137</v>
      </c>
      <c r="C39" s="57">
        <v>244311</v>
      </c>
      <c r="D39" s="57">
        <v>0</v>
      </c>
      <c r="E39" s="57">
        <v>0</v>
      </c>
      <c r="F39" s="57">
        <v>0</v>
      </c>
      <c r="G39" s="57">
        <v>0</v>
      </c>
      <c r="H39" s="57">
        <v>0</v>
      </c>
      <c r="I39" s="57">
        <v>0</v>
      </c>
      <c r="J39" s="57">
        <v>0</v>
      </c>
      <c r="K39" s="57">
        <f t="shared" si="0"/>
        <v>244311</v>
      </c>
      <c r="L39" s="57">
        <v>33473</v>
      </c>
      <c r="M39" s="57">
        <v>0</v>
      </c>
      <c r="N39" s="57">
        <v>0</v>
      </c>
      <c r="O39" s="57">
        <v>0</v>
      </c>
      <c r="P39" s="584">
        <v>4.16</v>
      </c>
      <c r="Q39" s="57">
        <v>0</v>
      </c>
      <c r="R39" s="57">
        <v>2070984</v>
      </c>
      <c r="S39" s="57">
        <v>166579</v>
      </c>
      <c r="T39" s="57">
        <v>217550</v>
      </c>
      <c r="U39" s="57">
        <v>158475</v>
      </c>
      <c r="W39" s="2">
        <v>794896</v>
      </c>
      <c r="Y39" s="2">
        <v>13038030</v>
      </c>
      <c r="Z39" s="2">
        <v>12279574</v>
      </c>
      <c r="AB39" s="2">
        <v>314353</v>
      </c>
    </row>
    <row r="40" spans="1:28" ht="10.9" customHeight="1" x14ac:dyDescent="0.2">
      <c r="A40" s="274" t="s">
        <v>180</v>
      </c>
      <c r="B40" s="2" t="s">
        <v>138</v>
      </c>
      <c r="C40" s="57">
        <v>417233</v>
      </c>
      <c r="D40" s="57">
        <v>0</v>
      </c>
      <c r="E40" s="57">
        <v>0</v>
      </c>
      <c r="F40" s="57">
        <v>4445</v>
      </c>
      <c r="G40" s="57">
        <v>0</v>
      </c>
      <c r="H40" s="57">
        <v>0</v>
      </c>
      <c r="I40" s="57">
        <v>0</v>
      </c>
      <c r="J40" s="57">
        <v>0</v>
      </c>
      <c r="K40" s="57">
        <f t="shared" si="0"/>
        <v>421678</v>
      </c>
      <c r="L40" s="57">
        <v>81261</v>
      </c>
      <c r="M40" s="57">
        <v>313020</v>
      </c>
      <c r="N40" s="57">
        <v>0</v>
      </c>
      <c r="O40" s="57">
        <v>0</v>
      </c>
      <c r="P40" s="584">
        <v>3.5000000000000004</v>
      </c>
      <c r="Q40" s="57">
        <v>0</v>
      </c>
      <c r="R40" s="57">
        <v>8819275</v>
      </c>
      <c r="S40" s="57">
        <v>587018</v>
      </c>
      <c r="T40" s="57">
        <v>2480450</v>
      </c>
      <c r="U40" s="57">
        <v>1933395</v>
      </c>
      <c r="W40" s="2">
        <v>589299</v>
      </c>
      <c r="Y40" s="2">
        <v>59353992</v>
      </c>
      <c r="Z40" s="2">
        <v>55873469</v>
      </c>
      <c r="AB40" s="2">
        <v>1422905</v>
      </c>
    </row>
    <row r="41" spans="1:28" ht="10.9" customHeight="1" x14ac:dyDescent="0.2">
      <c r="A41" s="274" t="s">
        <v>181</v>
      </c>
      <c r="B41" s="2" t="s">
        <v>139</v>
      </c>
      <c r="C41" s="57">
        <v>500407</v>
      </c>
      <c r="D41" s="57">
        <v>267312</v>
      </c>
      <c r="E41" s="57">
        <v>20000</v>
      </c>
      <c r="F41" s="57">
        <v>0</v>
      </c>
      <c r="G41" s="57">
        <v>-17902</v>
      </c>
      <c r="H41" s="57">
        <v>7176</v>
      </c>
      <c r="I41" s="57">
        <v>0</v>
      </c>
      <c r="J41" s="57">
        <v>0</v>
      </c>
      <c r="K41" s="57">
        <f t="shared" si="0"/>
        <v>776993</v>
      </c>
      <c r="L41" s="57">
        <v>54713</v>
      </c>
      <c r="M41" s="57">
        <v>0</v>
      </c>
      <c r="N41" s="57">
        <v>0</v>
      </c>
      <c r="O41" s="57">
        <v>0</v>
      </c>
      <c r="P41" s="584">
        <v>3.5999999999999996</v>
      </c>
      <c r="Q41" s="57">
        <v>0</v>
      </c>
      <c r="R41" s="57">
        <v>6940658</v>
      </c>
      <c r="S41" s="57">
        <v>458504</v>
      </c>
      <c r="T41" s="57">
        <v>946200</v>
      </c>
      <c r="U41" s="57">
        <v>1229766</v>
      </c>
      <c r="W41" s="2">
        <v>540810</v>
      </c>
      <c r="Y41" s="2">
        <v>36642663</v>
      </c>
      <c r="Z41" s="2">
        <v>33662966</v>
      </c>
      <c r="AB41" s="2">
        <v>727718</v>
      </c>
    </row>
    <row r="42" spans="1:28" ht="10.9" customHeight="1" x14ac:dyDescent="0.2">
      <c r="A42" s="274" t="s">
        <v>182</v>
      </c>
      <c r="B42" s="2" t="s">
        <v>140</v>
      </c>
      <c r="C42" s="57">
        <v>60000</v>
      </c>
      <c r="D42" s="57">
        <v>0</v>
      </c>
      <c r="E42" s="57">
        <v>0</v>
      </c>
      <c r="F42" s="57">
        <v>0</v>
      </c>
      <c r="G42" s="57">
        <v>0</v>
      </c>
      <c r="H42" s="57">
        <v>0</v>
      </c>
      <c r="I42" s="57">
        <v>0</v>
      </c>
      <c r="J42" s="57">
        <v>0</v>
      </c>
      <c r="K42" s="57">
        <f t="shared" si="0"/>
        <v>60000</v>
      </c>
      <c r="L42" s="57">
        <v>32344</v>
      </c>
      <c r="M42" s="57">
        <v>0</v>
      </c>
      <c r="N42" s="57">
        <v>0</v>
      </c>
      <c r="O42" s="57">
        <v>0</v>
      </c>
      <c r="P42" s="584">
        <v>4.18</v>
      </c>
      <c r="Q42" s="57">
        <v>0</v>
      </c>
      <c r="R42" s="57">
        <v>2361764</v>
      </c>
      <c r="S42" s="57">
        <v>144418</v>
      </c>
      <c r="T42" s="57">
        <v>356250</v>
      </c>
      <c r="U42" s="57">
        <v>221865</v>
      </c>
      <c r="W42" s="2">
        <v>389698</v>
      </c>
      <c r="Y42" s="2">
        <v>8185634</v>
      </c>
      <c r="Z42" s="2">
        <v>7129137</v>
      </c>
      <c r="AB42" s="2">
        <v>329747</v>
      </c>
    </row>
    <row r="43" spans="1:28" ht="10.9" customHeight="1" x14ac:dyDescent="0.2">
      <c r="A43" s="274" t="s">
        <v>183</v>
      </c>
      <c r="B43" s="2" t="s">
        <v>141</v>
      </c>
      <c r="C43" s="57">
        <v>29250</v>
      </c>
      <c r="D43" s="57">
        <v>0</v>
      </c>
      <c r="E43" s="57">
        <v>0</v>
      </c>
      <c r="F43" s="57">
        <v>0</v>
      </c>
      <c r="G43" s="57">
        <v>0</v>
      </c>
      <c r="H43" s="57">
        <v>0</v>
      </c>
      <c r="I43" s="57">
        <v>0</v>
      </c>
      <c r="J43" s="57">
        <v>0</v>
      </c>
      <c r="K43" s="57">
        <f>SUM(C43:I43)-J43</f>
        <v>29250</v>
      </c>
      <c r="L43" s="57">
        <v>22266</v>
      </c>
      <c r="M43" s="57">
        <v>0</v>
      </c>
      <c r="N43" s="57">
        <v>0</v>
      </c>
      <c r="O43" s="57">
        <v>0</v>
      </c>
      <c r="P43" s="584">
        <v>4.25</v>
      </c>
      <c r="Q43" s="57">
        <v>0</v>
      </c>
      <c r="R43" s="57">
        <v>1315969</v>
      </c>
      <c r="S43" s="57">
        <v>102190</v>
      </c>
      <c r="T43" s="57">
        <v>210900</v>
      </c>
      <c r="U43" s="57">
        <v>63390</v>
      </c>
      <c r="W43" s="2">
        <v>604941</v>
      </c>
      <c r="Y43" s="2">
        <v>6653776</v>
      </c>
      <c r="Z43" s="2">
        <v>6653776</v>
      </c>
      <c r="AB43" s="2">
        <v>182598</v>
      </c>
    </row>
    <row r="44" spans="1:28" ht="10.9" customHeight="1" x14ac:dyDescent="0.2">
      <c r="A44" s="274" t="s">
        <v>184</v>
      </c>
      <c r="B44" s="2" t="s">
        <v>142</v>
      </c>
      <c r="C44" s="57">
        <v>177594</v>
      </c>
      <c r="D44" s="57">
        <v>0</v>
      </c>
      <c r="E44" s="57">
        <v>0</v>
      </c>
      <c r="F44" s="57">
        <v>0</v>
      </c>
      <c r="G44" s="57">
        <v>0</v>
      </c>
      <c r="H44" s="57">
        <v>0</v>
      </c>
      <c r="I44" s="57">
        <v>0</v>
      </c>
      <c r="J44" s="57">
        <v>0</v>
      </c>
      <c r="K44" s="57">
        <f>SUM(C44:I44)-J44</f>
        <v>177594</v>
      </c>
      <c r="L44" s="57">
        <v>19499</v>
      </c>
      <c r="M44" s="57">
        <v>0</v>
      </c>
      <c r="N44" s="57">
        <v>0</v>
      </c>
      <c r="O44" s="57">
        <v>0</v>
      </c>
      <c r="P44" s="584">
        <v>4.25</v>
      </c>
      <c r="Q44" s="57">
        <v>0</v>
      </c>
      <c r="R44" s="57">
        <v>1541385</v>
      </c>
      <c r="S44" s="57">
        <v>74229</v>
      </c>
      <c r="T44" s="57">
        <v>262200</v>
      </c>
      <c r="U44" s="57">
        <v>84520</v>
      </c>
      <c r="W44" s="2">
        <v>262413</v>
      </c>
      <c r="Y44" s="2">
        <v>3692258</v>
      </c>
      <c r="Z44" s="2">
        <v>3223339</v>
      </c>
      <c r="AB44" s="2">
        <v>180707</v>
      </c>
    </row>
    <row r="45" spans="1:28" ht="10.9" customHeight="1" x14ac:dyDescent="0.2">
      <c r="A45" s="274" t="s">
        <v>185</v>
      </c>
      <c r="B45" s="2" t="s">
        <v>143</v>
      </c>
      <c r="C45" s="57">
        <v>245326</v>
      </c>
      <c r="D45" s="57">
        <v>0</v>
      </c>
      <c r="E45" s="57">
        <v>7000</v>
      </c>
      <c r="F45" s="57">
        <v>0</v>
      </c>
      <c r="G45" s="57">
        <v>-7000</v>
      </c>
      <c r="H45" s="57">
        <v>0</v>
      </c>
      <c r="I45" s="57">
        <v>0</v>
      </c>
      <c r="J45" s="57">
        <v>0</v>
      </c>
      <c r="K45" s="57">
        <f>SUM(C45:I45)-J45</f>
        <v>245326</v>
      </c>
      <c r="L45" s="57">
        <v>25913</v>
      </c>
      <c r="M45" s="57">
        <v>0</v>
      </c>
      <c r="N45" s="57">
        <v>0</v>
      </c>
      <c r="O45" s="57">
        <v>0</v>
      </c>
      <c r="P45" s="584">
        <v>4.12</v>
      </c>
      <c r="Q45" s="57">
        <v>0</v>
      </c>
      <c r="R45" s="57">
        <v>1648044</v>
      </c>
      <c r="S45" s="57">
        <v>147268</v>
      </c>
      <c r="T45" s="57">
        <v>299250</v>
      </c>
      <c r="U45" s="57">
        <v>169040</v>
      </c>
      <c r="W45" s="2">
        <v>326648</v>
      </c>
      <c r="Y45" s="2">
        <v>8337773</v>
      </c>
      <c r="Z45" s="2">
        <v>8337773</v>
      </c>
      <c r="AB45" s="2">
        <v>213061</v>
      </c>
    </row>
    <row r="46" spans="1:28" ht="10.9" customHeight="1" x14ac:dyDescent="0.2">
      <c r="A46" s="274" t="s">
        <v>186</v>
      </c>
      <c r="B46" s="2" t="s">
        <v>144</v>
      </c>
      <c r="C46" s="57">
        <v>1827440</v>
      </c>
      <c r="D46" s="57">
        <v>437896</v>
      </c>
      <c r="E46" s="57">
        <v>0</v>
      </c>
      <c r="F46" s="57">
        <v>0</v>
      </c>
      <c r="G46" s="57">
        <v>7228</v>
      </c>
      <c r="H46" s="57">
        <v>105401</v>
      </c>
      <c r="I46" s="57">
        <v>2118</v>
      </c>
      <c r="J46" s="57">
        <v>0</v>
      </c>
      <c r="K46" s="57">
        <f>SUM(C46:I46)-J46</f>
        <v>2380083</v>
      </c>
      <c r="L46" s="57">
        <v>0</v>
      </c>
      <c r="M46" s="57">
        <v>192726</v>
      </c>
      <c r="N46" s="57">
        <v>0</v>
      </c>
      <c r="O46" s="57">
        <v>4982</v>
      </c>
      <c r="P46" s="584">
        <v>3.5000000000000004</v>
      </c>
      <c r="Q46" s="57">
        <v>0</v>
      </c>
      <c r="R46" s="57">
        <v>29247798</v>
      </c>
      <c r="S46" s="57">
        <v>2218958</v>
      </c>
      <c r="T46" s="57">
        <v>7412850</v>
      </c>
      <c r="U46" s="57">
        <v>7019386</v>
      </c>
      <c r="W46" s="2">
        <v>417464</v>
      </c>
      <c r="Y46" s="2">
        <v>181381006</v>
      </c>
      <c r="Z46" s="2">
        <v>171800610</v>
      </c>
      <c r="AB46" s="2">
        <v>5038652</v>
      </c>
    </row>
    <row r="47" spans="1:28" ht="3.95" customHeight="1" x14ac:dyDescent="0.2">
      <c r="A47" s="274"/>
      <c r="P47" s="501"/>
      <c r="AB47"/>
    </row>
    <row r="48" spans="1:28" x14ac:dyDescent="0.2">
      <c r="A48" s="274"/>
      <c r="B48" s="2" t="s">
        <v>145</v>
      </c>
      <c r="C48" s="2">
        <f t="shared" ref="C48" si="1">SUM(C11:C46)</f>
        <v>16044348</v>
      </c>
      <c r="D48" s="2">
        <f t="shared" ref="D48:E48" si="2">SUM(D11:D46)</f>
        <v>1630998</v>
      </c>
      <c r="E48" s="2">
        <f t="shared" si="2"/>
        <v>1624456</v>
      </c>
      <c r="F48" s="2">
        <f t="shared" ref="F48" si="3">SUM(F11:F46)</f>
        <v>91450</v>
      </c>
      <c r="G48" s="2">
        <f t="shared" ref="G48" si="4">SUM(G11:G46)</f>
        <v>27951</v>
      </c>
      <c r="H48" s="2">
        <f t="shared" ref="H48" si="5">SUM(H11:H46)</f>
        <v>463446</v>
      </c>
      <c r="I48" s="2">
        <f t="shared" ref="I48" si="6">SUM(I11:I46)</f>
        <v>154042</v>
      </c>
      <c r="J48" s="2">
        <f t="shared" ref="J48" si="7">SUM(J11:J46)</f>
        <v>0</v>
      </c>
      <c r="K48" s="2">
        <f t="shared" ref="K48:M48" si="8">SUM(K11:K46)</f>
        <v>20036691</v>
      </c>
      <c r="L48" s="2">
        <f t="shared" si="8"/>
        <v>1489527</v>
      </c>
      <c r="M48" s="2">
        <f t="shared" si="8"/>
        <v>2177270</v>
      </c>
      <c r="N48" s="2">
        <f>SUM(N11:N46)</f>
        <v>197591</v>
      </c>
      <c r="O48" s="2">
        <f>SUM(O11:O46)</f>
        <v>9242</v>
      </c>
      <c r="P48" s="501">
        <f>SUM(P11:P46)</f>
        <v>142.47</v>
      </c>
      <c r="Q48" s="2">
        <f t="shared" ref="Q48:R48" si="9">SUM(Q11:Q46)</f>
        <v>0</v>
      </c>
      <c r="R48" s="2">
        <f t="shared" si="9"/>
        <v>205152235</v>
      </c>
      <c r="S48" s="2">
        <f t="shared" ref="S48:U48" si="10">SUM(S11:S46)</f>
        <v>14262898</v>
      </c>
      <c r="T48" s="2">
        <f t="shared" si="10"/>
        <v>38726750</v>
      </c>
      <c r="U48" s="2">
        <f t="shared" si="10"/>
        <v>38061469</v>
      </c>
      <c r="W48" s="2">
        <v>435010.95248891297</v>
      </c>
      <c r="Y48" s="2">
        <v>1017907223</v>
      </c>
      <c r="Z48" s="2">
        <v>956488896</v>
      </c>
      <c r="AB48" s="2">
        <f>SUM(AB11:AB46)</f>
        <v>29097333.5</v>
      </c>
    </row>
    <row r="49" spans="1:28" ht="3.95" customHeight="1" x14ac:dyDescent="0.2">
      <c r="A49" s="274"/>
      <c r="B49" s="2" t="s">
        <v>7</v>
      </c>
      <c r="P49" s="501"/>
    </row>
    <row r="50" spans="1:28" ht="10.9" customHeight="1" x14ac:dyDescent="0.2">
      <c r="A50" s="274" t="s">
        <v>188</v>
      </c>
      <c r="B50" s="2" t="s">
        <v>146</v>
      </c>
      <c r="C50" s="57">
        <v>0</v>
      </c>
      <c r="D50" s="57">
        <v>0</v>
      </c>
      <c r="E50" s="57">
        <v>0</v>
      </c>
      <c r="F50" s="57">
        <v>0</v>
      </c>
      <c r="G50" s="57">
        <v>0</v>
      </c>
      <c r="H50" s="57">
        <v>0</v>
      </c>
      <c r="I50" s="57">
        <v>0</v>
      </c>
      <c r="J50" s="57">
        <v>0</v>
      </c>
      <c r="K50" s="57">
        <f>SUM(C50:I50)-J50</f>
        <v>0</v>
      </c>
      <c r="L50" s="57">
        <v>0</v>
      </c>
      <c r="M50" s="57">
        <v>0</v>
      </c>
      <c r="N50" s="57">
        <v>0</v>
      </c>
      <c r="O50" s="57">
        <v>0</v>
      </c>
      <c r="P50" s="584">
        <v>4.25</v>
      </c>
      <c r="Q50" s="57">
        <v>0</v>
      </c>
      <c r="R50" s="57">
        <v>140075</v>
      </c>
      <c r="S50" s="57">
        <v>16900</v>
      </c>
      <c r="T50" s="57">
        <v>19000</v>
      </c>
      <c r="U50" s="57">
        <v>48599</v>
      </c>
      <c r="AB50" s="416">
        <v>73056</v>
      </c>
    </row>
    <row r="51" spans="1:28" x14ac:dyDescent="0.2">
      <c r="A51" s="274" t="s">
        <v>187</v>
      </c>
      <c r="B51" s="2" t="s">
        <v>609</v>
      </c>
      <c r="C51" s="57">
        <v>0</v>
      </c>
      <c r="D51" s="57">
        <v>0</v>
      </c>
      <c r="E51" s="57">
        <v>301011</v>
      </c>
      <c r="F51" s="57">
        <v>0</v>
      </c>
      <c r="G51" s="57">
        <v>0</v>
      </c>
      <c r="H51" s="57">
        <v>0</v>
      </c>
      <c r="I51" s="57">
        <v>0</v>
      </c>
      <c r="J51" s="57">
        <v>0</v>
      </c>
      <c r="K51" s="57">
        <f>SUM(C51:I51)-J51</f>
        <v>301011</v>
      </c>
      <c r="L51" s="57">
        <v>0</v>
      </c>
      <c r="M51" s="57">
        <v>0</v>
      </c>
      <c r="N51" s="57">
        <v>0</v>
      </c>
      <c r="O51" s="57">
        <v>0</v>
      </c>
      <c r="P51" s="584">
        <v>4.22</v>
      </c>
      <c r="Q51" s="57">
        <v>0</v>
      </c>
      <c r="R51" s="57">
        <v>0</v>
      </c>
      <c r="S51" s="57">
        <v>0</v>
      </c>
      <c r="T51" s="57">
        <v>0</v>
      </c>
      <c r="U51" s="57">
        <v>0</v>
      </c>
    </row>
    <row r="55" spans="1:28" x14ac:dyDescent="0.2">
      <c r="B55" s="554" t="s">
        <v>443</v>
      </c>
      <c r="C55" s="870" t="s">
        <v>445</v>
      </c>
      <c r="D55" s="871"/>
      <c r="E55" s="871"/>
      <c r="F55" s="872"/>
      <c r="G55" s="554" t="s">
        <v>444</v>
      </c>
      <c r="K55" s="57"/>
    </row>
    <row r="56" spans="1:28" x14ac:dyDescent="0.2">
      <c r="B56" s="553">
        <v>18</v>
      </c>
      <c r="C56" s="553">
        <v>0</v>
      </c>
      <c r="D56" s="553">
        <v>0</v>
      </c>
      <c r="E56" s="553"/>
      <c r="F56" s="553"/>
      <c r="G56" s="553">
        <v>100</v>
      </c>
    </row>
    <row r="57" spans="1:28" x14ac:dyDescent="0.2">
      <c r="B57" s="555">
        <f>+B56+1</f>
        <v>19</v>
      </c>
      <c r="C57" s="555">
        <v>0</v>
      </c>
      <c r="D57" s="555">
        <v>0</v>
      </c>
      <c r="E57" s="555">
        <v>0</v>
      </c>
      <c r="F57" s="555"/>
      <c r="G57" s="555">
        <v>100</v>
      </c>
    </row>
    <row r="58" spans="1:28" x14ac:dyDescent="0.2">
      <c r="B58" s="553">
        <f t="shared" ref="B58:B71" si="11">+B57+1</f>
        <v>20</v>
      </c>
      <c r="C58" s="553">
        <v>0</v>
      </c>
      <c r="D58" s="553"/>
      <c r="E58" s="553"/>
      <c r="F58" s="553"/>
      <c r="G58" s="553">
        <v>100</v>
      </c>
    </row>
    <row r="59" spans="1:28" x14ac:dyDescent="0.2">
      <c r="B59" s="555">
        <f t="shared" si="11"/>
        <v>21</v>
      </c>
      <c r="C59" s="555">
        <v>0</v>
      </c>
      <c r="D59" s="555">
        <v>0</v>
      </c>
      <c r="E59" s="555">
        <v>0</v>
      </c>
      <c r="F59" s="555"/>
      <c r="G59" s="555">
        <v>200</v>
      </c>
    </row>
    <row r="60" spans="1:28" x14ac:dyDescent="0.2">
      <c r="B60" s="553">
        <f t="shared" si="11"/>
        <v>22</v>
      </c>
      <c r="C60" s="553">
        <v>0</v>
      </c>
      <c r="D60" s="553">
        <v>0</v>
      </c>
      <c r="E60" s="553">
        <v>0</v>
      </c>
      <c r="F60" s="553"/>
      <c r="G60" s="553">
        <v>200</v>
      </c>
    </row>
    <row r="61" spans="1:28" x14ac:dyDescent="0.2">
      <c r="B61" s="555">
        <f t="shared" si="11"/>
        <v>23</v>
      </c>
      <c r="C61" s="555">
        <v>0</v>
      </c>
      <c r="D61" s="555">
        <v>0</v>
      </c>
      <c r="E61" s="555"/>
      <c r="F61" s="555"/>
      <c r="G61" s="555">
        <v>300</v>
      </c>
    </row>
    <row r="62" spans="1:28" x14ac:dyDescent="0.2">
      <c r="B62" s="553">
        <f t="shared" si="11"/>
        <v>24</v>
      </c>
      <c r="C62" s="553">
        <v>0</v>
      </c>
      <c r="D62" s="553">
        <v>0</v>
      </c>
      <c r="E62" s="553">
        <v>0</v>
      </c>
      <c r="F62" s="553">
        <v>0</v>
      </c>
      <c r="G62" s="553">
        <v>400</v>
      </c>
    </row>
    <row r="63" spans="1:28" x14ac:dyDescent="0.2">
      <c r="B63" s="555">
        <f t="shared" si="11"/>
        <v>25</v>
      </c>
      <c r="C63" s="555">
        <v>0</v>
      </c>
      <c r="D63" s="555">
        <v>0</v>
      </c>
      <c r="E63" s="555">
        <v>0</v>
      </c>
      <c r="F63" s="555"/>
      <c r="G63" s="555">
        <v>500</v>
      </c>
    </row>
    <row r="64" spans="1:28" x14ac:dyDescent="0.2">
      <c r="B64" s="553">
        <f t="shared" si="11"/>
        <v>26</v>
      </c>
      <c r="C64" s="553">
        <v>0</v>
      </c>
      <c r="D64" s="553"/>
      <c r="E64" s="553"/>
      <c r="F64" s="553"/>
      <c r="G64" s="553">
        <v>500</v>
      </c>
    </row>
    <row r="65" spans="2:7" x14ac:dyDescent="0.2">
      <c r="B65" s="555">
        <f t="shared" si="11"/>
        <v>27</v>
      </c>
      <c r="C65" s="555">
        <v>0</v>
      </c>
      <c r="D65" s="555">
        <v>0</v>
      </c>
      <c r="E65" s="555">
        <v>0</v>
      </c>
      <c r="F65" s="555"/>
      <c r="G65" s="555">
        <v>600</v>
      </c>
    </row>
    <row r="66" spans="2:7" x14ac:dyDescent="0.2">
      <c r="B66" s="553">
        <f t="shared" si="11"/>
        <v>28</v>
      </c>
      <c r="C66" s="553">
        <v>0</v>
      </c>
      <c r="D66" s="553">
        <v>0</v>
      </c>
      <c r="E66" s="553"/>
      <c r="F66" s="553"/>
      <c r="G66" s="553">
        <v>600</v>
      </c>
    </row>
    <row r="67" spans="2:7" x14ac:dyDescent="0.2">
      <c r="B67" s="555">
        <f t="shared" si="11"/>
        <v>29</v>
      </c>
      <c r="C67" s="555">
        <v>0</v>
      </c>
      <c r="D67" s="555">
        <v>0</v>
      </c>
      <c r="E67" s="555">
        <v>0</v>
      </c>
      <c r="F67" s="555"/>
      <c r="G67" s="555">
        <v>700</v>
      </c>
    </row>
    <row r="68" spans="2:7" x14ac:dyDescent="0.2">
      <c r="B68" s="553">
        <f t="shared" si="11"/>
        <v>30</v>
      </c>
      <c r="C68" s="553">
        <v>0</v>
      </c>
      <c r="D68" s="553">
        <v>0</v>
      </c>
      <c r="E68" s="553"/>
      <c r="F68" s="553"/>
      <c r="G68" s="553">
        <v>700</v>
      </c>
    </row>
    <row r="69" spans="2:7" x14ac:dyDescent="0.2">
      <c r="B69" s="555">
        <f t="shared" si="11"/>
        <v>31</v>
      </c>
      <c r="C69" s="555">
        <v>0</v>
      </c>
      <c r="D69" s="555">
        <v>0</v>
      </c>
      <c r="E69" s="555">
        <v>0</v>
      </c>
      <c r="F69" s="555"/>
      <c r="G69" s="555">
        <v>800</v>
      </c>
    </row>
    <row r="70" spans="2:7" x14ac:dyDescent="0.2">
      <c r="B70" s="553">
        <f t="shared" si="11"/>
        <v>32</v>
      </c>
      <c r="C70" s="553">
        <v>0</v>
      </c>
      <c r="D70" s="553">
        <v>0</v>
      </c>
      <c r="E70" s="553"/>
      <c r="F70" s="553"/>
      <c r="G70" s="553">
        <v>800</v>
      </c>
    </row>
    <row r="71" spans="2:7" x14ac:dyDescent="0.2">
      <c r="B71" s="555">
        <f t="shared" si="11"/>
        <v>33</v>
      </c>
      <c r="C71" s="555">
        <v>0</v>
      </c>
      <c r="D71" s="555">
        <v>0</v>
      </c>
      <c r="E71" s="555">
        <v>0</v>
      </c>
      <c r="F71" s="555"/>
      <c r="G71" s="555">
        <v>900</v>
      </c>
    </row>
    <row r="72" spans="2:7" x14ac:dyDescent="0.2">
      <c r="B72" s="574" t="s">
        <v>608</v>
      </c>
      <c r="C72" s="574">
        <f>SUM(C56:F71)</f>
        <v>0</v>
      </c>
    </row>
    <row r="88" spans="2:3" x14ac:dyDescent="0.2">
      <c r="B88" s="2" t="s">
        <v>278</v>
      </c>
    </row>
    <row r="89" spans="2:3" x14ac:dyDescent="0.2">
      <c r="B89" s="274">
        <f>+FALLYR-1</f>
        <v>2015</v>
      </c>
      <c r="C89" s="2" t="s">
        <v>279</v>
      </c>
    </row>
    <row r="90" spans="2:3" x14ac:dyDescent="0.2">
      <c r="B90" s="274"/>
    </row>
    <row r="91" spans="2:3" x14ac:dyDescent="0.2">
      <c r="B91" s="274"/>
    </row>
  </sheetData>
  <mergeCells count="2">
    <mergeCell ref="C55:F55"/>
    <mergeCell ref="N6:N9"/>
  </mergeCells>
  <phoneticPr fontId="6" type="noConversion"/>
  <pageMargins left="0.5" right="0.5" top="0.6" bottom="0.2" header="0.3" footer="0.5"/>
  <pageSetup scale="8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81" r:id="rId4" name="Button 1">
              <controlPr defaultSize="0" print="0" autoFill="0" autoPict="0" macro="[0]!InsertHeader">
                <anchor moveWithCells="1" sizeWithCells="1">
                  <from>
                    <xdr:col>3</xdr:col>
                    <xdr:colOff>514350</xdr:colOff>
                    <xdr:row>1</xdr:row>
                    <xdr:rowOff>76200</xdr:rowOff>
                  </from>
                  <to>
                    <xdr:col>4</xdr:col>
                    <xdr:colOff>581025</xdr:colOff>
                    <xdr:row>3</xdr:row>
                    <xdr:rowOff>47625</xdr:rowOff>
                  </to>
                </anchor>
              </controlPr>
            </control>
          </mc:Choice>
        </mc:AlternateContent>
        <mc:AlternateContent xmlns:mc="http://schemas.openxmlformats.org/markup-compatibility/2006">
          <mc:Choice Requires="x14">
            <control shapeId="225282" r:id="rId5" name="Button 2">
              <controlPr defaultSize="0" print="0" autoFill="0" autoPict="0" macro="[0]!DeleteHeader">
                <anchor moveWithCells="1" sizeWithCells="1">
                  <from>
                    <xdr:col>5</xdr:col>
                    <xdr:colOff>0</xdr:colOff>
                    <xdr:row>1</xdr:row>
                    <xdr:rowOff>85725</xdr:rowOff>
                  </from>
                  <to>
                    <xdr:col>6</xdr:col>
                    <xdr:colOff>95250</xdr:colOff>
                    <xdr:row>3</xdr:row>
                    <xdr:rowOff>47625</xdr:rowOff>
                  </to>
                </anchor>
              </controlPr>
            </control>
          </mc:Choice>
        </mc:AlternateContent>
        <mc:AlternateContent xmlns:mc="http://schemas.openxmlformats.org/markup-compatibility/2006">
          <mc:Choice Requires="x14">
            <control shapeId="225283" r:id="rId6" name="Button 3">
              <controlPr defaultSize="0" print="0" autoFill="0" autoPict="0" macro="[0]!Select_A1_On_Activeworkbook">
                <anchor moveWithCells="1" sizeWithCells="1">
                  <from>
                    <xdr:col>6</xdr:col>
                    <xdr:colOff>609600</xdr:colOff>
                    <xdr:row>1</xdr:row>
                    <xdr:rowOff>66675</xdr:rowOff>
                  </from>
                  <to>
                    <xdr:col>8</xdr:col>
                    <xdr:colOff>66675</xdr:colOff>
                    <xdr:row>3</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58"/>
  <sheetViews>
    <sheetView showGridLines="0" showZeros="0" workbookViewId="0"/>
  </sheetViews>
  <sheetFormatPr defaultRowHeight="12" x14ac:dyDescent="0.2"/>
  <cols>
    <col min="1" max="1" width="39.83203125" style="2" customWidth="1"/>
    <col min="2" max="3" width="31.83203125" style="2" customWidth="1"/>
    <col min="4" max="4" width="29.83203125" style="2" customWidth="1"/>
    <col min="5" max="16384" width="9.33203125" style="2"/>
  </cols>
  <sheetData>
    <row r="1" spans="1:4" ht="6.95" customHeight="1" x14ac:dyDescent="0.2">
      <c r="A1" s="7"/>
      <c r="B1" s="8"/>
      <c r="C1" s="8"/>
      <c r="D1" s="8"/>
    </row>
    <row r="2" spans="1:4" ht="15.95" customHeight="1" x14ac:dyDescent="0.2">
      <c r="A2" s="63"/>
      <c r="B2" s="9" t="s">
        <v>87</v>
      </c>
      <c r="C2" s="10"/>
      <c r="D2" s="64"/>
    </row>
    <row r="3" spans="1:4" ht="15.95" customHeight="1" x14ac:dyDescent="0.2">
      <c r="A3" s="542"/>
      <c r="B3" s="11" t="str">
        <f>STATDATE</f>
        <v>ACTUAL SEPTEMBER 30, 2016</v>
      </c>
      <c r="C3" s="12"/>
      <c r="D3" s="66"/>
    </row>
    <row r="4" spans="1:4" ht="15.95" customHeight="1" x14ac:dyDescent="0.2">
      <c r="B4" s="8"/>
      <c r="C4" s="8"/>
      <c r="D4" s="8"/>
    </row>
    <row r="5" spans="1:4" ht="15.95" customHeight="1" x14ac:dyDescent="0.2">
      <c r="B5" s="8"/>
      <c r="C5" s="8"/>
      <c r="D5" s="8"/>
    </row>
    <row r="6" spans="1:4" ht="15.95" customHeight="1" x14ac:dyDescent="0.2">
      <c r="B6" s="8"/>
      <c r="C6" s="8"/>
      <c r="D6" s="8"/>
    </row>
    <row r="7" spans="1:4" ht="15.95" customHeight="1" x14ac:dyDescent="0.2">
      <c r="B7" s="300" t="s">
        <v>87</v>
      </c>
      <c r="C7" s="282"/>
      <c r="D7" s="8"/>
    </row>
    <row r="8" spans="1:4" ht="15.95" customHeight="1" x14ac:dyDescent="0.2">
      <c r="A8" s="67"/>
      <c r="B8" s="629" t="s">
        <v>461</v>
      </c>
      <c r="C8" s="68"/>
      <c r="D8" s="69"/>
    </row>
    <row r="9" spans="1:4" ht="15.95" customHeight="1" x14ac:dyDescent="0.2">
      <c r="A9" s="35" t="s">
        <v>42</v>
      </c>
      <c r="B9" s="630"/>
      <c r="C9" s="36" t="s">
        <v>242</v>
      </c>
    </row>
    <row r="10" spans="1:4" ht="5.0999999999999996" customHeight="1" x14ac:dyDescent="0.2">
      <c r="A10" s="6"/>
    </row>
    <row r="11" spans="1:4" ht="14.1" customHeight="1" x14ac:dyDescent="0.2">
      <c r="A11" s="284" t="s">
        <v>110</v>
      </c>
      <c r="B11" s="291">
        <v>16.429435296306632</v>
      </c>
      <c r="C11" s="291">
        <v>13.934038188417233</v>
      </c>
    </row>
    <row r="12" spans="1:4" ht="14.1" customHeight="1" x14ac:dyDescent="0.2">
      <c r="A12" s="19" t="s">
        <v>111</v>
      </c>
      <c r="B12" s="70">
        <v>13.761524477340606</v>
      </c>
      <c r="C12" s="70">
        <v>11.076243729096992</v>
      </c>
    </row>
    <row r="13" spans="1:4" ht="14.1" customHeight="1" x14ac:dyDescent="0.2">
      <c r="A13" s="284" t="s">
        <v>112</v>
      </c>
      <c r="B13" s="291">
        <v>17.241485813120288</v>
      </c>
      <c r="C13" s="291">
        <v>12.829214481606888</v>
      </c>
    </row>
    <row r="14" spans="1:4" ht="14.1" customHeight="1" x14ac:dyDescent="0.2">
      <c r="A14" s="19" t="s">
        <v>359</v>
      </c>
      <c r="B14" s="70">
        <v>14.625606828487598</v>
      </c>
      <c r="C14" s="70">
        <v>11.864673042800884</v>
      </c>
    </row>
    <row r="15" spans="1:4" ht="14.1" customHeight="1" x14ac:dyDescent="0.2">
      <c r="A15" s="284" t="s">
        <v>113</v>
      </c>
      <c r="B15" s="291">
        <v>15.91265779597407</v>
      </c>
      <c r="C15" s="291">
        <v>12.257555847568989</v>
      </c>
    </row>
    <row r="16" spans="1:4" ht="14.1" customHeight="1" x14ac:dyDescent="0.2">
      <c r="A16" s="19" t="s">
        <v>114</v>
      </c>
      <c r="B16" s="70">
        <v>14.975973487986742</v>
      </c>
      <c r="C16" s="70">
        <v>11.447751741608611</v>
      </c>
    </row>
    <row r="17" spans="1:3" ht="14.1" customHeight="1" x14ac:dyDescent="0.2">
      <c r="A17" s="284" t="s">
        <v>115</v>
      </c>
      <c r="B17" s="291">
        <v>14.593776106934001</v>
      </c>
      <c r="C17" s="291">
        <v>12.431062088596335</v>
      </c>
    </row>
    <row r="18" spans="1:3" ht="14.1" customHeight="1" x14ac:dyDescent="0.2">
      <c r="A18" s="19" t="s">
        <v>116</v>
      </c>
      <c r="B18" s="70">
        <v>14.829440389294403</v>
      </c>
      <c r="C18" s="70">
        <v>11.796961192296523</v>
      </c>
    </row>
    <row r="19" spans="1:3" ht="14.1" customHeight="1" x14ac:dyDescent="0.2">
      <c r="A19" s="284" t="s">
        <v>117</v>
      </c>
      <c r="B19" s="291">
        <v>18.676727629279107</v>
      </c>
      <c r="C19" s="291">
        <v>14.979314117687283</v>
      </c>
    </row>
    <row r="20" spans="1:3" ht="14.1" customHeight="1" x14ac:dyDescent="0.2">
      <c r="A20" s="19" t="s">
        <v>118</v>
      </c>
      <c r="B20" s="70">
        <v>17.756150876703408</v>
      </c>
      <c r="C20" s="70">
        <v>14.447082864251724</v>
      </c>
    </row>
    <row r="21" spans="1:3" ht="14.1" customHeight="1" x14ac:dyDescent="0.2">
      <c r="A21" s="284" t="s">
        <v>119</v>
      </c>
      <c r="B21" s="291">
        <v>15.444100253449731</v>
      </c>
      <c r="C21" s="291">
        <v>11.764630169898746</v>
      </c>
    </row>
    <row r="22" spans="1:3" ht="14.1" customHeight="1" x14ac:dyDescent="0.2">
      <c r="A22" s="19" t="s">
        <v>120</v>
      </c>
      <c r="B22" s="70">
        <v>17.613872832369943</v>
      </c>
      <c r="C22" s="70">
        <v>12.851961197806832</v>
      </c>
    </row>
    <row r="23" spans="1:3" ht="14.1" customHeight="1" x14ac:dyDescent="0.2">
      <c r="A23" s="284" t="s">
        <v>121</v>
      </c>
      <c r="B23" s="291">
        <v>14.781167108753314</v>
      </c>
      <c r="C23" s="291">
        <v>11.818663838812302</v>
      </c>
    </row>
    <row r="24" spans="1:3" ht="14.1" customHeight="1" x14ac:dyDescent="0.2">
      <c r="A24" s="19" t="s">
        <v>122</v>
      </c>
      <c r="B24" s="70">
        <v>14.732462686567166</v>
      </c>
      <c r="C24" s="70">
        <v>11.61264705882353</v>
      </c>
    </row>
    <row r="25" spans="1:3" ht="14.1" customHeight="1" x14ac:dyDescent="0.2">
      <c r="A25" s="284" t="s">
        <v>123</v>
      </c>
      <c r="B25" s="291">
        <v>17.815653427449423</v>
      </c>
      <c r="C25" s="291">
        <v>13.790353611143177</v>
      </c>
    </row>
    <row r="26" spans="1:3" ht="14.1" customHeight="1" x14ac:dyDescent="0.2">
      <c r="A26" s="19" t="s">
        <v>124</v>
      </c>
      <c r="B26" s="70">
        <v>15.900104058272634</v>
      </c>
      <c r="C26" s="70">
        <v>12.940927376667373</v>
      </c>
    </row>
    <row r="27" spans="1:3" ht="14.1" customHeight="1" x14ac:dyDescent="0.2">
      <c r="A27" s="284" t="s">
        <v>125</v>
      </c>
      <c r="B27" s="291">
        <v>15.513526143621165</v>
      </c>
      <c r="C27" s="291">
        <v>11.829393831413075</v>
      </c>
    </row>
    <row r="28" spans="1:3" ht="14.1" customHeight="1" x14ac:dyDescent="0.2">
      <c r="A28" s="19" t="s">
        <v>126</v>
      </c>
      <c r="B28" s="70">
        <v>13.501616342251875</v>
      </c>
      <c r="C28" s="70">
        <v>11.169910094457723</v>
      </c>
    </row>
    <row r="29" spans="1:3" ht="14.1" customHeight="1" x14ac:dyDescent="0.2">
      <c r="A29" s="284" t="s">
        <v>127</v>
      </c>
      <c r="B29" s="291">
        <v>17.903437705276986</v>
      </c>
      <c r="C29" s="291">
        <v>14.160740379931807</v>
      </c>
    </row>
    <row r="30" spans="1:3" ht="14.1" customHeight="1" x14ac:dyDescent="0.2">
      <c r="A30" s="19" t="s">
        <v>128</v>
      </c>
      <c r="B30" s="70">
        <v>12.995458835945803</v>
      </c>
      <c r="C30" s="70">
        <v>10.951310978712742</v>
      </c>
    </row>
    <row r="31" spans="1:3" ht="14.1" customHeight="1" x14ac:dyDescent="0.2">
      <c r="A31" s="284" t="s">
        <v>129</v>
      </c>
      <c r="B31" s="291">
        <v>16.812238358571502</v>
      </c>
      <c r="C31" s="291">
        <v>12.920522699289034</v>
      </c>
    </row>
    <row r="32" spans="1:3" ht="14.1" customHeight="1" x14ac:dyDescent="0.2">
      <c r="A32" s="19" t="s">
        <v>130</v>
      </c>
      <c r="B32" s="70">
        <v>14.280408542246981</v>
      </c>
      <c r="C32" s="70">
        <v>11.678056188306755</v>
      </c>
    </row>
    <row r="33" spans="1:4" ht="14.1" customHeight="1" x14ac:dyDescent="0.2">
      <c r="A33" s="284" t="s">
        <v>131</v>
      </c>
      <c r="B33" s="291">
        <v>15.246112033821531</v>
      </c>
      <c r="C33" s="291">
        <v>12.474519735622954</v>
      </c>
    </row>
    <row r="34" spans="1:4" ht="14.1" customHeight="1" x14ac:dyDescent="0.2">
      <c r="A34" s="19" t="s">
        <v>132</v>
      </c>
      <c r="B34" s="70">
        <v>15.650669127826488</v>
      </c>
      <c r="C34" s="70">
        <v>12.164634146341465</v>
      </c>
    </row>
    <row r="35" spans="1:4" ht="14.1" customHeight="1" x14ac:dyDescent="0.2">
      <c r="A35" s="284" t="s">
        <v>133</v>
      </c>
      <c r="B35" s="291">
        <v>17.364796457617125</v>
      </c>
      <c r="C35" s="291">
        <v>13.579967633598411</v>
      </c>
    </row>
    <row r="36" spans="1:4" ht="14.1" customHeight="1" x14ac:dyDescent="0.2">
      <c r="A36" s="19" t="s">
        <v>134</v>
      </c>
      <c r="B36" s="70">
        <v>14.811689465269142</v>
      </c>
      <c r="C36" s="70">
        <v>12.053635969350877</v>
      </c>
    </row>
    <row r="37" spans="1:4" ht="14.1" customHeight="1" x14ac:dyDescent="0.2">
      <c r="A37" s="284" t="s">
        <v>135</v>
      </c>
      <c r="B37" s="291">
        <v>17.439339614775285</v>
      </c>
      <c r="C37" s="291">
        <v>13.794354306819681</v>
      </c>
    </row>
    <row r="38" spans="1:4" ht="14.1" customHeight="1" x14ac:dyDescent="0.2">
      <c r="A38" s="19" t="s">
        <v>136</v>
      </c>
      <c r="B38" s="70">
        <v>16.788528495510352</v>
      </c>
      <c r="C38" s="70">
        <v>13.636397464680419</v>
      </c>
    </row>
    <row r="39" spans="1:4" ht="14.1" customHeight="1" x14ac:dyDescent="0.2">
      <c r="A39" s="284" t="s">
        <v>137</v>
      </c>
      <c r="B39" s="291">
        <v>13.731233980227024</v>
      </c>
      <c r="C39" s="291">
        <v>11.493372155390393</v>
      </c>
    </row>
    <row r="40" spans="1:4" ht="14.1" customHeight="1" x14ac:dyDescent="0.2">
      <c r="A40" s="19" t="s">
        <v>138</v>
      </c>
      <c r="B40" s="70">
        <v>17.564854980011908</v>
      </c>
      <c r="C40" s="70">
        <v>13.505771557503024</v>
      </c>
    </row>
    <row r="41" spans="1:4" ht="14.1" customHeight="1" x14ac:dyDescent="0.2">
      <c r="A41" s="284" t="s">
        <v>139</v>
      </c>
      <c r="B41" s="291">
        <v>15.638921042477815</v>
      </c>
      <c r="C41" s="291">
        <v>12.079709555934867</v>
      </c>
    </row>
    <row r="42" spans="1:4" ht="14.1" customHeight="1" x14ac:dyDescent="0.2">
      <c r="A42" s="19" t="s">
        <v>140</v>
      </c>
      <c r="B42" s="70">
        <v>14.391898945610187</v>
      </c>
      <c r="C42" s="70">
        <v>11.980533588250628</v>
      </c>
    </row>
    <row r="43" spans="1:4" ht="14.1" customHeight="1" x14ac:dyDescent="0.2">
      <c r="A43" s="284" t="s">
        <v>141</v>
      </c>
      <c r="B43" s="291">
        <v>14.946436888681884</v>
      </c>
      <c r="C43" s="291">
        <v>11.967182547081858</v>
      </c>
    </row>
    <row r="44" spans="1:4" ht="14.1" customHeight="1" x14ac:dyDescent="0.2">
      <c r="A44" s="19" t="s">
        <v>142</v>
      </c>
      <c r="B44" s="70">
        <v>12.597638510445051</v>
      </c>
      <c r="C44" s="70">
        <v>10.78538102643857</v>
      </c>
    </row>
    <row r="45" spans="1:4" ht="14.1" customHeight="1" x14ac:dyDescent="0.2">
      <c r="A45" s="284" t="s">
        <v>143</v>
      </c>
      <c r="B45" s="291">
        <v>16.519607843137255</v>
      </c>
      <c r="C45" s="291">
        <v>13.676948051948052</v>
      </c>
    </row>
    <row r="46" spans="1:4" ht="14.1" customHeight="1" x14ac:dyDescent="0.2">
      <c r="A46" s="19" t="s">
        <v>144</v>
      </c>
      <c r="B46" s="70">
        <v>17.72035536788167</v>
      </c>
      <c r="C46" s="70">
        <v>13.476309676837381</v>
      </c>
    </row>
    <row r="47" spans="1:4" ht="5.0999999999999996" customHeight="1" x14ac:dyDescent="0.2">
      <c r="A47"/>
      <c r="B47"/>
      <c r="C47"/>
      <c r="D47"/>
    </row>
    <row r="48" spans="1:4" ht="14.1" customHeight="1" x14ac:dyDescent="0.2">
      <c r="A48" s="286" t="s">
        <v>145</v>
      </c>
      <c r="B48" s="294">
        <v>16.650538261635152</v>
      </c>
      <c r="C48" s="294">
        <v>13.08346128672618</v>
      </c>
      <c r="D48" s="6"/>
    </row>
    <row r="49" spans="1:4" ht="5.0999999999999996" customHeight="1" x14ac:dyDescent="0.2">
      <c r="A49" s="21" t="s">
        <v>7</v>
      </c>
      <c r="B49" s="71"/>
      <c r="C49" s="71"/>
    </row>
    <row r="50" spans="1:4" ht="14.1" customHeight="1" x14ac:dyDescent="0.2">
      <c r="A50" s="19" t="s">
        <v>146</v>
      </c>
      <c r="B50" s="70">
        <v>9.5619987661937067</v>
      </c>
      <c r="C50" s="70">
        <v>7.9365079365079358</v>
      </c>
    </row>
    <row r="51" spans="1:4" ht="14.1" customHeight="1" x14ac:dyDescent="0.2">
      <c r="A51" s="284" t="s">
        <v>609</v>
      </c>
      <c r="B51" s="291">
        <v>34.779411764705884</v>
      </c>
      <c r="C51" s="291">
        <v>28.841463414634145</v>
      </c>
    </row>
    <row r="52" spans="1:4" ht="49.5" customHeight="1" x14ac:dyDescent="0.2">
      <c r="A52" s="23"/>
      <c r="B52" s="23"/>
      <c r="C52" s="23"/>
      <c r="D52" s="23"/>
    </row>
    <row r="53" spans="1:4" ht="15" customHeight="1" x14ac:dyDescent="0.2">
      <c r="A53" s="619" t="s">
        <v>462</v>
      </c>
      <c r="B53" s="619"/>
      <c r="C53" s="619"/>
      <c r="D53" s="619"/>
    </row>
    <row r="54" spans="1:4" ht="12" customHeight="1" x14ac:dyDescent="0.2">
      <c r="A54" s="620"/>
      <c r="B54" s="620"/>
      <c r="C54" s="620"/>
      <c r="D54" s="620"/>
    </row>
    <row r="55" spans="1:4" ht="12" customHeight="1" x14ac:dyDescent="0.2">
      <c r="A55" s="620"/>
      <c r="B55" s="620"/>
      <c r="C55" s="620"/>
      <c r="D55" s="620"/>
    </row>
    <row r="56" spans="1:4" ht="12" customHeight="1" x14ac:dyDescent="0.2">
      <c r="A56" s="620" t="s">
        <v>463</v>
      </c>
      <c r="B56" s="620"/>
      <c r="C56" s="620"/>
      <c r="D56" s="620"/>
    </row>
    <row r="57" spans="1:4" ht="12" customHeight="1" x14ac:dyDescent="0.2">
      <c r="A57" s="620"/>
      <c r="B57" s="620"/>
      <c r="C57" s="620"/>
      <c r="D57" s="620"/>
    </row>
    <row r="58" spans="1:4" x14ac:dyDescent="0.2">
      <c r="A58" s="620"/>
      <c r="B58" s="620"/>
      <c r="C58" s="620"/>
      <c r="D58" s="620"/>
    </row>
  </sheetData>
  <mergeCells count="3">
    <mergeCell ref="B8:B9"/>
    <mergeCell ref="A53:D55"/>
    <mergeCell ref="A56:D5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M28"/>
  <sheetViews>
    <sheetView showGridLines="0" showZeros="0" workbookViewId="0"/>
  </sheetViews>
  <sheetFormatPr defaultColWidth="15.83203125" defaultRowHeight="12" x14ac:dyDescent="0.2"/>
  <cols>
    <col min="1" max="1" width="6.5" style="2" customWidth="1"/>
    <col min="2" max="2" width="39.5" style="2" customWidth="1"/>
    <col min="3" max="3" width="16" style="2" customWidth="1"/>
    <col min="4" max="4" width="15.83203125" style="2" customWidth="1"/>
    <col min="5" max="5" width="15.5" style="2" customWidth="1"/>
    <col min="6" max="6" width="17.1640625" style="2" customWidth="1"/>
    <col min="7" max="7" width="14.83203125" style="2" customWidth="1"/>
    <col min="8" max="8" width="15" style="2" customWidth="1"/>
    <col min="9" max="9" width="13.5" style="2" customWidth="1"/>
    <col min="10" max="10" width="3.33203125" style="2" customWidth="1"/>
    <col min="11" max="11" width="17.6640625" style="2" customWidth="1"/>
    <col min="12" max="12" width="6.83203125" style="2" customWidth="1"/>
    <col min="13" max="16384" width="15.83203125" style="2"/>
  </cols>
  <sheetData>
    <row r="2" spans="1:11" x14ac:dyDescent="0.2">
      <c r="A2" s="39"/>
      <c r="B2" s="39"/>
      <c r="C2" s="40" t="str">
        <f>OPYEAR</f>
        <v>OPERATING FUND 2016/2017 ACTUAL</v>
      </c>
      <c r="D2" s="41"/>
      <c r="E2" s="41"/>
      <c r="F2" s="41"/>
      <c r="G2" s="41"/>
      <c r="H2" s="41"/>
      <c r="I2" s="41"/>
      <c r="J2" s="41"/>
      <c r="K2" s="42"/>
    </row>
    <row r="3" spans="1:11" ht="14.25" x14ac:dyDescent="0.2">
      <c r="A3" s="538"/>
    </row>
    <row r="4" spans="1:11" ht="19.5" customHeight="1" x14ac:dyDescent="0.2">
      <c r="C4" s="8"/>
      <c r="D4" s="8"/>
      <c r="E4" s="8"/>
      <c r="F4" s="8"/>
      <c r="G4" s="8"/>
      <c r="H4" s="8"/>
      <c r="I4" s="8"/>
      <c r="J4" s="8"/>
      <c r="K4" s="8"/>
    </row>
    <row r="5" spans="1:11" ht="15.75" x14ac:dyDescent="0.25">
      <c r="C5" s="279" t="s">
        <v>257</v>
      </c>
      <c r="D5" s="43"/>
      <c r="E5" s="43"/>
      <c r="F5" s="43"/>
      <c r="G5" s="43"/>
      <c r="H5" s="43"/>
      <c r="I5" s="43"/>
      <c r="J5" s="43"/>
      <c r="K5" s="8"/>
    </row>
    <row r="6" spans="1:11" ht="16.5" customHeight="1" x14ac:dyDescent="0.2">
      <c r="C6" s="8"/>
      <c r="D6" s="8"/>
      <c r="E6" s="8"/>
      <c r="F6" s="8"/>
      <c r="G6" s="8"/>
      <c r="H6" s="8"/>
      <c r="I6" s="8"/>
      <c r="J6" s="8"/>
      <c r="K6" s="8"/>
    </row>
    <row r="7" spans="1:11" x14ac:dyDescent="0.2">
      <c r="C7" s="8"/>
      <c r="D7" s="8"/>
      <c r="E7" s="8"/>
      <c r="F7" s="8"/>
      <c r="G7" s="8"/>
      <c r="H7" s="8"/>
      <c r="I7" s="8"/>
      <c r="J7" s="8"/>
      <c r="K7" s="8"/>
    </row>
    <row r="8" spans="1:11" x14ac:dyDescent="0.2">
      <c r="C8" s="281" t="s">
        <v>71</v>
      </c>
      <c r="D8" s="301"/>
      <c r="E8" s="301"/>
      <c r="F8" s="301"/>
      <c r="G8" s="301"/>
      <c r="H8" s="301"/>
      <c r="I8" s="301"/>
      <c r="J8" s="302"/>
      <c r="K8" s="8"/>
    </row>
    <row r="9" spans="1:11" x14ac:dyDescent="0.2">
      <c r="C9" s="8"/>
      <c r="D9" s="8"/>
      <c r="E9" s="8"/>
      <c r="F9" s="8"/>
      <c r="G9" s="8"/>
      <c r="H9" s="8"/>
      <c r="I9" s="8"/>
      <c r="J9" s="8"/>
      <c r="K9" s="8"/>
    </row>
    <row r="10" spans="1:11" x14ac:dyDescent="0.2">
      <c r="A10" s="44"/>
      <c r="B10" s="45"/>
      <c r="C10" s="303"/>
      <c r="D10" s="634" t="s">
        <v>464</v>
      </c>
      <c r="E10" s="304"/>
      <c r="F10" s="636" t="s">
        <v>465</v>
      </c>
      <c r="G10" s="637" t="s">
        <v>37</v>
      </c>
      <c r="H10" s="639" t="s">
        <v>466</v>
      </c>
      <c r="I10" s="305"/>
      <c r="J10" s="306"/>
      <c r="K10" s="303"/>
    </row>
    <row r="11" spans="1:11" ht="13.5" customHeight="1" x14ac:dyDescent="0.2">
      <c r="A11" s="631" t="s">
        <v>78</v>
      </c>
      <c r="B11" s="632"/>
      <c r="C11" s="307" t="s">
        <v>72</v>
      </c>
      <c r="D11" s="635"/>
      <c r="E11" s="299" t="s">
        <v>67</v>
      </c>
      <c r="F11" s="635"/>
      <c r="G11" s="638"/>
      <c r="H11" s="640"/>
      <c r="I11" s="298" t="s">
        <v>47</v>
      </c>
      <c r="J11" s="308"/>
      <c r="K11" s="307" t="s">
        <v>73</v>
      </c>
    </row>
    <row r="13" spans="1:11" x14ac:dyDescent="0.2">
      <c r="A13" s="47">
        <v>100</v>
      </c>
      <c r="B13" s="6" t="s">
        <v>26</v>
      </c>
      <c r="C13" s="48">
        <f>'- 12 -'!B21</f>
        <v>1093492941</v>
      </c>
      <c r="D13" s="49">
        <f>'- 12 -'!B22</f>
        <v>67382483</v>
      </c>
      <c r="E13" s="49">
        <f>'- 12 -'!B39</f>
        <v>33630988.509999998</v>
      </c>
      <c r="F13" s="49">
        <f>'- 12 -'!B45</f>
        <v>82501601</v>
      </c>
      <c r="G13" s="50"/>
      <c r="H13" s="184"/>
      <c r="I13" s="51"/>
      <c r="J13" s="50"/>
      <c r="K13" s="48">
        <f>SUM(C13:F13)</f>
        <v>1277008013.51</v>
      </c>
    </row>
    <row r="14" spans="1:11" ht="24" customHeight="1" x14ac:dyDescent="0.2">
      <c r="A14" s="47">
        <v>200</v>
      </c>
      <c r="B14" s="6" t="s">
        <v>260</v>
      </c>
      <c r="C14" s="48">
        <f>'- 12 -'!D21</f>
        <v>371240913</v>
      </c>
      <c r="D14" s="49">
        <f>'- 12 -'!D22</f>
        <v>36172566</v>
      </c>
      <c r="E14" s="49">
        <f>'- 12 -'!D39</f>
        <v>11762865</v>
      </c>
      <c r="F14" s="49">
        <f>'- 12 -'!D45</f>
        <v>4900173</v>
      </c>
      <c r="G14" s="50"/>
      <c r="H14" s="184"/>
      <c r="I14" s="51"/>
      <c r="J14" s="50"/>
      <c r="K14" s="48">
        <f>SUM(C14:F14)</f>
        <v>424076517</v>
      </c>
    </row>
    <row r="15" spans="1:11" ht="24" customHeight="1" x14ac:dyDescent="0.2">
      <c r="A15" s="47">
        <v>300</v>
      </c>
      <c r="B15" s="6" t="s">
        <v>106</v>
      </c>
      <c r="C15" s="48">
        <f>'- 12 -'!F21</f>
        <v>8712649</v>
      </c>
      <c r="D15" s="49">
        <f>'- 12 -'!F22</f>
        <v>583633</v>
      </c>
      <c r="E15" s="49">
        <f>'- 12 -'!F39</f>
        <v>1097412</v>
      </c>
      <c r="F15" s="49">
        <f>'- 12 -'!F45</f>
        <v>634045</v>
      </c>
      <c r="G15" s="50"/>
      <c r="H15" s="184"/>
      <c r="I15" s="51">
        <f>'- 12 -'!F47</f>
        <v>52086</v>
      </c>
      <c r="J15" s="110" t="s">
        <v>96</v>
      </c>
      <c r="K15" s="48">
        <f>SUM(C15:F15,I15)</f>
        <v>11079825</v>
      </c>
    </row>
    <row r="16" spans="1:11" ht="24" customHeight="1" x14ac:dyDescent="0.2">
      <c r="A16" s="47">
        <v>400</v>
      </c>
      <c r="B16" s="6" t="s">
        <v>74</v>
      </c>
      <c r="C16" s="48">
        <f>'- 12 -'!H21</f>
        <v>18545110</v>
      </c>
      <c r="D16" s="49">
        <f>'- 12 -'!H22</f>
        <v>1666479</v>
      </c>
      <c r="E16" s="49">
        <f>'- 12 -'!H39</f>
        <v>3130750</v>
      </c>
      <c r="F16" s="49">
        <f>'- 12 -'!H45</f>
        <v>1724519</v>
      </c>
      <c r="G16" s="50"/>
      <c r="H16" s="184"/>
      <c r="I16" s="51">
        <f>'- 12 -'!H47</f>
        <v>60005</v>
      </c>
      <c r="J16" s="110" t="s">
        <v>96</v>
      </c>
      <c r="K16" s="48">
        <f>SUM(C16:F16,I16)</f>
        <v>25126863</v>
      </c>
    </row>
    <row r="17" spans="1:13" ht="24" customHeight="1" x14ac:dyDescent="0.2">
      <c r="A17" s="47">
        <v>500</v>
      </c>
      <c r="B17" s="6" t="s">
        <v>93</v>
      </c>
      <c r="C17" s="48">
        <f>'- 12 -'!J21</f>
        <v>51705857</v>
      </c>
      <c r="D17" s="49">
        <f>'- 12 -'!J22</f>
        <v>6701920</v>
      </c>
      <c r="E17" s="49">
        <f>'- 12 -'!J39</f>
        <v>16548367</v>
      </c>
      <c r="F17" s="49">
        <f>'- 12 -'!J45</f>
        <v>2949584</v>
      </c>
      <c r="G17" s="50"/>
      <c r="H17" s="184"/>
      <c r="I17" s="51">
        <f>'- 12 -'!J47</f>
        <v>-112091</v>
      </c>
      <c r="J17" s="110" t="s">
        <v>96</v>
      </c>
      <c r="K17" s="48">
        <f>SUM(C17:F17,I17)</f>
        <v>77793637</v>
      </c>
    </row>
    <row r="18" spans="1:13" ht="12" customHeight="1" x14ac:dyDescent="0.2">
      <c r="A18" s="47"/>
      <c r="B18" s="6"/>
      <c r="C18" s="52"/>
      <c r="D18" s="53"/>
      <c r="E18" s="53"/>
      <c r="F18" s="53"/>
      <c r="G18" s="50"/>
      <c r="H18" s="184"/>
      <c r="I18" s="54"/>
      <c r="J18" s="427"/>
      <c r="K18" s="48"/>
    </row>
    <row r="19" spans="1:13" ht="24" customHeight="1" x14ac:dyDescent="0.2">
      <c r="A19" s="55">
        <v>600</v>
      </c>
      <c r="B19" s="56" t="s">
        <v>283</v>
      </c>
      <c r="C19" s="48">
        <f>'- 13 -'!B21</f>
        <v>52249713</v>
      </c>
      <c r="D19" s="49">
        <f>'- 13 -'!B22</f>
        <v>4985458</v>
      </c>
      <c r="E19" s="49">
        <f>'- 13 -'!B39</f>
        <v>13372388</v>
      </c>
      <c r="F19" s="49">
        <f>'- 13 -'!B45</f>
        <v>7746652</v>
      </c>
      <c r="G19" s="50"/>
      <c r="H19" s="184"/>
      <c r="I19" s="51"/>
      <c r="J19" s="427"/>
      <c r="K19" s="48">
        <f>SUM(C19:F19)</f>
        <v>78354211</v>
      </c>
    </row>
    <row r="20" spans="1:13" ht="28.5" customHeight="1" x14ac:dyDescent="0.2">
      <c r="A20" s="47">
        <v>700</v>
      </c>
      <c r="B20" s="6" t="s">
        <v>75</v>
      </c>
      <c r="C20" s="48">
        <f>'- 13 -'!D21</f>
        <v>47986385</v>
      </c>
      <c r="D20" s="49">
        <f>'- 13 -'!D22</f>
        <v>7278049</v>
      </c>
      <c r="E20" s="49">
        <f>'- 13 -'!D39</f>
        <v>26685833</v>
      </c>
      <c r="F20" s="49">
        <f>'- 13 -'!D45</f>
        <v>17888421</v>
      </c>
      <c r="G20" s="50"/>
      <c r="H20" s="184"/>
      <c r="I20" s="51"/>
      <c r="J20" s="427"/>
      <c r="K20" s="48">
        <f>SUM(C20:F20)</f>
        <v>99838688</v>
      </c>
      <c r="L20" s="633" t="s">
        <v>97</v>
      </c>
    </row>
    <row r="21" spans="1:13" ht="24" customHeight="1" x14ac:dyDescent="0.2">
      <c r="A21" s="47">
        <v>800</v>
      </c>
      <c r="B21" s="6" t="s">
        <v>76</v>
      </c>
      <c r="C21" s="48">
        <f>'- 13 -'!F21</f>
        <v>115499123</v>
      </c>
      <c r="D21" s="49">
        <f>'- 13 -'!F22</f>
        <v>19208889</v>
      </c>
      <c r="E21" s="49">
        <f>'- 13 -'!F39</f>
        <v>99224111</v>
      </c>
      <c r="F21" s="49">
        <f>'- 13 -'!F45</f>
        <v>26783690</v>
      </c>
      <c r="G21" s="50"/>
      <c r="H21" s="184"/>
      <c r="I21" s="51">
        <f>'- 13 -'!F47</f>
        <v>0</v>
      </c>
      <c r="J21" s="428"/>
      <c r="K21" s="48">
        <f>SUM(C21:F21,I21)</f>
        <v>260715813</v>
      </c>
      <c r="L21" s="633"/>
    </row>
    <row r="22" spans="1:13" ht="24" customHeight="1" x14ac:dyDescent="0.2">
      <c r="A22" s="47">
        <v>900</v>
      </c>
      <c r="B22" s="6" t="s">
        <v>30</v>
      </c>
      <c r="C22" s="52"/>
      <c r="D22" s="53"/>
      <c r="E22" s="53"/>
      <c r="F22" s="53"/>
      <c r="G22" s="49">
        <v>1825835</v>
      </c>
      <c r="H22" s="49">
        <v>34684</v>
      </c>
      <c r="I22" s="54">
        <v>37158068</v>
      </c>
      <c r="J22" s="428" t="s">
        <v>224</v>
      </c>
      <c r="K22" s="48">
        <f>SUM(G22:I22)</f>
        <v>39018587</v>
      </c>
    </row>
    <row r="23" spans="1:13" x14ac:dyDescent="0.2">
      <c r="A23" s="47"/>
      <c r="B23" s="6"/>
      <c r="C23" s="52"/>
      <c r="D23" s="53"/>
      <c r="E23" s="53"/>
      <c r="F23" s="53"/>
      <c r="G23" s="53"/>
      <c r="H23" s="32"/>
      <c r="I23" s="54"/>
      <c r="J23" s="50"/>
      <c r="K23" s="52"/>
    </row>
    <row r="24" spans="1:13" x14ac:dyDescent="0.2">
      <c r="B24" s="6"/>
      <c r="C24" s="57"/>
      <c r="D24" s="57"/>
      <c r="E24" s="57"/>
      <c r="F24" s="57"/>
      <c r="G24" s="57"/>
      <c r="H24" s="57"/>
      <c r="I24" s="57"/>
      <c r="K24" s="57"/>
    </row>
    <row r="25" spans="1:13" x14ac:dyDescent="0.2">
      <c r="A25" s="58"/>
      <c r="B25" s="59" t="s">
        <v>73</v>
      </c>
      <c r="C25" s="60">
        <f>SUM(C13:C22)</f>
        <v>1759432691</v>
      </c>
      <c r="D25" s="61">
        <f>SUM(D13:D22)</f>
        <v>143979477</v>
      </c>
      <c r="E25" s="61">
        <f>SUM(E13:E22)</f>
        <v>205452714.50999999</v>
      </c>
      <c r="F25" s="61">
        <f>SUM(F13:F22)</f>
        <v>145128685</v>
      </c>
      <c r="G25" s="61">
        <f>G22</f>
        <v>1825835</v>
      </c>
      <c r="H25" s="61">
        <f>H22</f>
        <v>34684</v>
      </c>
      <c r="I25" s="430">
        <f>SUM(I13:I22)</f>
        <v>37158068</v>
      </c>
      <c r="J25" s="62"/>
      <c r="K25" s="60">
        <f>SUM(K13:K22)</f>
        <v>2293012154.5100002</v>
      </c>
      <c r="M25" s="2">
        <f>K25-'- 3 -'!D48</f>
        <v>0</v>
      </c>
    </row>
    <row r="26" spans="1:13" ht="60" customHeight="1" x14ac:dyDescent="0.2"/>
    <row r="27" spans="1:13" x14ac:dyDescent="0.2">
      <c r="A27" s="109" t="s">
        <v>96</v>
      </c>
      <c r="B27" s="133" t="s">
        <v>392</v>
      </c>
      <c r="C27" s="6"/>
    </row>
    <row r="28" spans="1:13" ht="13.5" customHeight="1" x14ac:dyDescent="0.2">
      <c r="A28" s="429" t="s">
        <v>224</v>
      </c>
      <c r="B28" s="2" t="s">
        <v>277</v>
      </c>
      <c r="C28" s="6"/>
    </row>
  </sheetData>
  <mergeCells count="6">
    <mergeCell ref="A11:B11"/>
    <mergeCell ref="L20:L21"/>
    <mergeCell ref="D10:D11"/>
    <mergeCell ref="F10:F11"/>
    <mergeCell ref="G10:G11"/>
    <mergeCell ref="H10:H11"/>
  </mergeCells>
  <phoneticPr fontId="6" type="noConversion"/>
  <pageMargins left="0.39370078740157483" right="0" top="0.64" bottom="0.19685039370078741" header="0.31496062992125984" footer="0.51181102362204722"/>
  <pageSetup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2:L54"/>
  <sheetViews>
    <sheetView showGridLines="0" showZeros="0" workbookViewId="0"/>
  </sheetViews>
  <sheetFormatPr defaultColWidth="15.83203125" defaultRowHeight="12" x14ac:dyDescent="0.2"/>
  <cols>
    <col min="1" max="1" width="49.6640625" style="2" customWidth="1"/>
    <col min="2" max="2" width="15.83203125" style="2" customWidth="1"/>
    <col min="3" max="3" width="8.83203125" style="2" customWidth="1"/>
    <col min="4" max="4" width="15.83203125" style="2" customWidth="1"/>
    <col min="5" max="5" width="8.83203125" style="2" customWidth="1"/>
    <col min="6" max="6" width="15.83203125" style="2" customWidth="1"/>
    <col min="7" max="7" width="8.83203125" style="2" customWidth="1"/>
    <col min="8" max="8" width="15.83203125" style="2" customWidth="1"/>
    <col min="9" max="9" width="8.83203125" style="2" customWidth="1"/>
    <col min="10" max="10" width="15.83203125" style="2" customWidth="1"/>
    <col min="11" max="11" width="8.83203125" style="2" customWidth="1"/>
    <col min="12" max="12" width="5" style="2" customWidth="1"/>
    <col min="13" max="16384" width="15.83203125" style="2"/>
  </cols>
  <sheetData>
    <row r="2" spans="1:11" x14ac:dyDescent="0.2">
      <c r="A2" s="39"/>
      <c r="B2" s="39"/>
      <c r="C2" s="39"/>
      <c r="D2" s="40" t="str">
        <f>OPYEAR</f>
        <v>OPERATING FUND 2016/2017 ACTUAL</v>
      </c>
      <c r="E2" s="40"/>
      <c r="F2" s="40"/>
      <c r="G2" s="40"/>
      <c r="H2" s="41"/>
      <c r="I2" s="41"/>
      <c r="J2" s="42"/>
      <c r="K2" s="111" t="s">
        <v>11</v>
      </c>
    </row>
    <row r="3" spans="1:11" ht="9" customHeight="1" x14ac:dyDescent="0.2">
      <c r="A3" s="538"/>
      <c r="J3" s="80"/>
      <c r="K3" s="80"/>
    </row>
    <row r="4" spans="1:11" ht="15.75" x14ac:dyDescent="0.25">
      <c r="B4" s="280" t="s">
        <v>258</v>
      </c>
      <c r="C4" s="80"/>
      <c r="D4" s="80"/>
      <c r="E4" s="80"/>
      <c r="F4" s="80"/>
      <c r="G4" s="80"/>
      <c r="H4" s="80"/>
      <c r="I4" s="80"/>
      <c r="J4" s="80"/>
      <c r="K4" s="80"/>
    </row>
    <row r="5" spans="1:11" ht="15.75" x14ac:dyDescent="0.25">
      <c r="B5" s="280" t="s">
        <v>259</v>
      </c>
      <c r="C5" s="80"/>
      <c r="D5" s="80"/>
      <c r="E5" s="80"/>
      <c r="F5" s="80"/>
      <c r="G5" s="80"/>
      <c r="H5" s="80"/>
      <c r="I5" s="80"/>
      <c r="J5" s="80"/>
      <c r="K5" s="80"/>
    </row>
    <row r="6" spans="1:11" ht="9" customHeight="1" x14ac:dyDescent="0.2"/>
    <row r="7" spans="1:11" x14ac:dyDescent="0.2">
      <c r="B7" s="112" t="s">
        <v>78</v>
      </c>
      <c r="C7" s="41"/>
      <c r="D7" s="41"/>
      <c r="E7" s="41"/>
      <c r="F7" s="41"/>
      <c r="G7" s="41"/>
      <c r="H7" s="41"/>
      <c r="I7" s="41"/>
      <c r="J7" s="41"/>
      <c r="K7" s="113"/>
    </row>
    <row r="8" spans="1:11" x14ac:dyDescent="0.2">
      <c r="A8" s="8"/>
      <c r="B8" s="643" t="s">
        <v>467</v>
      </c>
      <c r="C8" s="644"/>
      <c r="D8" s="647" t="s">
        <v>260</v>
      </c>
      <c r="E8" s="644"/>
      <c r="F8" s="647" t="s">
        <v>106</v>
      </c>
      <c r="G8" s="644"/>
      <c r="H8" s="643" t="s">
        <v>468</v>
      </c>
      <c r="I8" s="644"/>
      <c r="J8" s="647" t="s">
        <v>93</v>
      </c>
      <c r="K8" s="644"/>
    </row>
    <row r="9" spans="1:11" x14ac:dyDescent="0.2">
      <c r="A9" s="8"/>
      <c r="B9" s="645"/>
      <c r="C9" s="646"/>
      <c r="D9" s="645"/>
      <c r="E9" s="646"/>
      <c r="F9" s="645"/>
      <c r="G9" s="646"/>
      <c r="H9" s="645"/>
      <c r="I9" s="646"/>
      <c r="J9" s="645"/>
      <c r="K9" s="646"/>
    </row>
    <row r="10" spans="1:11" x14ac:dyDescent="0.2">
      <c r="A10" s="114" t="s">
        <v>71</v>
      </c>
      <c r="B10" s="115" t="s">
        <v>43</v>
      </c>
      <c r="C10" s="115" t="s">
        <v>44</v>
      </c>
      <c r="D10" s="115" t="s">
        <v>43</v>
      </c>
      <c r="E10" s="115" t="s">
        <v>44</v>
      </c>
      <c r="F10" s="115" t="s">
        <v>43</v>
      </c>
      <c r="G10" s="115" t="s">
        <v>44</v>
      </c>
      <c r="H10" s="115" t="s">
        <v>43</v>
      </c>
      <c r="I10" s="115" t="s">
        <v>44</v>
      </c>
      <c r="J10" s="115" t="s">
        <v>43</v>
      </c>
      <c r="K10" s="46" t="s">
        <v>44</v>
      </c>
    </row>
    <row r="11" spans="1:11" ht="5.0999999999999996" customHeight="1" x14ac:dyDescent="0.2">
      <c r="A11" s="116"/>
      <c r="B11" s="8"/>
      <c r="C11" s="8"/>
      <c r="D11" s="8"/>
      <c r="E11" s="8"/>
      <c r="F11" s="8"/>
      <c r="G11" s="8"/>
      <c r="H11" s="8"/>
      <c r="I11" s="8"/>
      <c r="J11" s="8"/>
      <c r="K11" s="8"/>
    </row>
    <row r="12" spans="1:11" x14ac:dyDescent="0.2">
      <c r="A12" s="313" t="s">
        <v>72</v>
      </c>
      <c r="B12" s="117"/>
      <c r="C12" s="118"/>
      <c r="D12" s="117"/>
      <c r="E12" s="118"/>
      <c r="F12" s="117"/>
      <c r="G12" s="118"/>
      <c r="H12" s="117"/>
      <c r="I12" s="118"/>
      <c r="J12" s="117"/>
      <c r="K12" s="118"/>
    </row>
    <row r="13" spans="1:11" x14ac:dyDescent="0.2">
      <c r="A13" s="119" t="s">
        <v>190</v>
      </c>
      <c r="B13" s="120"/>
      <c r="C13" s="339"/>
      <c r="D13" s="120"/>
      <c r="E13" s="339"/>
      <c r="F13" s="120"/>
      <c r="G13" s="339"/>
      <c r="H13" s="120"/>
      <c r="I13" s="339"/>
      <c r="J13" s="120">
        <v>4026118</v>
      </c>
      <c r="K13" s="339"/>
    </row>
    <row r="14" spans="1:11" x14ac:dyDescent="0.2">
      <c r="A14" s="119" t="s">
        <v>226</v>
      </c>
      <c r="B14" s="120">
        <v>92042043</v>
      </c>
      <c r="C14" s="339">
        <f>B14/'- 13 -'!$J$53*100</f>
        <v>4.0140233369006584</v>
      </c>
      <c r="D14" s="120">
        <v>7097729</v>
      </c>
      <c r="E14" s="339">
        <f>D14/'- 13 -'!$J$53*100</f>
        <v>0.30953734745975353</v>
      </c>
      <c r="F14" s="120">
        <v>985002</v>
      </c>
      <c r="G14" s="339">
        <f>F14/'- 13 -'!$J$53*100</f>
        <v>4.2956684641320082E-2</v>
      </c>
      <c r="H14" s="120">
        <v>967879</v>
      </c>
      <c r="I14" s="339">
        <f>H14/'- 13 -'!$J$53*100</f>
        <v>4.2209937618356348E-2</v>
      </c>
      <c r="J14" s="120">
        <v>22642199</v>
      </c>
      <c r="K14" s="339">
        <f>J14/'- 13 -'!$J$53*100</f>
        <v>0.9874434793320348</v>
      </c>
    </row>
    <row r="15" spans="1:11" x14ac:dyDescent="0.2">
      <c r="A15" s="119" t="s">
        <v>191</v>
      </c>
      <c r="B15" s="120">
        <v>919980879</v>
      </c>
      <c r="C15" s="339">
        <f>B15/'- 13 -'!$J$53*100</f>
        <v>40.121064216364481</v>
      </c>
      <c r="D15" s="120">
        <v>160744305</v>
      </c>
      <c r="E15" s="339">
        <f>D15/'- 13 -'!$J$53*100</f>
        <v>7.0101811141227852</v>
      </c>
      <c r="F15" s="120">
        <v>6542798</v>
      </c>
      <c r="G15" s="339">
        <f>F15/'- 13 -'!$J$53*100</f>
        <v>0.28533638546709522</v>
      </c>
      <c r="H15" s="120">
        <v>8469930</v>
      </c>
      <c r="I15" s="339">
        <f>H15/'- 13 -'!$J$53*100</f>
        <v>0.36938007429838332</v>
      </c>
      <c r="J15" s="120"/>
      <c r="K15" s="339">
        <f>J15/'- 13 -'!$J$53*100</f>
        <v>0</v>
      </c>
    </row>
    <row r="16" spans="1:11" x14ac:dyDescent="0.2">
      <c r="A16" s="119" t="s">
        <v>192</v>
      </c>
      <c r="B16" s="120">
        <v>22931715</v>
      </c>
      <c r="C16" s="339">
        <f>B16/'- 13 -'!$J$53*100</f>
        <v>1.0000694917773054</v>
      </c>
      <c r="D16" s="120">
        <v>161650360</v>
      </c>
      <c r="E16" s="339">
        <f>D16/'- 13 -'!$J$53*100</f>
        <v>7.0496948601889766</v>
      </c>
      <c r="F16" s="120">
        <v>355324</v>
      </c>
      <c r="G16" s="339">
        <f>F16/'- 13 -'!$J$53*100</f>
        <v>1.5495949260501419E-2</v>
      </c>
      <c r="H16" s="120">
        <v>5116078</v>
      </c>
      <c r="I16" s="339">
        <f>H16/'- 13 -'!$J$53*100</f>
        <v>0.22311604366934845</v>
      </c>
      <c r="J16" s="120"/>
      <c r="K16" s="339">
        <f>J16/'- 13 -'!$J$53*100</f>
        <v>0</v>
      </c>
    </row>
    <row r="17" spans="1:12" x14ac:dyDescent="0.2">
      <c r="A17" s="119" t="s">
        <v>193</v>
      </c>
      <c r="B17" s="120">
        <v>7019192</v>
      </c>
      <c r="C17" s="339">
        <f>B17/'- 13 -'!$J$53*100</f>
        <v>0.3061122892957342</v>
      </c>
      <c r="D17" s="120">
        <v>1369317</v>
      </c>
      <c r="E17" s="339">
        <f>D17/'- 13 -'!$J$53*100</f>
        <v>5.9716953410245348E-2</v>
      </c>
      <c r="F17" s="120">
        <v>363347</v>
      </c>
      <c r="G17" s="339">
        <f>F17/'- 13 -'!$J$53*100</f>
        <v>1.5845838378368501E-2</v>
      </c>
      <c r="H17" s="120">
        <v>2375503</v>
      </c>
      <c r="I17" s="339">
        <f>H17/'- 13 -'!$J$53*100</f>
        <v>0.10359748836602341</v>
      </c>
      <c r="J17" s="120">
        <v>6108243</v>
      </c>
      <c r="K17" s="339">
        <f>J17/'- 13 -'!$J$53*100</f>
        <v>0.26638511217596605</v>
      </c>
    </row>
    <row r="18" spans="1:12" x14ac:dyDescent="0.2">
      <c r="A18" s="121" t="s">
        <v>194</v>
      </c>
      <c r="B18" s="120">
        <v>37871924</v>
      </c>
      <c r="C18" s="339">
        <f>B18/'- 13 -'!$J$53*100</f>
        <v>1.6516233429252341</v>
      </c>
      <c r="D18" s="120">
        <v>2649911</v>
      </c>
      <c r="E18" s="339">
        <f>D18/'- 13 -'!$J$53*100</f>
        <v>0.11556462946731595</v>
      </c>
      <c r="F18" s="120">
        <v>466178</v>
      </c>
      <c r="G18" s="339">
        <f>F18/'- 13 -'!$J$53*100</f>
        <v>2.0330376316719471E-2</v>
      </c>
      <c r="H18" s="120">
        <v>718515</v>
      </c>
      <c r="I18" s="339">
        <f>H18/'- 13 -'!$J$53*100</f>
        <v>3.133498436049683E-2</v>
      </c>
      <c r="J18" s="120">
        <v>16813877</v>
      </c>
      <c r="K18" s="339">
        <f>J18/'- 13 -'!$J$53*100</f>
        <v>0.73326593437063581</v>
      </c>
    </row>
    <row r="19" spans="1:12" x14ac:dyDescent="0.2">
      <c r="A19" s="121" t="s">
        <v>195</v>
      </c>
      <c r="B19" s="120"/>
      <c r="C19" s="340"/>
      <c r="D19" s="122">
        <v>37509421</v>
      </c>
      <c r="E19" s="340">
        <f>D19/'- 13 -'!$J$53*100</f>
        <v>1.6358143120272943</v>
      </c>
      <c r="F19" s="122"/>
      <c r="G19" s="340"/>
      <c r="H19" s="122">
        <v>832850</v>
      </c>
      <c r="I19" s="340"/>
      <c r="J19" s="122"/>
      <c r="K19" s="340"/>
    </row>
    <row r="20" spans="1:12" x14ac:dyDescent="0.2">
      <c r="A20" s="124" t="s">
        <v>196</v>
      </c>
      <c r="B20" s="123">
        <v>13647188</v>
      </c>
      <c r="C20" s="340">
        <f>B20/'- 13 -'!$J$53*100</f>
        <v>0.59516422419122772</v>
      </c>
      <c r="D20" s="123">
        <v>219870</v>
      </c>
      <c r="E20" s="340">
        <f>D20/'- 13 -'!$J$53*100</f>
        <v>9.5886975377583467E-3</v>
      </c>
      <c r="F20" s="123">
        <v>0</v>
      </c>
      <c r="G20" s="340">
        <f>F20/'- 13 -'!$J$53*100</f>
        <v>0</v>
      </c>
      <c r="H20" s="123">
        <v>64355</v>
      </c>
      <c r="I20" s="340">
        <f>H20/'- 13 -'!$J$53*100</f>
        <v>2.806570382691765E-3</v>
      </c>
      <c r="J20" s="123">
        <v>2115420</v>
      </c>
      <c r="K20" s="340">
        <f>J20/'- 13 -'!$J$53*100</f>
        <v>9.2255071384567067E-2</v>
      </c>
    </row>
    <row r="21" spans="1:12" ht="12.75" customHeight="1" x14ac:dyDescent="0.2">
      <c r="A21" s="125" t="s">
        <v>197</v>
      </c>
      <c r="B21" s="342">
        <f>SUM(B13:B20)</f>
        <v>1093492941</v>
      </c>
      <c r="C21" s="343">
        <f>B21/'- 13 -'!$J$53*100</f>
        <v>47.688056901454644</v>
      </c>
      <c r="D21" s="342">
        <f>SUM(D13:D20)</f>
        <v>371240913</v>
      </c>
      <c r="E21" s="343">
        <f>D21/'- 13 -'!$J$53*100</f>
        <v>16.190097914214128</v>
      </c>
      <c r="F21" s="342">
        <f>SUM(F13:F20)</f>
        <v>8712649</v>
      </c>
      <c r="G21" s="343">
        <f>F21/'- 13 -'!$J$53*100</f>
        <v>0.37996523406400473</v>
      </c>
      <c r="H21" s="342">
        <f>SUM(H13:H20)</f>
        <v>18545110</v>
      </c>
      <c r="I21" s="343">
        <f>H21/'- 13 -'!$J$53*100</f>
        <v>0.80876631916340425</v>
      </c>
      <c r="J21" s="342">
        <f>SUM(J13:J20)</f>
        <v>51705857</v>
      </c>
      <c r="K21" s="343">
        <f>J21/'- 13 -'!$J$53*100</f>
        <v>2.2549316582689096</v>
      </c>
    </row>
    <row r="22" spans="1:12" x14ac:dyDescent="0.2">
      <c r="A22" s="313" t="s">
        <v>80</v>
      </c>
      <c r="B22" s="342">
        <v>67382483</v>
      </c>
      <c r="C22" s="343">
        <f>B22/'- 13 -'!$J$53*100</f>
        <v>2.9386012135814052</v>
      </c>
      <c r="D22" s="342">
        <v>36172566</v>
      </c>
      <c r="E22" s="343">
        <f>D22/'- 13 -'!$J$53*100</f>
        <v>1.5775130510692741</v>
      </c>
      <c r="F22" s="342">
        <v>583633</v>
      </c>
      <c r="G22" s="343">
        <f>F22/'- 13 -'!$J$53*100</f>
        <v>2.5452677991788405E-2</v>
      </c>
      <c r="H22" s="342">
        <v>1666479</v>
      </c>
      <c r="I22" s="343">
        <f>H22/'- 13 -'!$J$53*100</f>
        <v>7.2676413717314731E-2</v>
      </c>
      <c r="J22" s="342">
        <v>6701920</v>
      </c>
      <c r="K22" s="343">
        <f>J22/'- 13 -'!$J$53*100</f>
        <v>0.29227581662916002</v>
      </c>
    </row>
    <row r="23" spans="1:12" x14ac:dyDescent="0.2">
      <c r="A23" s="313" t="s">
        <v>67</v>
      </c>
      <c r="B23" s="128"/>
      <c r="C23" s="341"/>
      <c r="D23" s="128"/>
      <c r="E23" s="341"/>
      <c r="F23" s="128"/>
      <c r="G23" s="341"/>
      <c r="H23" s="128"/>
      <c r="I23" s="341"/>
      <c r="J23" s="128"/>
      <c r="K23" s="341"/>
    </row>
    <row r="24" spans="1:12" x14ac:dyDescent="0.2">
      <c r="A24" s="121" t="s">
        <v>198</v>
      </c>
      <c r="B24" s="120">
        <v>6604794</v>
      </c>
      <c r="C24" s="339">
        <f>B24/'- 13 -'!$J$53*100</f>
        <v>0.2880400780697735</v>
      </c>
      <c r="D24" s="120">
        <v>7528929</v>
      </c>
      <c r="E24" s="339">
        <f>D24/'- 13 -'!$J$53*100</f>
        <v>0.32834230665510261</v>
      </c>
      <c r="F24" s="120">
        <v>80343</v>
      </c>
      <c r="G24" s="339">
        <f>F24/'- 13 -'!$J$53*100</f>
        <v>3.5038191944154222E-3</v>
      </c>
      <c r="H24" s="120">
        <v>1549885</v>
      </c>
      <c r="I24" s="339">
        <f>H24/'- 13 -'!$J$53*100</f>
        <v>6.7591660905574169E-2</v>
      </c>
      <c r="J24" s="120">
        <v>4048841</v>
      </c>
      <c r="K24" s="339">
        <f>J24/'- 13 -'!$J$53*100</f>
        <v>0.1765730282779599</v>
      </c>
    </row>
    <row r="25" spans="1:12" x14ac:dyDescent="0.2">
      <c r="A25" s="121" t="s">
        <v>199</v>
      </c>
      <c r="B25" s="122">
        <v>4350839</v>
      </c>
      <c r="C25" s="340">
        <f>B25/'- 13 -'!$J$53*100</f>
        <v>0.18974339021459494</v>
      </c>
      <c r="D25" s="122">
        <v>402819</v>
      </c>
      <c r="E25" s="340">
        <f>D25/'- 13 -'!$J$53*100</f>
        <v>1.7567242249794328E-2</v>
      </c>
      <c r="F25" s="122">
        <v>64410</v>
      </c>
      <c r="G25" s="340">
        <f>F25/'- 13 -'!$J$53*100</f>
        <v>2.8089689744258657E-3</v>
      </c>
      <c r="H25" s="122">
        <v>47101</v>
      </c>
      <c r="I25" s="340">
        <f>H25/'- 13 -'!$J$53*100</f>
        <v>2.0541103503249913E-3</v>
      </c>
      <c r="J25" s="122">
        <v>1120663</v>
      </c>
      <c r="K25" s="340">
        <f>J25/'- 13 -'!$J$53*100</f>
        <v>4.8872963791135135E-2</v>
      </c>
    </row>
    <row r="26" spans="1:12" x14ac:dyDescent="0.2">
      <c r="A26" s="121" t="s">
        <v>200</v>
      </c>
      <c r="B26" s="122"/>
      <c r="C26" s="340">
        <f>B26/'- 13 -'!$J$53*100</f>
        <v>0</v>
      </c>
      <c r="D26" s="122"/>
      <c r="E26" s="340">
        <f>D26/'- 13 -'!$J$53*100</f>
        <v>0</v>
      </c>
      <c r="F26" s="122">
        <v>39766</v>
      </c>
      <c r="G26" s="340">
        <f>F26/'- 13 -'!$J$53*100</f>
        <v>1.7342254345135691E-3</v>
      </c>
      <c r="H26" s="122"/>
      <c r="I26" s="340">
        <f>H26/'- 13 -'!$J$53*100</f>
        <v>0</v>
      </c>
      <c r="J26" s="122"/>
      <c r="K26" s="340">
        <f>J26/'- 13 -'!$J$53*100</f>
        <v>0</v>
      </c>
    </row>
    <row r="27" spans="1:12" ht="19.5" customHeight="1" x14ac:dyDescent="0.2">
      <c r="A27" s="121" t="s">
        <v>222</v>
      </c>
      <c r="B27" s="122">
        <v>3264951.51</v>
      </c>
      <c r="C27" s="340">
        <f>B27/'- 13 -'!$J$53*100</f>
        <v>0.14238701280228039</v>
      </c>
      <c r="D27" s="122">
        <v>2380663</v>
      </c>
      <c r="E27" s="340">
        <f>D27/'- 13 -'!$J$53*100</f>
        <v>0.10382251988144084</v>
      </c>
      <c r="F27" s="122">
        <v>104665</v>
      </c>
      <c r="G27" s="340">
        <f>F27/'- 13 -'!$J$53*100</f>
        <v>4.5645200699935299E-3</v>
      </c>
      <c r="H27" s="122">
        <v>233477</v>
      </c>
      <c r="I27" s="340">
        <f>H27/'- 13 -'!$J$53*100</f>
        <v>1.0182109132774847E-2</v>
      </c>
      <c r="J27" s="122">
        <v>2399273</v>
      </c>
      <c r="K27" s="340">
        <f>J27/'- 13 -'!$J$53*100</f>
        <v>0.1046341161027429</v>
      </c>
      <c r="L27" s="641" t="s">
        <v>108</v>
      </c>
    </row>
    <row r="28" spans="1:12" ht="12.75" customHeight="1" x14ac:dyDescent="0.2">
      <c r="A28" s="121" t="s">
        <v>201</v>
      </c>
      <c r="B28" s="122"/>
      <c r="C28" s="340">
        <f>B28/'- 13 -'!$J$53*100</f>
        <v>0</v>
      </c>
      <c r="D28" s="122"/>
      <c r="E28" s="340">
        <f>D28/'- 13 -'!$J$53*100</f>
        <v>0</v>
      </c>
      <c r="F28" s="122"/>
      <c r="G28" s="340">
        <f>F28/'- 13 -'!$J$53*100</f>
        <v>0</v>
      </c>
      <c r="H28" s="122"/>
      <c r="I28" s="340">
        <f>H28/'- 13 -'!$J$53*100</f>
        <v>0</v>
      </c>
      <c r="J28" s="122"/>
      <c r="K28" s="340">
        <f>J28/'- 13 -'!$J$53*100</f>
        <v>0</v>
      </c>
      <c r="L28" s="642"/>
    </row>
    <row r="29" spans="1:12" ht="12.75" customHeight="1" x14ac:dyDescent="0.2">
      <c r="A29" s="121" t="s">
        <v>202</v>
      </c>
      <c r="B29" s="122">
        <v>1114115</v>
      </c>
      <c r="C29" s="340">
        <f>B29/'- 13 -'!$J$53*100</f>
        <v>4.8587400542500755E-2</v>
      </c>
      <c r="D29" s="122">
        <v>678296</v>
      </c>
      <c r="E29" s="340">
        <f>D29/'- 13 -'!$J$53*100</f>
        <v>2.9581003252246035E-2</v>
      </c>
      <c r="F29" s="122">
        <v>1067</v>
      </c>
      <c r="G29" s="340">
        <f>F29/'- 13 -'!$J$53*100</f>
        <v>4.6532679641552531E-5</v>
      </c>
      <c r="H29" s="122"/>
      <c r="I29" s="340">
        <f>H29/'- 13 -'!$J$53*100</f>
        <v>0</v>
      </c>
      <c r="J29" s="122"/>
      <c r="K29" s="340">
        <f>J29/'- 13 -'!$J$53*100</f>
        <v>0</v>
      </c>
      <c r="L29" s="642"/>
    </row>
    <row r="30" spans="1:12" ht="12.75" customHeight="1" x14ac:dyDescent="0.2">
      <c r="A30" s="121" t="s">
        <v>203</v>
      </c>
      <c r="B30" s="122">
        <v>371624</v>
      </c>
      <c r="C30" s="340">
        <f>B30/'- 13 -'!$J$53*100</f>
        <v>1.6206804628971245E-2</v>
      </c>
      <c r="D30" s="122">
        <v>24833</v>
      </c>
      <c r="E30" s="340">
        <f>D30/'- 13 -'!$J$53*100</f>
        <v>1.0829859733258425E-3</v>
      </c>
      <c r="F30" s="122">
        <v>6231</v>
      </c>
      <c r="G30" s="340">
        <f>F30/'- 13 -'!$J$53*100</f>
        <v>2.7173863809420225E-4</v>
      </c>
      <c r="H30" s="122">
        <v>68440</v>
      </c>
      <c r="I30" s="340">
        <f>H30/'- 13 -'!$J$53*100</f>
        <v>2.9847203323972401E-3</v>
      </c>
      <c r="J30" s="122">
        <v>158931</v>
      </c>
      <c r="K30" s="340">
        <f>J30/'- 13 -'!$J$53*100</f>
        <v>6.9311015071336322E-3</v>
      </c>
    </row>
    <row r="31" spans="1:12" x14ac:dyDescent="0.2">
      <c r="A31" s="121" t="s">
        <v>204</v>
      </c>
      <c r="B31" s="122">
        <v>140000</v>
      </c>
      <c r="C31" s="340">
        <f>B31/'- 13 -'!$J$53*100</f>
        <v>6.1055062322561901E-3</v>
      </c>
      <c r="D31" s="122">
        <v>16400</v>
      </c>
      <c r="E31" s="340">
        <f>D31/'- 13 -'!$J$53*100</f>
        <v>7.1521644435001085E-4</v>
      </c>
      <c r="F31" s="122">
        <v>2556</v>
      </c>
      <c r="G31" s="340">
        <f>F31/'- 13 -'!$J$53*100</f>
        <v>1.114690994974773E-4</v>
      </c>
      <c r="H31" s="122">
        <v>986</v>
      </c>
      <c r="I31" s="340">
        <f>H31/'- 13 -'!$J$53*100</f>
        <v>4.3000208178604307E-5</v>
      </c>
      <c r="J31" s="122">
        <v>1669194</v>
      </c>
      <c r="K31" s="340">
        <f>J31/'- 13 -'!$J$53*100</f>
        <v>7.2794816927461703E-2</v>
      </c>
    </row>
    <row r="32" spans="1:12" x14ac:dyDescent="0.2">
      <c r="A32" s="121" t="s">
        <v>205</v>
      </c>
      <c r="B32" s="122">
        <v>2745654</v>
      </c>
      <c r="C32" s="340">
        <f>B32/'- 13 -'!$J$53*100</f>
        <v>0.11974005434727955</v>
      </c>
      <c r="D32" s="122">
        <v>87497</v>
      </c>
      <c r="E32" s="340">
        <f>D32/'- 13 -'!$J$53*100</f>
        <v>3.8158105628837134E-3</v>
      </c>
      <c r="F32" s="122">
        <v>45174</v>
      </c>
      <c r="G32" s="340">
        <f>F32/'- 13 -'!$J$53*100</f>
        <v>1.9700724181138649E-3</v>
      </c>
      <c r="H32" s="122">
        <v>298354</v>
      </c>
      <c r="I32" s="340">
        <f>H32/'- 13 -'!$J$53*100</f>
        <v>1.3011444331561168E-2</v>
      </c>
      <c r="J32" s="122">
        <v>197201</v>
      </c>
      <c r="K32" s="340">
        <f>J32/'- 13 -'!$J$53*100</f>
        <v>8.6000852464796634E-3</v>
      </c>
    </row>
    <row r="33" spans="1:11" x14ac:dyDescent="0.2">
      <c r="A33" s="121" t="s">
        <v>206</v>
      </c>
      <c r="B33" s="122">
        <v>3293519</v>
      </c>
      <c r="C33" s="340">
        <f>B33/'- 13 -'!$J$53*100</f>
        <v>0.1436328627182441</v>
      </c>
      <c r="D33" s="122">
        <v>134783</v>
      </c>
      <c r="E33" s="340">
        <f>D33/'- 13 -'!$J$53*100</f>
        <v>5.8779889035870435E-3</v>
      </c>
      <c r="F33" s="122">
        <v>670676</v>
      </c>
      <c r="G33" s="340">
        <f>F33/'- 13 -'!$J$53*100</f>
        <v>2.9248689270176088E-2</v>
      </c>
      <c r="H33" s="122">
        <v>768949</v>
      </c>
      <c r="I33" s="340">
        <f>H33/'- 13 -'!$J$53*100</f>
        <v>3.353444936990832E-2</v>
      </c>
      <c r="J33" s="122">
        <v>-332440</v>
      </c>
      <c r="K33" s="340">
        <f>J33/'- 13 -'!$J$53*100</f>
        <v>-1.4497960656080342E-2</v>
      </c>
    </row>
    <row r="34" spans="1:11" x14ac:dyDescent="0.2">
      <c r="A34" s="392" t="s">
        <v>247</v>
      </c>
      <c r="B34" s="122"/>
      <c r="C34" s="340">
        <f>B34/'- 13 -'!$J$53*100</f>
        <v>0</v>
      </c>
      <c r="D34" s="122"/>
      <c r="E34" s="340">
        <f>D34/'- 13 -'!$J$53*100</f>
        <v>0</v>
      </c>
      <c r="F34" s="122">
        <v>3498</v>
      </c>
      <c r="G34" s="340">
        <f>F34/'- 13 -'!$J$53*100</f>
        <v>1.525504342888011E-4</v>
      </c>
      <c r="H34" s="122"/>
      <c r="I34" s="340">
        <f>H34/'- 13 -'!$J$53*100</f>
        <v>0</v>
      </c>
      <c r="J34" s="122"/>
      <c r="K34" s="340">
        <f>J34/'- 13 -'!$J$53*100</f>
        <v>0</v>
      </c>
    </row>
    <row r="35" spans="1:11" x14ac:dyDescent="0.2">
      <c r="A35" s="121" t="s">
        <v>207</v>
      </c>
      <c r="B35" s="122">
        <v>365829</v>
      </c>
      <c r="C35" s="340">
        <f>B35/'- 13 -'!$J$53*100</f>
        <v>1.595408028171464E-2</v>
      </c>
      <c r="D35" s="122">
        <v>29781</v>
      </c>
      <c r="E35" s="340">
        <f>D35/'- 13 -'!$J$53*100</f>
        <v>1.298772007877297E-3</v>
      </c>
      <c r="F35" s="122">
        <v>17283</v>
      </c>
      <c r="G35" s="340">
        <f>F35/'- 13 -'!$J$53*100</f>
        <v>7.5372474437202669E-4</v>
      </c>
      <c r="H35" s="122">
        <v>91668</v>
      </c>
      <c r="I35" s="340">
        <f>H35/'- 13 -'!$J$53*100</f>
        <v>3.9977110378461456E-3</v>
      </c>
      <c r="J35" s="122">
        <v>688994</v>
      </c>
      <c r="K35" s="340">
        <f>J35/'- 13 -'!$J$53*100</f>
        <v>3.0047551149908008E-2</v>
      </c>
    </row>
    <row r="36" spans="1:11" x14ac:dyDescent="0.2">
      <c r="A36" s="121" t="s">
        <v>208</v>
      </c>
      <c r="B36" s="122">
        <v>1101885</v>
      </c>
      <c r="C36" s="340">
        <f>B36/'- 13 -'!$J$53*100</f>
        <v>4.8054040962354369E-2</v>
      </c>
      <c r="D36" s="122">
        <v>122652</v>
      </c>
      <c r="E36" s="340">
        <f>D36/'- 13 -'!$J$53*100</f>
        <v>5.348946788562044E-3</v>
      </c>
      <c r="F36" s="122">
        <v>441</v>
      </c>
      <c r="G36" s="340">
        <f>F36/'- 13 -'!$J$53*100</f>
        <v>1.9232344631606996E-5</v>
      </c>
      <c r="H36" s="122">
        <v>2960</v>
      </c>
      <c r="I36" s="340">
        <f>H36/'- 13 -'!$J$53*100</f>
        <v>1.2908784605341659E-4</v>
      </c>
      <c r="J36" s="122">
        <v>2645587</v>
      </c>
      <c r="K36" s="340">
        <f>J36/'- 13 -'!$J$53*100</f>
        <v>0.11537605654625682</v>
      </c>
    </row>
    <row r="37" spans="1:11" x14ac:dyDescent="0.2">
      <c r="A37" s="126" t="s">
        <v>209</v>
      </c>
      <c r="B37" s="122">
        <v>405960</v>
      </c>
      <c r="C37" s="340">
        <f>B37/'- 13 -'!$J$53*100</f>
        <v>1.7704223643190877E-2</v>
      </c>
      <c r="D37" s="122">
        <v>217301</v>
      </c>
      <c r="E37" s="340">
        <f>D37/'- 13 -'!$J$53*100</f>
        <v>9.4766614983964447E-3</v>
      </c>
      <c r="F37" s="122">
        <v>36516</v>
      </c>
      <c r="G37" s="340">
        <f>F37/'- 13 -'!$J$53*100</f>
        <v>1.5924904684076217E-3</v>
      </c>
      <c r="H37" s="122">
        <v>44599</v>
      </c>
      <c r="I37" s="340">
        <f>H37/'- 13 -'!$J$53*100</f>
        <v>1.9449962318028131E-3</v>
      </c>
      <c r="J37" s="122">
        <v>1304824</v>
      </c>
      <c r="K37" s="340">
        <f>J37/'- 13 -'!$J$53*100</f>
        <v>5.6904364742838928E-2</v>
      </c>
    </row>
    <row r="38" spans="1:11" x14ac:dyDescent="0.2">
      <c r="A38" s="127" t="s">
        <v>210</v>
      </c>
      <c r="B38" s="122">
        <v>9871818</v>
      </c>
      <c r="C38" s="340">
        <f>B38/'- 13 -'!$J$53*100</f>
        <v>0.43051747373356308</v>
      </c>
      <c r="D38" s="122">
        <v>138911</v>
      </c>
      <c r="E38" s="340">
        <f>D38/'- 13 -'!$J$53*100</f>
        <v>6.0580141159209972E-3</v>
      </c>
      <c r="F38" s="122">
        <v>24786</v>
      </c>
      <c r="G38" s="340">
        <f>F38/'- 13 -'!$J$53*100</f>
        <v>1.0809362676621566E-3</v>
      </c>
      <c r="H38" s="122">
        <v>24331</v>
      </c>
      <c r="I38" s="340">
        <f>H38/'- 13 -'!$J$53*100</f>
        <v>1.0610933724073241E-3</v>
      </c>
      <c r="J38" s="122">
        <v>2647299</v>
      </c>
      <c r="K38" s="340">
        <f>J38/'- 13 -'!$J$53*100</f>
        <v>0.11545071816532557</v>
      </c>
    </row>
    <row r="39" spans="1:11" x14ac:dyDescent="0.2">
      <c r="A39" s="125" t="s">
        <v>211</v>
      </c>
      <c r="B39" s="342">
        <f>SUM(B24:B38)</f>
        <v>33630988.509999998</v>
      </c>
      <c r="C39" s="343">
        <f>B39/'- 13 -'!$J$53*100</f>
        <v>1.4666729281767237</v>
      </c>
      <c r="D39" s="342">
        <f>SUM(D24:D38)</f>
        <v>11762865</v>
      </c>
      <c r="E39" s="343">
        <f>D39/'- 13 -'!$J$53*100</f>
        <v>0.51298746833348718</v>
      </c>
      <c r="F39" s="342">
        <f>SUM(F24:F38)</f>
        <v>1097412</v>
      </c>
      <c r="G39" s="343">
        <f>F39/'- 13 -'!$J$53*100</f>
        <v>4.7858970038233785E-2</v>
      </c>
      <c r="H39" s="342">
        <f>SUM(H24:H38)</f>
        <v>3130750</v>
      </c>
      <c r="I39" s="343">
        <f>H39/'- 13 -'!$J$53*100</f>
        <v>0.13653438311882904</v>
      </c>
      <c r="J39" s="342">
        <f>SUM(J24:J38)</f>
        <v>16548367</v>
      </c>
      <c r="K39" s="343">
        <f>J39/'- 13 -'!$J$53*100</f>
        <v>0.72168684180116194</v>
      </c>
    </row>
    <row r="40" spans="1:11" x14ac:dyDescent="0.2">
      <c r="A40" s="314" t="s">
        <v>212</v>
      </c>
      <c r="B40" s="128"/>
      <c r="C40" s="341"/>
      <c r="D40" s="128"/>
      <c r="E40" s="341"/>
      <c r="F40" s="128"/>
      <c r="G40" s="341"/>
      <c r="H40" s="128"/>
      <c r="I40" s="341"/>
      <c r="J40" s="128"/>
      <c r="K40" s="341"/>
    </row>
    <row r="41" spans="1:11" x14ac:dyDescent="0.2">
      <c r="A41" s="121" t="s">
        <v>213</v>
      </c>
      <c r="B41" s="122">
        <v>32779964</v>
      </c>
      <c r="C41" s="340">
        <f>B41/'- 13 -'!$J$53*100</f>
        <v>1.4295591035366682</v>
      </c>
      <c r="D41" s="122">
        <v>2816641</v>
      </c>
      <c r="E41" s="340">
        <f>D41/'- 13 -'!$J$53*100</f>
        <v>0.12283585128234505</v>
      </c>
      <c r="F41" s="122">
        <v>263410</v>
      </c>
      <c r="G41" s="340">
        <f>F41/'- 13 -'!$J$53*100</f>
        <v>1.1487509975990021E-2</v>
      </c>
      <c r="H41" s="122">
        <v>1477121</v>
      </c>
      <c r="I41" s="340">
        <f>H41/'- 13 -'!$J$53*100</f>
        <v>6.4418367652117822E-2</v>
      </c>
      <c r="J41" s="122">
        <v>1606285</v>
      </c>
      <c r="K41" s="340">
        <f>J41/'- 13 -'!$J$53*100</f>
        <v>7.0051307701997384E-2</v>
      </c>
    </row>
    <row r="42" spans="1:11" x14ac:dyDescent="0.2">
      <c r="A42" s="121" t="s">
        <v>214</v>
      </c>
      <c r="B42" s="122">
        <v>11428442</v>
      </c>
      <c r="C42" s="340">
        <f>B42/'- 13 -'!$J$53*100</f>
        <v>0.49840302754270277</v>
      </c>
      <c r="D42" s="122">
        <v>639407</v>
      </c>
      <c r="E42" s="340">
        <f>D42/'- 13 -'!$J$53*100</f>
        <v>2.7885024453201668E-2</v>
      </c>
      <c r="F42" s="122">
        <v>82387</v>
      </c>
      <c r="G42" s="340">
        <f>F42/'- 13 -'!$J$53*100</f>
        <v>3.592959585406362E-3</v>
      </c>
      <c r="H42" s="122">
        <v>117966</v>
      </c>
      <c r="I42" s="340">
        <f>H42/'- 13 -'!$J$53*100</f>
        <v>5.1445867728166688E-3</v>
      </c>
      <c r="J42" s="122">
        <v>96961</v>
      </c>
      <c r="K42" s="340">
        <f>J42/'- 13 -'!$J$53*100</f>
        <v>4.2285427841842315E-3</v>
      </c>
    </row>
    <row r="43" spans="1:11" x14ac:dyDescent="0.2">
      <c r="A43" s="121" t="s">
        <v>215</v>
      </c>
      <c r="B43" s="122">
        <v>13998787</v>
      </c>
      <c r="C43" s="340">
        <f>B43/'- 13 -'!$J$53*100</f>
        <v>0.61049772337519237</v>
      </c>
      <c r="D43" s="122">
        <v>658162</v>
      </c>
      <c r="E43" s="340">
        <f>D43/'- 13 -'!$J$53*100</f>
        <v>2.8702944234529987E-2</v>
      </c>
      <c r="F43" s="122">
        <v>121706</v>
      </c>
      <c r="G43" s="340">
        <f>F43/'- 13 -'!$J$53*100</f>
        <v>5.307691010735513E-3</v>
      </c>
      <c r="H43" s="122">
        <v>68106</v>
      </c>
      <c r="I43" s="340">
        <f>H43/'- 13 -'!$J$53*100</f>
        <v>2.9701543389574294E-3</v>
      </c>
      <c r="J43" s="122">
        <v>313946</v>
      </c>
      <c r="K43" s="340">
        <f>J43/'- 13 -'!$J$53*100</f>
        <v>1.3691423282799299E-2</v>
      </c>
    </row>
    <row r="44" spans="1:11" x14ac:dyDescent="0.2">
      <c r="A44" s="127" t="s">
        <v>216</v>
      </c>
      <c r="B44" s="122">
        <v>24294408</v>
      </c>
      <c r="C44" s="340">
        <f>B44/'- 13 -'!$J$53*100</f>
        <v>1.0594975675212475</v>
      </c>
      <c r="D44" s="122">
        <v>785963</v>
      </c>
      <c r="E44" s="340">
        <f>D44/'- 13 -'!$J$53*100</f>
        <v>3.4276442820162657E-2</v>
      </c>
      <c r="F44" s="122">
        <v>166542</v>
      </c>
      <c r="G44" s="340">
        <f>F44/'- 13 -'!$J$53*100</f>
        <v>7.2630229923743607E-3</v>
      </c>
      <c r="H44" s="122">
        <v>61326</v>
      </c>
      <c r="I44" s="340">
        <f>H44/'- 13 -'!$J$53*100</f>
        <v>2.674473394281022E-3</v>
      </c>
      <c r="J44" s="122">
        <v>932392</v>
      </c>
      <c r="K44" s="340">
        <f>J44/'- 13 -'!$J$53*100</f>
        <v>4.0662322620755809E-2</v>
      </c>
    </row>
    <row r="45" spans="1:11" x14ac:dyDescent="0.2">
      <c r="A45" s="125" t="s">
        <v>217</v>
      </c>
      <c r="B45" s="342">
        <f>SUM(B41:B44)</f>
        <v>82501601</v>
      </c>
      <c r="C45" s="343">
        <f>B45/'- 13 -'!$J$53*100</f>
        <v>3.5979574219758108</v>
      </c>
      <c r="D45" s="342">
        <f>SUM(D41:D44)</f>
        <v>4900173</v>
      </c>
      <c r="E45" s="343">
        <f>D45/'- 13 -'!$J$53*100</f>
        <v>0.21370026279023935</v>
      </c>
      <c r="F45" s="342">
        <f>SUM(F41:F44)</f>
        <v>634045</v>
      </c>
      <c r="G45" s="343">
        <f>F45/'- 13 -'!$J$53*100</f>
        <v>2.7651183564506254E-2</v>
      </c>
      <c r="H45" s="342">
        <f>SUM(H41:H44)</f>
        <v>1724519</v>
      </c>
      <c r="I45" s="343">
        <f>H45/'- 13 -'!$J$53*100</f>
        <v>7.5207582158172942E-2</v>
      </c>
      <c r="J45" s="342">
        <f>SUM(J41:J44)</f>
        <v>2949584</v>
      </c>
      <c r="K45" s="343">
        <f>J45/'- 13 -'!$J$53*100</f>
        <v>0.12863359638973673</v>
      </c>
    </row>
    <row r="46" spans="1:11" x14ac:dyDescent="0.2">
      <c r="A46" s="313" t="s">
        <v>47</v>
      </c>
      <c r="B46" s="128"/>
      <c r="C46" s="341"/>
      <c r="D46" s="128"/>
      <c r="E46" s="341"/>
      <c r="F46" s="128"/>
      <c r="G46" s="341"/>
      <c r="H46" s="128"/>
      <c r="I46" s="341"/>
      <c r="J46" s="128"/>
      <c r="K46" s="341"/>
    </row>
    <row r="47" spans="1:11" ht="14.25" x14ac:dyDescent="0.2">
      <c r="A47" s="127" t="s">
        <v>243</v>
      </c>
      <c r="B47" s="122"/>
      <c r="C47" s="340"/>
      <c r="D47" s="122"/>
      <c r="E47" s="340"/>
      <c r="F47" s="122">
        <v>52086</v>
      </c>
      <c r="G47" s="340"/>
      <c r="H47" s="122">
        <v>60005</v>
      </c>
      <c r="I47" s="340"/>
      <c r="J47" s="122">
        <v>-112091</v>
      </c>
      <c r="K47" s="340"/>
    </row>
    <row r="48" spans="1:11" x14ac:dyDescent="0.2">
      <c r="A48" s="125" t="s">
        <v>220</v>
      </c>
      <c r="B48" s="342"/>
      <c r="C48" s="343"/>
      <c r="D48" s="342"/>
      <c r="E48" s="343"/>
      <c r="F48" s="342">
        <f>F47</f>
        <v>52086</v>
      </c>
      <c r="G48" s="343"/>
      <c r="H48" s="342">
        <f>H47</f>
        <v>60005</v>
      </c>
      <c r="I48" s="343"/>
      <c r="J48" s="342">
        <f>J47</f>
        <v>-112091</v>
      </c>
      <c r="K48" s="343"/>
    </row>
    <row r="49" spans="1:11" ht="5.0999999999999996" customHeight="1" x14ac:dyDescent="0.2">
      <c r="A49" s="23"/>
      <c r="B49" s="32"/>
      <c r="C49" s="129"/>
      <c r="D49" s="57"/>
      <c r="E49" s="129"/>
      <c r="F49" s="57"/>
      <c r="G49" s="129"/>
      <c r="H49" s="57"/>
      <c r="I49" s="129"/>
      <c r="J49" s="57"/>
      <c r="K49" s="129"/>
    </row>
    <row r="50" spans="1:11" x14ac:dyDescent="0.2">
      <c r="A50" s="315" t="s">
        <v>221</v>
      </c>
      <c r="B50" s="344">
        <f>SUM(B48,B45,B39,B22,B21)</f>
        <v>1277008013.51</v>
      </c>
      <c r="C50" s="345">
        <f>B50/'- 13 -'!$J$53*100</f>
        <v>55.691288465188585</v>
      </c>
      <c r="D50" s="344">
        <f>SUM(D48,D45,D39,D22,D21)</f>
        <v>424076517</v>
      </c>
      <c r="E50" s="345">
        <f>D50/'- 13 -'!$J$53*100</f>
        <v>18.494298696407128</v>
      </c>
      <c r="F50" s="344">
        <f>SUM(F48,F45,F39,F22,F21)</f>
        <v>11079825</v>
      </c>
      <c r="G50" s="345">
        <f>F50/'- 13 -'!$J$53*100</f>
        <v>0.4831995756414853</v>
      </c>
      <c r="H50" s="344">
        <f>SUM(H48,H45,H39,H22,H21)</f>
        <v>25126863</v>
      </c>
      <c r="I50" s="345">
        <f>H50/'- 13 -'!$J$53*100</f>
        <v>1.0958015617396246</v>
      </c>
      <c r="J50" s="344">
        <f>SUM(J48,J45,J39,J22,J21)</f>
        <v>77793637</v>
      </c>
      <c r="K50" s="345">
        <f>J50/'- 13 -'!$J$53*100</f>
        <v>3.3926395395241125</v>
      </c>
    </row>
    <row r="51" spans="1:11" ht="15.95" customHeight="1" x14ac:dyDescent="0.2">
      <c r="A51" s="414" t="s">
        <v>393</v>
      </c>
    </row>
    <row r="52" spans="1:11" x14ac:dyDescent="0.2">
      <c r="A52" s="132"/>
      <c r="B52" s="2">
        <f>+B50-'- 15 -'!B48</f>
        <v>0</v>
      </c>
      <c r="D52" s="2">
        <f>+D50-'- 15 -'!E48</f>
        <v>0</v>
      </c>
      <c r="F52" s="2">
        <f>+F50-'- 15 -'!H48</f>
        <v>0</v>
      </c>
      <c r="H52" s="2">
        <f>H50-'- 16 -'!B48</f>
        <v>0</v>
      </c>
      <c r="J52" s="2">
        <f>+J50-'- 16 -'!D48</f>
        <v>0</v>
      </c>
    </row>
    <row r="54" spans="1:11" x14ac:dyDescent="0.2">
      <c r="F54" s="2">
        <f>+F50-'- 15 -'!H48</f>
        <v>0</v>
      </c>
      <c r="J54" s="2">
        <f>+J50-'- 16 -'!D48</f>
        <v>0</v>
      </c>
    </row>
  </sheetData>
  <mergeCells count="6">
    <mergeCell ref="L27:L29"/>
    <mergeCell ref="B8:C9"/>
    <mergeCell ref="D8:E9"/>
    <mergeCell ref="F8:G9"/>
    <mergeCell ref="H8:I9"/>
    <mergeCell ref="J8:K9"/>
  </mergeCells>
  <phoneticPr fontId="6" type="noConversion"/>
  <printOptions verticalCentered="1"/>
  <pageMargins left="0.51181102362204722" right="0" top="0.59055118110236227" bottom="0.19685039370078741" header="0.31496062992125984" footer="0.51181102362204722"/>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68</vt:i4>
      </vt:variant>
    </vt:vector>
  </HeadingPairs>
  <TitlesOfParts>
    <vt:vector size="128" baseType="lpstr">
      <vt:lpstr>README</vt:lpstr>
      <vt:lpstr>- 3 -</vt:lpstr>
      <vt:lpstr>- 4 -</vt:lpstr>
      <vt:lpstr>- 6 -</vt:lpstr>
      <vt:lpstr>- 7 -</vt:lpstr>
      <vt:lpstr>- 8 -</vt:lpstr>
      <vt:lpstr>- 9 -</vt:lpstr>
      <vt:lpstr>- 10 -</vt:lpstr>
      <vt:lpstr>- 12 -</vt:lpstr>
      <vt:lpstr>- 13 -</vt:lpstr>
      <vt:lpstr>- 15 -</vt:lpstr>
      <vt:lpstr>- 16 -</vt:lpstr>
      <vt:lpstr>- 17 -</vt:lpstr>
      <vt:lpstr>- 18 -</vt:lpstr>
      <vt:lpstr>- 19 -</vt:lpstr>
      <vt:lpstr>- 20 -</vt:lpstr>
      <vt:lpstr>- 21 -</vt:lpstr>
      <vt:lpstr>- 22 -</vt:lpstr>
      <vt:lpstr>- 23 -</vt:lpstr>
      <vt:lpstr>- 24 -</vt:lpstr>
      <vt:lpstr>- 25 -</vt:lpstr>
      <vt:lpstr>- 26 -</vt:lpstr>
      <vt:lpstr>- 27 -</vt:lpstr>
      <vt:lpstr>- 28 -</vt:lpstr>
      <vt:lpstr>- 29 -</vt:lpstr>
      <vt:lpstr>- 30 -</vt:lpstr>
      <vt:lpstr>- 31 -</vt:lpstr>
      <vt:lpstr>- 32 -</vt:lpstr>
      <vt:lpstr>- 33 -</vt:lpstr>
      <vt:lpstr>- 34 -</vt:lpstr>
      <vt:lpstr>- 35 -</vt:lpstr>
      <vt:lpstr>- 36 -</vt:lpstr>
      <vt:lpstr>- 37 -</vt:lpstr>
      <vt:lpstr>- 38 -</vt:lpstr>
      <vt:lpstr>- 40 -</vt:lpstr>
      <vt:lpstr>- 41 -</vt:lpstr>
      <vt:lpstr>- 42 -</vt:lpstr>
      <vt:lpstr>- 43 -</vt:lpstr>
      <vt:lpstr>- 44 -</vt:lpstr>
      <vt:lpstr>- 45 -</vt:lpstr>
      <vt:lpstr>- 46 -</vt:lpstr>
      <vt:lpstr>- 47 -</vt:lpstr>
      <vt:lpstr>- 48 -</vt:lpstr>
      <vt:lpstr>- 49 -</vt:lpstr>
      <vt:lpstr>- 50 -</vt:lpstr>
      <vt:lpstr>- 51 -</vt:lpstr>
      <vt:lpstr>- 53 -</vt:lpstr>
      <vt:lpstr>- 54 - </vt:lpstr>
      <vt:lpstr>- 55 -</vt:lpstr>
      <vt:lpstr>- 57 -</vt:lpstr>
      <vt:lpstr>- 58 -</vt:lpstr>
      <vt:lpstr>- 59 -</vt:lpstr>
      <vt:lpstr>- 60 -</vt:lpstr>
      <vt:lpstr>- 61 -</vt:lpstr>
      <vt:lpstr>- 62 -</vt:lpstr>
      <vt:lpstr>- 63 -</vt:lpstr>
      <vt:lpstr>- 64 -</vt:lpstr>
      <vt:lpstr>- 65 -</vt:lpstr>
      <vt:lpstr>- 66 -</vt:lpstr>
      <vt:lpstr>Data</vt:lpstr>
      <vt:lpstr>'- 48 -'!capyear</vt:lpstr>
      <vt:lpstr>capyear</vt:lpstr>
      <vt:lpstr>CurrY</vt:lpstr>
      <vt:lpstr>FALLYR</vt:lpstr>
      <vt:lpstr>OPYEAR</vt:lpstr>
      <vt:lpstr>PrevY</vt:lpstr>
      <vt:lpstr>'- 10 -'!Print_Area</vt:lpstr>
      <vt:lpstr>'- 12 -'!Print_Area</vt:lpstr>
      <vt:lpstr>'- 13 -'!Print_Area</vt:lpstr>
      <vt:lpstr>'- 15 -'!Print_Area</vt:lpstr>
      <vt:lpstr>'- 16 -'!Print_Area</vt:lpstr>
      <vt:lpstr>'- 17 -'!Print_Area</vt:lpstr>
      <vt:lpstr>'- 18 -'!Print_Area</vt:lpstr>
      <vt:lpstr>'- 19 -'!Print_Area</vt:lpstr>
      <vt:lpstr>'- 20 -'!Print_Area</vt:lpstr>
      <vt:lpstr>'- 21 -'!Print_Area</vt:lpstr>
      <vt:lpstr>'- 22 -'!Print_Area</vt:lpstr>
      <vt:lpstr>'- 23 -'!Print_Area</vt:lpstr>
      <vt:lpstr>'- 24 -'!Print_Area</vt:lpstr>
      <vt:lpstr>'- 25 -'!Print_Area</vt:lpstr>
      <vt:lpstr>'- 26 -'!Print_Area</vt:lpstr>
      <vt:lpstr>'- 27 -'!Print_Area</vt:lpstr>
      <vt:lpstr>'- 28 -'!Print_Area</vt:lpstr>
      <vt:lpstr>'- 29 -'!Print_Area</vt:lpstr>
      <vt:lpstr>'- 3 -'!Print_Area</vt:lpstr>
      <vt:lpstr>'- 30 -'!Print_Area</vt:lpstr>
      <vt:lpstr>'- 31 -'!Print_Area</vt:lpstr>
      <vt:lpstr>'- 32 -'!Print_Area</vt:lpstr>
      <vt:lpstr>'- 33 -'!Print_Area</vt:lpstr>
      <vt:lpstr>'- 34 -'!Print_Area</vt:lpstr>
      <vt:lpstr>'- 35 -'!Print_Area</vt:lpstr>
      <vt:lpstr>'- 36 -'!Print_Area</vt:lpstr>
      <vt:lpstr>'- 37 -'!Print_Area</vt:lpstr>
      <vt:lpstr>'- 38 -'!Print_Area</vt:lpstr>
      <vt:lpstr>'- 4 -'!Print_Area</vt:lpstr>
      <vt:lpstr>'- 40 -'!Print_Area</vt:lpstr>
      <vt:lpstr>'- 41 -'!Print_Area</vt:lpstr>
      <vt:lpstr>'- 42 -'!Print_Area</vt:lpstr>
      <vt:lpstr>'- 43 -'!Print_Area</vt:lpstr>
      <vt:lpstr>'- 44 -'!Print_Area</vt:lpstr>
      <vt:lpstr>'- 45 -'!Print_Area</vt:lpstr>
      <vt:lpstr>'- 46 -'!Print_Area</vt:lpstr>
      <vt:lpstr>'- 47 -'!Print_Area</vt:lpstr>
      <vt:lpstr>'- 48 -'!Print_Area</vt:lpstr>
      <vt:lpstr>'- 49 -'!Print_Area</vt:lpstr>
      <vt:lpstr>'- 50 -'!Print_Area</vt:lpstr>
      <vt:lpstr>'- 51 -'!Print_Area</vt:lpstr>
      <vt:lpstr>'- 53 -'!Print_Area</vt:lpstr>
      <vt:lpstr>'- 54 - '!Print_Area</vt:lpstr>
      <vt:lpstr>'- 55 -'!Print_Area</vt:lpstr>
      <vt:lpstr>'- 57 -'!Print_Area</vt:lpstr>
      <vt:lpstr>'- 58 -'!Print_Area</vt:lpstr>
      <vt:lpstr>'- 59 -'!Print_Area</vt:lpstr>
      <vt:lpstr>'- 6 -'!Print_Area</vt:lpstr>
      <vt:lpstr>'- 60 -'!Print_Area</vt:lpstr>
      <vt:lpstr>'- 61 -'!Print_Area</vt:lpstr>
      <vt:lpstr>'- 62 -'!Print_Area</vt:lpstr>
      <vt:lpstr>'- 63 -'!Print_Area</vt:lpstr>
      <vt:lpstr>'- 64 -'!Print_Area</vt:lpstr>
      <vt:lpstr>'- 65 -'!Print_Area</vt:lpstr>
      <vt:lpstr>'- 66 -'!Print_Area</vt:lpstr>
      <vt:lpstr>'- 7 -'!Print_Area</vt:lpstr>
      <vt:lpstr>'- 8 -'!Print_Area</vt:lpstr>
      <vt:lpstr>'- 9 -'!Print_Area</vt:lpstr>
      <vt:lpstr>REVYEAR</vt:lpstr>
      <vt:lpstr>SPRINGYR</vt:lpstr>
      <vt:lpstr>STATDATE</vt:lpstr>
      <vt:lpstr>TAXYEAR</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 Anderson</dc:creator>
  <cp:lastModifiedBy>GPizarro</cp:lastModifiedBy>
  <cp:lastPrinted>2018-04-27T14:53:51Z</cp:lastPrinted>
  <dcterms:created xsi:type="dcterms:W3CDTF">1999-01-19T20:49:35Z</dcterms:created>
  <dcterms:modified xsi:type="dcterms:W3CDTF">2018-05-18T18:27:33Z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-225461874</vt:i4>
  </property>
  <property fmtid="{D5CDD505-2E9C-101B-9397-08002B2CF9AE}" pid="3" name="_NewReviewCycle">
    <vt:lpwstr/>
  </property>
  <property fmtid="{D5CDD505-2E9C-101B-9397-08002B2CF9AE}" pid="4" name="_EmailSubject">
    <vt:lpwstr>2016/17 Frame Report - Actual to be posted</vt:lpwstr>
  </property>
  <property fmtid="{D5CDD505-2E9C-101B-9397-08002B2CF9AE}" pid="5" name="_AuthorEmail">
    <vt:lpwstr>Gonzalo.Pizarro@gov.mb.ca</vt:lpwstr>
  </property>
  <property fmtid="{D5CDD505-2E9C-101B-9397-08002B2CF9AE}" pid="6" name="_AuthorEmailDisplayName">
    <vt:lpwstr>Pizarro, Gonzalo (MET)</vt:lpwstr>
  </property>
</Properties>
</file>