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[1]Data!$B$5</definedName>
    <definedName name="CurrY">Data!$B$5</definedName>
    <definedName name="DATE_ENTRY" localSheetId="44">#REF!</definedName>
    <definedName name="DATE_ENTRY" localSheetId="0">#REF!</definedName>
    <definedName name="DATE_ENTRY">#REF!</definedName>
    <definedName name="DIV">[2]Data!$A$9:$A$696</definedName>
    <definedName name="DIVNUM">[3]DATA!$B$1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[3]DATA!$D$1:$D$39</definedName>
    <definedName name="LOADED1" localSheetId="44">#REF!</definedName>
    <definedName name="LOADED1" localSheetId="0">#REF!</definedName>
    <definedName name="LOADED1">#REF!</definedName>
    <definedName name="LOADED2" localSheetId="44">#REF!</definedName>
    <definedName name="LOADED2">#REF!</definedName>
    <definedName name="LOADED3" localSheetId="44">#REF!</definedName>
    <definedName name="LOADED3">#REF!</definedName>
    <definedName name="NOW" localSheetId="44">#REF!</definedName>
    <definedName name="NOW">#REF!</definedName>
    <definedName name="OD_FINISH" localSheetId="44">#REF!</definedName>
    <definedName name="OD_FINISH">#REF!</definedName>
    <definedName name="OD_FIRST" localSheetId="44">#REF!</definedName>
    <definedName name="OD_FIRST">#REF!</definedName>
    <definedName name="OD_LAST" localSheetId="44">#REF!</definedName>
    <definedName name="OD_LAST">#REF!</definedName>
    <definedName name="OD_START" localSheetId="44">#REF!</definedName>
    <definedName name="OD_START">#REF!</definedName>
    <definedName name="ONE_AM" localSheetId="44">#REF!</definedName>
    <definedName name="ONE_AM">#REF!</definedName>
    <definedName name="ONE_PM" localSheetId="44">#REF!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'- 62 -'!$A$1:$F$62</definedName>
    <definedName name="_xlnm.Print_Area" localSheetId="55">'- 63 -'!$A$2:$H$55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REVYEAR" localSheetId="0">'[1]- 42 -'!$B$1</definedName>
    <definedName name="REVYEAR">'- 41 -'!$B$1</definedName>
    <definedName name="SPRINGYR" localSheetId="0">[1]Data!$B$7</definedName>
    <definedName name="SPRINGYR">Data!$B$7</definedName>
    <definedName name="STAMP" localSheetId="44">#REF!</definedName>
    <definedName name="STAMP" localSheetId="0">#REF!</definedName>
    <definedName name="STAMP">#REF!</definedName>
    <definedName name="STATDATE" localSheetId="0">'[1]- 6 -'!$B$3</definedName>
    <definedName name="STATDATE">'- 6 -'!$B$3</definedName>
    <definedName name="TAXYEAR" localSheetId="47">'[4]- 46 -'!$B$3</definedName>
    <definedName name="TAXYEAR" localSheetId="0">'[1]- 52 -'!$B$3</definedName>
    <definedName name="TAXYEAR">'- 51 -'!$B$3</definedName>
    <definedName name="TOTAL1" localSheetId="44">#REF!</definedName>
    <definedName name="TOTAL1" localSheetId="0">#REF!</definedName>
    <definedName name="TOTAL1">#REF!</definedName>
    <definedName name="TOTAL2" localSheetId="44">#REF!</definedName>
    <definedName name="TOTAL2">#REF!</definedName>
    <definedName name="TOTAL3" localSheetId="44">#REF!</definedName>
    <definedName name="TOTAL3">#REF!</definedName>
    <definedName name="TWO" localSheetId="44">#REF!</definedName>
    <definedName name="TWO">#REF!</definedName>
  </definedNames>
  <calcPr calcId="125725"/>
</workbook>
</file>

<file path=xl/calcChain.xml><?xml version="1.0" encoding="utf-8"?>
<calcChain xmlns="http://schemas.openxmlformats.org/spreadsheetml/2006/main">
  <c r="H48" i="38659"/>
  <c r="H47"/>
  <c r="H46"/>
  <c r="H45"/>
  <c r="H44"/>
  <c r="H43"/>
  <c r="H42"/>
  <c r="H41"/>
  <c r="H40"/>
  <c r="H39"/>
  <c r="H38"/>
  <c r="H37"/>
  <c r="H36"/>
  <c r="H35"/>
  <c r="H34"/>
  <c r="H33"/>
  <c r="H32"/>
  <c r="H31"/>
  <c r="H30"/>
  <c r="H29"/>
  <c r="H28"/>
  <c r="H27"/>
  <c r="H26"/>
  <c r="H25"/>
  <c r="H24"/>
  <c r="H23"/>
  <c r="H22"/>
  <c r="H21"/>
  <c r="H19"/>
  <c r="H18"/>
  <c r="H17"/>
  <c r="H15"/>
  <c r="H14"/>
  <c r="H13"/>
  <c r="P48" i="3188" l="1"/>
  <c r="O48" l="1"/>
  <c r="N48"/>
  <c r="D2" i="38658"/>
  <c r="D48" i="25" l="1"/>
  <c r="B60" i="3188" l="1"/>
  <c r="B61" s="1"/>
  <c r="B62" s="1"/>
  <c r="B63" s="1"/>
  <c r="B64" s="1"/>
  <c r="B65" s="1"/>
  <c r="B66" s="1"/>
  <c r="B67" s="1"/>
  <c r="B68" s="1"/>
  <c r="B69" s="1"/>
  <c r="B70" s="1"/>
  <c r="B71" s="1"/>
  <c r="B59"/>
  <c r="B58"/>
  <c r="B57"/>
  <c r="E48" i="26" l="1"/>
  <c r="B48" i="82" l="1"/>
  <c r="D48" i="48" l="1"/>
  <c r="C48"/>
  <c r="B48"/>
  <c r="F48" i="32"/>
  <c r="B48" i="35" l="1"/>
  <c r="B48" i="33"/>
  <c r="F48" i="34"/>
  <c r="D48" i="35"/>
  <c r="D48" i="33"/>
  <c r="B48" i="34"/>
  <c r="C48" i="33"/>
  <c r="D48" i="34"/>
  <c r="H48" i="26"/>
  <c r="B48" i="27" l="1"/>
  <c r="E48" i="38655"/>
  <c r="B48" i="38656"/>
  <c r="E48" i="8"/>
  <c r="E48" i="9"/>
  <c r="B48" i="7"/>
  <c r="E48" i="10"/>
  <c r="B48" i="11"/>
  <c r="H48"/>
  <c r="D48" i="82"/>
  <c r="H48" i="25"/>
  <c r="B48" i="9"/>
  <c r="H48"/>
  <c r="H48" i="10"/>
  <c r="B48" i="25"/>
  <c r="F48"/>
  <c r="H48" i="38655"/>
  <c r="E48" i="38656"/>
  <c r="B48" i="38655"/>
  <c r="B48" i="26"/>
  <c r="E48" i="11"/>
  <c r="B48" i="10"/>
  <c r="B48" i="8"/>
  <c r="B48" i="5" l="1"/>
  <c r="C13" i="46" l="1"/>
  <c r="C20"/>
  <c r="C12"/>
  <c r="C17"/>
  <c r="C21"/>
  <c r="C25"/>
  <c r="C28"/>
  <c r="C29"/>
  <c r="C32"/>
  <c r="C33"/>
  <c r="C36"/>
  <c r="C37"/>
  <c r="C40"/>
  <c r="C41"/>
  <c r="C44"/>
  <c r="C45"/>
  <c r="C51"/>
  <c r="C16"/>
  <c r="C24"/>
  <c r="F48" i="47"/>
  <c r="C48" i="81"/>
  <c r="E48"/>
  <c r="G48"/>
  <c r="E48" i="38665"/>
  <c r="G48"/>
  <c r="C48" i="70"/>
  <c r="B48" i="45"/>
  <c r="F48" i="44"/>
  <c r="B48"/>
  <c r="D48" i="43"/>
  <c r="D48" i="37"/>
  <c r="B48" i="36"/>
  <c r="C14" i="46"/>
  <c r="C18"/>
  <c r="C22"/>
  <c r="C26"/>
  <c r="C30"/>
  <c r="C34"/>
  <c r="C38"/>
  <c r="C42"/>
  <c r="C46"/>
  <c r="C15"/>
  <c r="C19"/>
  <c r="C23"/>
  <c r="C27"/>
  <c r="C31"/>
  <c r="C35"/>
  <c r="C39"/>
  <c r="C43"/>
  <c r="C50"/>
  <c r="S48" i="3188"/>
  <c r="U48"/>
  <c r="T48"/>
  <c r="C48" i="47"/>
  <c r="D48"/>
  <c r="E48"/>
  <c r="B48" i="81"/>
  <c r="D48"/>
  <c r="F48"/>
  <c r="C48" i="38665"/>
  <c r="F48"/>
  <c r="B48" i="70"/>
  <c r="D48" i="44"/>
  <c r="G48" i="43"/>
  <c r="C48"/>
  <c r="A53" i="44" s="1"/>
  <c r="D48" i="36"/>
  <c r="C11" i="46"/>
  <c r="F48" i="36"/>
  <c r="B48" i="37"/>
  <c r="H48" i="44"/>
  <c r="D48" i="45"/>
  <c r="B48" i="38665"/>
  <c r="B48" i="47"/>
  <c r="C48" i="38668"/>
  <c r="E48" i="43" l="1"/>
  <c r="R48" i="3188"/>
  <c r="F48" i="46"/>
  <c r="B48" i="52"/>
  <c r="D48"/>
  <c r="B48" i="46"/>
  <c r="E48"/>
  <c r="C48" i="78"/>
  <c r="D48" i="46"/>
  <c r="E48" i="78"/>
  <c r="D48"/>
  <c r="Q48" i="3188"/>
  <c r="C48" i="52"/>
  <c r="J48" i="3188"/>
  <c r="E48"/>
  <c r="I48"/>
  <c r="H48"/>
  <c r="C48"/>
  <c r="B48" i="78"/>
  <c r="D48" i="3188"/>
  <c r="F48"/>
  <c r="G48"/>
  <c r="I28" i="41" l="1"/>
  <c r="A3" i="38666" l="1"/>
  <c r="A3" i="38651"/>
  <c r="A3" i="38668" s="1"/>
  <c r="A57" i="78" l="1"/>
  <c r="C48" i="38654" l="1"/>
  <c r="C46"/>
  <c r="C45"/>
  <c r="C44"/>
  <c r="C43"/>
  <c r="C42"/>
  <c r="C41"/>
  <c r="C40"/>
  <c r="C39"/>
  <c r="C38"/>
  <c r="C37"/>
  <c r="C36"/>
  <c r="C35"/>
  <c r="C34"/>
  <c r="C33"/>
  <c r="C32"/>
  <c r="C31"/>
  <c r="C30"/>
  <c r="C29"/>
  <c r="C28"/>
  <c r="C27"/>
  <c r="C26"/>
  <c r="C25"/>
  <c r="C24"/>
  <c r="C23"/>
  <c r="C22"/>
  <c r="C21"/>
  <c r="C20"/>
  <c r="C19"/>
  <c r="C18"/>
  <c r="C17"/>
  <c r="C16"/>
  <c r="C15"/>
  <c r="C14"/>
  <c r="C13"/>
  <c r="C12"/>
  <c r="C11"/>
  <c r="F48"/>
  <c r="F46"/>
  <c r="F45"/>
  <c r="F44"/>
  <c r="F43"/>
  <c r="F42"/>
  <c r="F41"/>
  <c r="F40"/>
  <c r="F39"/>
  <c r="F38"/>
  <c r="F37"/>
  <c r="F36"/>
  <c r="F35"/>
  <c r="F34"/>
  <c r="F33"/>
  <c r="F32"/>
  <c r="F31"/>
  <c r="F30"/>
  <c r="F29"/>
  <c r="F28"/>
  <c r="F27"/>
  <c r="F26"/>
  <c r="F25"/>
  <c r="F24"/>
  <c r="F23"/>
  <c r="F22"/>
  <c r="F21"/>
  <c r="F20"/>
  <c r="F19"/>
  <c r="F18"/>
  <c r="F17"/>
  <c r="F16"/>
  <c r="F15"/>
  <c r="F14"/>
  <c r="F13"/>
  <c r="F12"/>
  <c r="F11"/>
  <c r="H47" i="23" l="1"/>
  <c r="I16" i="21"/>
  <c r="H48" i="22"/>
  <c r="AB48" i="3188" l="1"/>
  <c r="I48" i="41" s="1"/>
  <c r="I50"/>
  <c r="I46"/>
  <c r="I45"/>
  <c r="I44"/>
  <c r="I43"/>
  <c r="I42"/>
  <c r="I41"/>
  <c r="I40"/>
  <c r="I39"/>
  <c r="I38"/>
  <c r="I37"/>
  <c r="I36"/>
  <c r="I35"/>
  <c r="I34"/>
  <c r="I33"/>
  <c r="I32"/>
  <c r="I31"/>
  <c r="I30"/>
  <c r="I29"/>
  <c r="I27"/>
  <c r="I26"/>
  <c r="I25"/>
  <c r="I24"/>
  <c r="I23"/>
  <c r="I22"/>
  <c r="I21"/>
  <c r="I20"/>
  <c r="I19"/>
  <c r="I18"/>
  <c r="I17"/>
  <c r="I16"/>
  <c r="I15"/>
  <c r="I14"/>
  <c r="I13"/>
  <c r="I12"/>
  <c r="I11"/>
  <c r="I9"/>
  <c r="B46" i="38668"/>
  <c r="B45"/>
  <c r="B44"/>
  <c r="B43"/>
  <c r="B42"/>
  <c r="B41"/>
  <c r="B40"/>
  <c r="B39"/>
  <c r="B38"/>
  <c r="B37"/>
  <c r="B36"/>
  <c r="B35"/>
  <c r="B34"/>
  <c r="B33"/>
  <c r="B32"/>
  <c r="B31"/>
  <c r="B30"/>
  <c r="B29"/>
  <c r="B28"/>
  <c r="B27"/>
  <c r="B26"/>
  <c r="B25"/>
  <c r="B24"/>
  <c r="B23"/>
  <c r="B22"/>
  <c r="B21"/>
  <c r="B20"/>
  <c r="B19"/>
  <c r="B18"/>
  <c r="B17"/>
  <c r="B16"/>
  <c r="B15"/>
  <c r="B14"/>
  <c r="B13"/>
  <c r="B12"/>
  <c r="D46"/>
  <c r="D45"/>
  <c r="D44"/>
  <c r="D43"/>
  <c r="D42"/>
  <c r="D41"/>
  <c r="D40"/>
  <c r="D39"/>
  <c r="D38"/>
  <c r="D37"/>
  <c r="D36"/>
  <c r="D35"/>
  <c r="D34"/>
  <c r="D33"/>
  <c r="D32"/>
  <c r="D31"/>
  <c r="D30"/>
  <c r="D29"/>
  <c r="D28"/>
  <c r="D27"/>
  <c r="D26"/>
  <c r="D25"/>
  <c r="D24"/>
  <c r="D23"/>
  <c r="D22"/>
  <c r="D21"/>
  <c r="D20"/>
  <c r="D19"/>
  <c r="D18"/>
  <c r="D17"/>
  <c r="D16"/>
  <c r="D15"/>
  <c r="D14"/>
  <c r="D13"/>
  <c r="D12"/>
  <c r="D11"/>
  <c r="B11"/>
  <c r="I51" i="38648"/>
  <c r="I50"/>
  <c r="I14"/>
  <c r="I21" i="21"/>
  <c r="F45" i="23"/>
  <c r="F21" i="21" s="1"/>
  <c r="B45" i="23"/>
  <c r="F19" i="21" s="1"/>
  <c r="J28" i="23"/>
  <c r="D21" i="21"/>
  <c r="D19"/>
  <c r="B21" i="23"/>
  <c r="C19" i="21" s="1"/>
  <c r="J48" i="22"/>
  <c r="H45"/>
  <c r="F16" i="21" s="1"/>
  <c r="D45" i="22"/>
  <c r="F14" i="21" s="1"/>
  <c r="J34" i="23"/>
  <c r="F39" i="22"/>
  <c r="E15" i="21" s="1"/>
  <c r="D17"/>
  <c r="D16"/>
  <c r="D15"/>
  <c r="D14"/>
  <c r="D13"/>
  <c r="H21" i="22"/>
  <c r="C16" i="21" s="1"/>
  <c r="H50" i="23"/>
  <c r="J50" s="1"/>
  <c r="B7" i="3188"/>
  <c r="C52" i="38658"/>
  <c r="B89" i="3188"/>
  <c r="A53" i="81" s="1"/>
  <c r="B9" i="38648"/>
  <c r="C9"/>
  <c r="H9"/>
  <c r="K6" i="38667"/>
  <c r="L6"/>
  <c r="J7"/>
  <c r="K7"/>
  <c r="L7"/>
  <c r="J47"/>
  <c r="K47"/>
  <c r="L47"/>
  <c r="K20" i="38659"/>
  <c r="I16" i="38658"/>
  <c r="I20"/>
  <c r="H51"/>
  <c r="B3" i="38654"/>
  <c r="G11" i="38648"/>
  <c r="G12"/>
  <c r="F12" i="38651"/>
  <c r="G13" i="38648"/>
  <c r="F13" i="38651"/>
  <c r="G14" i="38648"/>
  <c r="G15"/>
  <c r="F15" i="38651"/>
  <c r="G16" i="38648"/>
  <c r="F16" i="38651"/>
  <c r="G17" i="38648"/>
  <c r="F17" i="38651"/>
  <c r="G18" i="38648"/>
  <c r="F18" i="38651"/>
  <c r="G19" i="38648"/>
  <c r="F19" i="38651"/>
  <c r="G20" i="38648"/>
  <c r="F20" i="38651"/>
  <c r="G21" i="38648"/>
  <c r="F21" i="38651"/>
  <c r="G22" i="38648"/>
  <c r="F22" i="38651"/>
  <c r="G23" i="38648"/>
  <c r="F23" i="38651"/>
  <c r="G24" i="38648"/>
  <c r="F24" i="38651"/>
  <c r="G25" i="38648"/>
  <c r="F25" i="38651"/>
  <c r="G26" i="38648"/>
  <c r="F26" i="38651"/>
  <c r="G26" s="1"/>
  <c r="I26" i="38648" s="1"/>
  <c r="G27"/>
  <c r="F27" i="38651"/>
  <c r="G28" i="38648"/>
  <c r="F28" i="38651"/>
  <c r="G29" i="38648"/>
  <c r="F29" i="38651"/>
  <c r="G30" i="38648"/>
  <c r="F30" i="38651"/>
  <c r="G31" i="38648"/>
  <c r="F31" i="38651"/>
  <c r="G32" i="38648"/>
  <c r="F32" i="38651"/>
  <c r="G32" s="1"/>
  <c r="J31" s="1"/>
  <c r="G33" i="38648"/>
  <c r="F33" i="38651"/>
  <c r="G34" i="38648"/>
  <c r="F34" i="38651"/>
  <c r="G34" s="1"/>
  <c r="J33" s="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c r="E12"/>
  <c r="I12"/>
  <c r="E13"/>
  <c r="I13"/>
  <c r="E14"/>
  <c r="I14"/>
  <c r="E15"/>
  <c r="I15"/>
  <c r="E16"/>
  <c r="I16"/>
  <c r="E17"/>
  <c r="I17"/>
  <c r="E18"/>
  <c r="I18"/>
  <c r="E19"/>
  <c r="G19" s="1"/>
  <c r="I19" i="38648" s="1"/>
  <c r="I19" i="38651"/>
  <c r="E20"/>
  <c r="I20"/>
  <c r="E21"/>
  <c r="I21"/>
  <c r="E22"/>
  <c r="I22"/>
  <c r="E23"/>
  <c r="G23" s="1"/>
  <c r="I23" i="38648" s="1"/>
  <c r="I23" i="38651"/>
  <c r="E24"/>
  <c r="I24"/>
  <c r="E25"/>
  <c r="I25"/>
  <c r="E26"/>
  <c r="I26"/>
  <c r="E27"/>
  <c r="I27"/>
  <c r="E28"/>
  <c r="I28"/>
  <c r="E29"/>
  <c r="I29"/>
  <c r="E30"/>
  <c r="I30"/>
  <c r="E31"/>
  <c r="I31"/>
  <c r="E32"/>
  <c r="I32"/>
  <c r="E33"/>
  <c r="I33"/>
  <c r="E34"/>
  <c r="I34"/>
  <c r="E35"/>
  <c r="I35"/>
  <c r="E36"/>
  <c r="I36"/>
  <c r="E37"/>
  <c r="I37"/>
  <c r="E38"/>
  <c r="I38"/>
  <c r="E39"/>
  <c r="I39"/>
  <c r="E40"/>
  <c r="I40"/>
  <c r="E41"/>
  <c r="I41"/>
  <c r="E42"/>
  <c r="I42"/>
  <c r="E43"/>
  <c r="I43"/>
  <c r="E44"/>
  <c r="I44"/>
  <c r="E45"/>
  <c r="I45"/>
  <c r="E46"/>
  <c r="B48"/>
  <c r="B53" s="1"/>
  <c r="C48"/>
  <c r="C53" s="1"/>
  <c r="D48"/>
  <c r="E50"/>
  <c r="E51"/>
  <c r="D53"/>
  <c r="A5" i="38662"/>
  <c r="B11"/>
  <c r="C11" s="1"/>
  <c r="B12"/>
  <c r="C12" s="1"/>
  <c r="B12" i="38654" s="1"/>
  <c r="D12" s="1"/>
  <c r="B13" i="38662"/>
  <c r="C13" s="1"/>
  <c r="B13" i="38654" s="1"/>
  <c r="D13" s="1"/>
  <c r="B14" i="38662"/>
  <c r="C14" s="1"/>
  <c r="B14" i="38654" s="1"/>
  <c r="D14" s="1"/>
  <c r="B15" i="38662"/>
  <c r="C15" s="1"/>
  <c r="B15" i="38654" s="1"/>
  <c r="D15" s="1"/>
  <c r="B16" i="38662"/>
  <c r="C16" s="1"/>
  <c r="B16" i="38654" s="1"/>
  <c r="D16" s="1"/>
  <c r="B17" i="38662"/>
  <c r="C17" s="1"/>
  <c r="B17" i="38654" s="1"/>
  <c r="D17" s="1"/>
  <c r="B18" i="38662"/>
  <c r="C18" s="1"/>
  <c r="B18" i="38654" s="1"/>
  <c r="D18" s="1"/>
  <c r="B19" i="38662"/>
  <c r="C19" s="1"/>
  <c r="B19" i="38654" s="1"/>
  <c r="D19" s="1"/>
  <c r="B20" i="38662"/>
  <c r="C20" s="1"/>
  <c r="B20" i="38654" s="1"/>
  <c r="D20" s="1"/>
  <c r="B21" i="38662"/>
  <c r="C21" s="1"/>
  <c r="B21" i="38654" s="1"/>
  <c r="D21" s="1"/>
  <c r="B22" i="38662"/>
  <c r="C22" s="1"/>
  <c r="B22" i="38654" s="1"/>
  <c r="D22" s="1"/>
  <c r="B23" i="38662"/>
  <c r="C23" s="1"/>
  <c r="B23" i="38654" s="1"/>
  <c r="D23" s="1"/>
  <c r="B24" i="38662"/>
  <c r="C24" s="1"/>
  <c r="B24" i="38654" s="1"/>
  <c r="D24" s="1"/>
  <c r="B25" i="38662"/>
  <c r="C25" s="1"/>
  <c r="B25" i="38654" s="1"/>
  <c r="D25" s="1"/>
  <c r="B26" i="38662"/>
  <c r="C26" s="1"/>
  <c r="B26" i="38654" s="1"/>
  <c r="D26" s="1"/>
  <c r="B27" i="38662"/>
  <c r="C27" s="1"/>
  <c r="B27" i="38654" s="1"/>
  <c r="D27" s="1"/>
  <c r="B28" i="38662"/>
  <c r="C28" s="1"/>
  <c r="B28" i="38654" s="1"/>
  <c r="D28" s="1"/>
  <c r="B29" i="38662"/>
  <c r="C29" s="1"/>
  <c r="B29" i="38654" s="1"/>
  <c r="D29" s="1"/>
  <c r="B30" i="38662"/>
  <c r="C30" s="1"/>
  <c r="B30" i="38654" s="1"/>
  <c r="D30" s="1"/>
  <c r="B31" i="38662"/>
  <c r="C31" s="1"/>
  <c r="B31" i="38654" s="1"/>
  <c r="D31" s="1"/>
  <c r="B32" i="38662"/>
  <c r="C32" s="1"/>
  <c r="B32" i="38654" s="1"/>
  <c r="D32" s="1"/>
  <c r="B33" i="38662"/>
  <c r="C33" s="1"/>
  <c r="B33" i="38654" s="1"/>
  <c r="D33" s="1"/>
  <c r="B34" i="38662"/>
  <c r="C34" s="1"/>
  <c r="B34" i="38654" s="1"/>
  <c r="D34" s="1"/>
  <c r="B35" i="38662"/>
  <c r="C35" s="1"/>
  <c r="B35" i="38654" s="1"/>
  <c r="D35" s="1"/>
  <c r="B36" i="38662"/>
  <c r="C36" s="1"/>
  <c r="B36" i="38654" s="1"/>
  <c r="D36" s="1"/>
  <c r="B37" i="38662"/>
  <c r="C37" s="1"/>
  <c r="B37" i="38654" s="1"/>
  <c r="D37" s="1"/>
  <c r="B38" i="38662"/>
  <c r="C38" s="1"/>
  <c r="B38" i="38654" s="1"/>
  <c r="D38" s="1"/>
  <c r="B39" i="38662"/>
  <c r="C39" s="1"/>
  <c r="B39" i="38654" s="1"/>
  <c r="D39" s="1"/>
  <c r="B40" i="38662"/>
  <c r="C40" s="1"/>
  <c r="B40" i="38654" s="1"/>
  <c r="D40" s="1"/>
  <c r="B41" i="38662"/>
  <c r="C41" s="1"/>
  <c r="B41" i="38654" s="1"/>
  <c r="D41" s="1"/>
  <c r="B42" i="38662"/>
  <c r="C42" s="1"/>
  <c r="B42" i="38654" s="1"/>
  <c r="D42" s="1"/>
  <c r="B43" i="38662"/>
  <c r="C43" s="1"/>
  <c r="B43" i="38654" s="1"/>
  <c r="D43" s="1"/>
  <c r="B44" i="38662"/>
  <c r="C44" s="1"/>
  <c r="B44" i="38654" s="1"/>
  <c r="D44" s="1"/>
  <c r="B45" i="38662"/>
  <c r="C45" s="1"/>
  <c r="B45" i="38654" s="1"/>
  <c r="D45" s="1"/>
  <c r="B46" i="38662"/>
  <c r="C46" s="1"/>
  <c r="B46" i="38654" s="1"/>
  <c r="D46" s="1"/>
  <c r="B50" i="38662"/>
  <c r="B51"/>
  <c r="C51" s="1"/>
  <c r="A2" i="38665"/>
  <c r="A2" i="38670" s="1"/>
  <c r="D14" i="40"/>
  <c r="D27"/>
  <c r="D50"/>
  <c r="D50" i="39"/>
  <c r="F50"/>
  <c r="H50"/>
  <c r="D11" i="16"/>
  <c r="D12"/>
  <c r="D13"/>
  <c r="D14"/>
  <c r="D15"/>
  <c r="D16"/>
  <c r="D17"/>
  <c r="D18"/>
  <c r="D19"/>
  <c r="D20"/>
  <c r="D21"/>
  <c r="D22"/>
  <c r="D23"/>
  <c r="D24"/>
  <c r="D25"/>
  <c r="D26"/>
  <c r="D27"/>
  <c r="D28"/>
  <c r="D29"/>
  <c r="D30"/>
  <c r="D31"/>
  <c r="D32"/>
  <c r="D33"/>
  <c r="D34"/>
  <c r="D35"/>
  <c r="D36"/>
  <c r="D37"/>
  <c r="D38"/>
  <c r="D39"/>
  <c r="D40"/>
  <c r="D41"/>
  <c r="D42"/>
  <c r="D43"/>
  <c r="D44"/>
  <c r="D45"/>
  <c r="D46"/>
  <c r="B48"/>
  <c r="C48"/>
  <c r="F48"/>
  <c r="D50"/>
  <c r="D51"/>
  <c r="B3" i="14"/>
  <c r="B3" i="17" s="1"/>
  <c r="F11" i="38651"/>
  <c r="D9" i="38667"/>
  <c r="G9" s="1"/>
  <c r="J44" i="23"/>
  <c r="G18" i="38651"/>
  <c r="I18" i="38648" s="1"/>
  <c r="I17" i="21"/>
  <c r="J41" i="23"/>
  <c r="J13"/>
  <c r="F51"/>
  <c r="J45" i="22"/>
  <c r="F17" i="21" s="1"/>
  <c r="D21" i="23"/>
  <c r="J15"/>
  <c r="F39"/>
  <c r="E21" i="21" s="1"/>
  <c r="K22"/>
  <c r="J19" i="23"/>
  <c r="J37"/>
  <c r="J42"/>
  <c r="J43"/>
  <c r="D20" i="21"/>
  <c r="J22" i="23"/>
  <c r="J24"/>
  <c r="J38"/>
  <c r="H48"/>
  <c r="J48" s="1"/>
  <c r="G25" i="21"/>
  <c r="B39" i="23"/>
  <c r="E19" i="21" s="1"/>
  <c r="J21" i="22"/>
  <c r="D21"/>
  <c r="C14" i="21" s="1"/>
  <c r="F21" i="22"/>
  <c r="C15" i="21" s="1"/>
  <c r="B45" i="22"/>
  <c r="D39" i="23"/>
  <c r="E20" i="21" s="1"/>
  <c r="J27" i="23"/>
  <c r="D45"/>
  <c r="F20" i="21" s="1"/>
  <c r="I15"/>
  <c r="F48" i="22"/>
  <c r="J14" i="23"/>
  <c r="F21"/>
  <c r="C21" i="21" s="1"/>
  <c r="J29" i="23"/>
  <c r="J17"/>
  <c r="J30"/>
  <c r="J31"/>
  <c r="J32"/>
  <c r="J33"/>
  <c r="J35"/>
  <c r="H25" i="21"/>
  <c r="H49" i="23"/>
  <c r="J49" s="1"/>
  <c r="B39" i="22"/>
  <c r="E13" i="21" s="1"/>
  <c r="J20" i="23"/>
  <c r="J26"/>
  <c r="J25"/>
  <c r="J18"/>
  <c r="C47" i="38658" l="1"/>
  <c r="C45"/>
  <c r="C43"/>
  <c r="C41"/>
  <c r="C39"/>
  <c r="C37"/>
  <c r="C35"/>
  <c r="C33"/>
  <c r="C31"/>
  <c r="C29"/>
  <c r="C27"/>
  <c r="C25"/>
  <c r="C23"/>
  <c r="C21"/>
  <c r="C19"/>
  <c r="C17"/>
  <c r="C15"/>
  <c r="C48"/>
  <c r="C46"/>
  <c r="C44"/>
  <c r="C42"/>
  <c r="C40"/>
  <c r="C38"/>
  <c r="C36"/>
  <c r="C34"/>
  <c r="C32"/>
  <c r="C30"/>
  <c r="C28"/>
  <c r="C26"/>
  <c r="C22"/>
  <c r="C18"/>
  <c r="C14"/>
  <c r="C13"/>
  <c r="G43" i="38651"/>
  <c r="I43" i="38648" s="1"/>
  <c r="G39" i="38651"/>
  <c r="I39" i="38648" s="1"/>
  <c r="G33" i="38651"/>
  <c r="I33" i="38648" s="1"/>
  <c r="G12" i="38651"/>
  <c r="J12" s="1"/>
  <c r="G27"/>
  <c r="I27" i="38648" s="1"/>
  <c r="G41" i="38651"/>
  <c r="I41" i="38648" s="1"/>
  <c r="G35" i="38651"/>
  <c r="I35" i="38648" s="1"/>
  <c r="G31" i="38651"/>
  <c r="I31" i="38648" s="1"/>
  <c r="G15" i="38651"/>
  <c r="I15" i="38648" s="1"/>
  <c r="G11" i="38651"/>
  <c r="I11" i="38648" s="1"/>
  <c r="B2" i="32"/>
  <c r="B2" i="33" s="1"/>
  <c r="E7" i="70"/>
  <c r="C3"/>
  <c r="B48" i="38668"/>
  <c r="D48"/>
  <c r="J22" i="38651"/>
  <c r="B2" i="38659"/>
  <c r="A3" i="5"/>
  <c r="B3" i="36" s="1"/>
  <c r="B2" i="38663"/>
  <c r="B1" i="43"/>
  <c r="B2" i="48"/>
  <c r="G42" i="38651"/>
  <c r="I42" i="38648" s="1"/>
  <c r="G40" i="38651"/>
  <c r="J39" s="1"/>
  <c r="B3" i="15"/>
  <c r="B9" i="38667"/>
  <c r="F9" s="1"/>
  <c r="A3" i="38648"/>
  <c r="A3" i="38667" s="1"/>
  <c r="H51" i="23"/>
  <c r="H53" s="1"/>
  <c r="I42" i="38666"/>
  <c r="B48" i="38662"/>
  <c r="B53" s="1"/>
  <c r="E48" i="38651"/>
  <c r="J18"/>
  <c r="I40" i="38666"/>
  <c r="L48" i="3188"/>
  <c r="D9" i="38648"/>
  <c r="I32" i="38666"/>
  <c r="I24"/>
  <c r="E50" i="38658"/>
  <c r="C50" i="38659"/>
  <c r="I43" i="38666"/>
  <c r="I33"/>
  <c r="I15"/>
  <c r="I14"/>
  <c r="C24" i="38658"/>
  <c r="I50" i="38666"/>
  <c r="I46"/>
  <c r="I41"/>
  <c r="I38"/>
  <c r="I35"/>
  <c r="I29"/>
  <c r="I28"/>
  <c r="I26"/>
  <c r="I25"/>
  <c r="I19"/>
  <c r="I16"/>
  <c r="I12"/>
  <c r="C48"/>
  <c r="D53" i="23"/>
  <c r="K19" i="21"/>
  <c r="B53" i="23"/>
  <c r="B50" i="38658"/>
  <c r="J50" i="38659"/>
  <c r="I51" i="38666"/>
  <c r="I45"/>
  <c r="I44"/>
  <c r="I39"/>
  <c r="I37"/>
  <c r="I36"/>
  <c r="I34"/>
  <c r="I31"/>
  <c r="I30"/>
  <c r="I27"/>
  <c r="I23"/>
  <c r="I22"/>
  <c r="I21"/>
  <c r="I20"/>
  <c r="I18"/>
  <c r="I17"/>
  <c r="I13"/>
  <c r="H48"/>
  <c r="B48"/>
  <c r="G48"/>
  <c r="E48"/>
  <c r="F53" i="23"/>
  <c r="D25" i="21"/>
  <c r="D48" i="16"/>
  <c r="D50" i="38659"/>
  <c r="F48" i="38666"/>
  <c r="D48"/>
  <c r="I11"/>
  <c r="M48" i="3188"/>
  <c r="E53" i="38651"/>
  <c r="G30"/>
  <c r="J29" s="1"/>
  <c r="G25"/>
  <c r="I25" i="38648" s="1"/>
  <c r="G24" i="38651"/>
  <c r="J23" s="1"/>
  <c r="G46"/>
  <c r="I46" i="38648" s="1"/>
  <c r="G45" i="38651"/>
  <c r="I45" i="38648" s="1"/>
  <c r="G44" i="38651"/>
  <c r="J43" s="1"/>
  <c r="G38"/>
  <c r="J37" s="1"/>
  <c r="G37"/>
  <c r="I37" i="38648" s="1"/>
  <c r="G36" i="38651"/>
  <c r="J35" s="1"/>
  <c r="G29"/>
  <c r="I29" i="38648" s="1"/>
  <c r="G28" i="38651"/>
  <c r="I28" i="38648" s="1"/>
  <c r="G22" i="38651"/>
  <c r="I22" i="38648" s="1"/>
  <c r="G21" i="38651"/>
  <c r="I21" i="38648" s="1"/>
  <c r="G20" i="38651"/>
  <c r="I20" i="38648" s="1"/>
  <c r="G17" i="38651"/>
  <c r="I17" i="38648" s="1"/>
  <c r="G13" i="38651"/>
  <c r="J13" s="1"/>
  <c r="J51" i="23"/>
  <c r="J41" i="38651"/>
  <c r="G16"/>
  <c r="F48"/>
  <c r="M47" i="38667"/>
  <c r="I47" s="1"/>
  <c r="J32" i="38651"/>
  <c r="J14"/>
  <c r="J30"/>
  <c r="J25"/>
  <c r="J17"/>
  <c r="J16" i="23"/>
  <c r="C48" i="38662"/>
  <c r="C53" s="1"/>
  <c r="B11" i="38654"/>
  <c r="H39" i="22"/>
  <c r="I32" i="38648"/>
  <c r="I34"/>
  <c r="J36" i="23"/>
  <c r="K21" i="21"/>
  <c r="B21" i="22"/>
  <c r="C13" i="21" s="1"/>
  <c r="D39" i="22"/>
  <c r="J39"/>
  <c r="J50" s="1"/>
  <c r="F45"/>
  <c r="F15" i="21" s="1"/>
  <c r="K15" s="1"/>
  <c r="C20"/>
  <c r="K20" s="1"/>
  <c r="I25"/>
  <c r="C17"/>
  <c r="F13"/>
  <c r="I40" i="38648" l="1"/>
  <c r="I12"/>
  <c r="J26" i="38651"/>
  <c r="J34"/>
  <c r="I30" i="38648"/>
  <c r="J11" i="38651"/>
  <c r="J38"/>
  <c r="G48"/>
  <c r="I48" i="38648" s="1"/>
  <c r="J40" i="38651"/>
  <c r="J42"/>
  <c r="J16"/>
  <c r="I38" i="38648"/>
  <c r="B3" i="54"/>
  <c r="I24" i="38648"/>
  <c r="J24" i="38651"/>
  <c r="J19"/>
  <c r="I44" i="38648"/>
  <c r="J27" i="38651"/>
  <c r="J28"/>
  <c r="J21"/>
  <c r="I13" i="38648"/>
  <c r="J45" i="38651"/>
  <c r="J36"/>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c r="J21" i="23"/>
  <c r="C50" i="38658"/>
  <c r="I16" i="38648"/>
  <c r="J15" i="38651"/>
  <c r="E16" i="21"/>
  <c r="K16" s="1"/>
  <c r="H50" i="22"/>
  <c r="D11" i="38654"/>
  <c r="D48" s="1"/>
  <c r="B48"/>
  <c r="E17" i="21"/>
  <c r="K17" s="1"/>
  <c r="J39" i="23"/>
  <c r="J45"/>
  <c r="E14" i="21"/>
  <c r="D50" i="22"/>
  <c r="C25" i="21"/>
  <c r="F25"/>
  <c r="K13"/>
  <c r="J53" i="23" l="1"/>
  <c r="K50" i="22" s="1"/>
  <c r="N27" i="23" s="1"/>
  <c r="K14" i="21"/>
  <c r="K25" s="1"/>
  <c r="E25"/>
  <c r="I24" i="22" l="1"/>
  <c r="E43" i="23"/>
  <c r="C20" i="22"/>
  <c r="C35"/>
  <c r="E45" i="23"/>
  <c r="C41"/>
  <c r="G39"/>
  <c r="E32"/>
  <c r="C27"/>
  <c r="G53"/>
  <c r="N30" s="1"/>
  <c r="G30" i="22"/>
  <c r="C30"/>
  <c r="E26" i="23"/>
  <c r="E21"/>
  <c r="E25"/>
  <c r="K20" i="22"/>
  <c r="I35"/>
  <c r="G36"/>
  <c r="K48" i="23"/>
  <c r="N16" s="1"/>
  <c r="I25" i="22"/>
  <c r="K51" i="23"/>
  <c r="C50" i="22"/>
  <c r="N23" i="23" s="1"/>
  <c r="G15"/>
  <c r="E50" i="22"/>
  <c r="N24" i="23" s="1"/>
  <c r="C21" i="22"/>
  <c r="K44"/>
  <c r="K28" i="23"/>
  <c r="C15"/>
  <c r="G34"/>
  <c r="C32" i="22"/>
  <c r="C33"/>
  <c r="E38" i="23"/>
  <c r="G43"/>
  <c r="K22"/>
  <c r="N13" s="1"/>
  <c r="C20"/>
  <c r="G15" i="22"/>
  <c r="E41"/>
  <c r="K26"/>
  <c r="E44" i="23"/>
  <c r="C17"/>
  <c r="E36" i="22"/>
  <c r="I17"/>
  <c r="I30"/>
  <c r="K41" i="23"/>
  <c r="C14" i="22"/>
  <c r="G33" i="23"/>
  <c r="K17" i="22"/>
  <c r="I37"/>
  <c r="E16"/>
  <c r="G18" i="23"/>
  <c r="K38"/>
  <c r="G38" i="22"/>
  <c r="E18" i="23"/>
  <c r="K49"/>
  <c r="G28" i="22"/>
  <c r="G20"/>
  <c r="K25"/>
  <c r="G39"/>
  <c r="E32"/>
  <c r="K35" i="23"/>
  <c r="E38" i="22"/>
  <c r="C28"/>
  <c r="G18"/>
  <c r="I15"/>
  <c r="C39" i="23"/>
  <c r="G21" i="22"/>
  <c r="G24" i="23"/>
  <c r="C26"/>
  <c r="E17" i="22"/>
  <c r="I44"/>
  <c r="K41"/>
  <c r="G14"/>
  <c r="I38"/>
  <c r="I50" i="23"/>
  <c r="C45" i="22"/>
  <c r="K50" i="23"/>
  <c r="G29" i="22"/>
  <c r="G32" i="23"/>
  <c r="I34" i="22"/>
  <c r="I53" i="23"/>
  <c r="N31" s="1"/>
  <c r="I50" i="22"/>
  <c r="N26" i="23" s="1"/>
  <c r="I39" i="22"/>
  <c r="I14"/>
  <c r="K44" i="23"/>
  <c r="K18" i="22"/>
  <c r="I42"/>
  <c r="G42" i="23"/>
  <c r="C31"/>
  <c r="G22" i="22"/>
  <c r="G28" i="23"/>
  <c r="I33" i="22"/>
  <c r="K26" i="23"/>
  <c r="K35" i="22"/>
  <c r="I48" i="23"/>
  <c r="E42" i="22"/>
  <c r="K36"/>
  <c r="G45"/>
  <c r="C24" i="23"/>
  <c r="E25" i="22"/>
  <c r="K21"/>
  <c r="E43"/>
  <c r="G42"/>
  <c r="E29" i="23"/>
  <c r="I18" i="22"/>
  <c r="I29"/>
  <c r="K32" i="23"/>
  <c r="K31"/>
  <c r="G43" i="22"/>
  <c r="K24"/>
  <c r="G29" i="23"/>
  <c r="G26" i="22"/>
  <c r="I22"/>
  <c r="E24"/>
  <c r="K33" i="23"/>
  <c r="C25"/>
  <c r="C27" i="22"/>
  <c r="G38" i="23"/>
  <c r="G22"/>
  <c r="E28"/>
  <c r="K15"/>
  <c r="E34"/>
  <c r="K20"/>
  <c r="I28" i="22"/>
  <c r="K27" i="23"/>
  <c r="G25" i="22"/>
  <c r="C44" i="23"/>
  <c r="G44" i="22"/>
  <c r="C36"/>
  <c r="G27"/>
  <c r="C36" i="23"/>
  <c r="E39" i="22"/>
  <c r="G36" i="23"/>
  <c r="I20" i="22"/>
  <c r="E31" i="23"/>
  <c r="K37" i="22"/>
  <c r="E22"/>
  <c r="I26"/>
  <c r="C44"/>
  <c r="C34"/>
  <c r="C37" i="23"/>
  <c r="K21"/>
  <c r="N12" s="1"/>
  <c r="K30"/>
  <c r="K25"/>
  <c r="E53"/>
  <c r="N29" s="1"/>
  <c r="I51"/>
  <c r="G44"/>
  <c r="K14"/>
  <c r="C39" i="22"/>
  <c r="E39" i="23"/>
  <c r="G17"/>
  <c r="C43"/>
  <c r="G24" i="22"/>
  <c r="E31"/>
  <c r="E20" i="23"/>
  <c r="C42"/>
  <c r="E34" i="22"/>
  <c r="G31"/>
  <c r="K14"/>
  <c r="K16" i="23"/>
  <c r="G17" i="22"/>
  <c r="C28" i="23"/>
  <c r="G37"/>
  <c r="E33"/>
  <c r="K45" i="22"/>
  <c r="G37"/>
  <c r="C35" i="23"/>
  <c r="C24" i="22"/>
  <c r="G41"/>
  <c r="E17" i="23"/>
  <c r="C14"/>
  <c r="C38"/>
  <c r="K28" i="22"/>
  <c r="K18" i="23"/>
  <c r="C30"/>
  <c r="E35" i="22"/>
  <c r="K29" i="23"/>
  <c r="I49"/>
  <c r="K45"/>
  <c r="N15" s="1"/>
  <c r="C41" i="22"/>
  <c r="I32"/>
  <c r="G27" i="23"/>
  <c r="E27"/>
  <c r="K38" i="22"/>
  <c r="C17"/>
  <c r="E30" i="23"/>
  <c r="K37"/>
  <c r="K31" i="22"/>
  <c r="I43"/>
  <c r="C53" i="23"/>
  <c r="N28" s="1"/>
  <c r="G16"/>
  <c r="E19" i="22"/>
  <c r="E16" i="23"/>
  <c r="K43"/>
  <c r="C15" i="22"/>
  <c r="C22" i="23"/>
  <c r="C31" i="22"/>
  <c r="E14" i="23"/>
  <c r="G34" i="22"/>
  <c r="K43"/>
  <c r="E36" i="23"/>
  <c r="C21"/>
  <c r="E26" i="22"/>
  <c r="C25"/>
  <c r="E45"/>
  <c r="I41"/>
  <c r="K17" i="23"/>
  <c r="K39"/>
  <c r="N14" s="1"/>
  <c r="G21"/>
  <c r="E21" i="22"/>
  <c r="I45"/>
  <c r="K15"/>
  <c r="I31"/>
  <c r="K29"/>
  <c r="C43"/>
  <c r="C26"/>
  <c r="C18" i="23"/>
  <c r="E42"/>
  <c r="K22" i="22"/>
  <c r="C38"/>
  <c r="G31" i="23"/>
  <c r="E37"/>
  <c r="E24"/>
  <c r="G25"/>
  <c r="I27" i="22"/>
  <c r="K53" i="23"/>
  <c r="K42"/>
  <c r="C16" i="22"/>
  <c r="C16" i="23"/>
  <c r="K27" i="22"/>
  <c r="E15"/>
  <c r="G33"/>
  <c r="K32"/>
  <c r="I36"/>
  <c r="E20"/>
  <c r="C42"/>
  <c r="K24" i="23"/>
  <c r="G30"/>
  <c r="E27" i="22"/>
  <c r="E15" i="23"/>
  <c r="K13"/>
  <c r="E33" i="22"/>
  <c r="K33"/>
  <c r="I16"/>
  <c r="G32"/>
  <c r="C29"/>
  <c r="E30"/>
  <c r="G14" i="23"/>
  <c r="K16" i="22"/>
  <c r="C45" i="23"/>
  <c r="E35"/>
  <c r="E28" i="22"/>
  <c r="G35" i="23"/>
  <c r="K36"/>
  <c r="K34" i="22"/>
  <c r="I21"/>
  <c r="E44"/>
  <c r="K34" i="23"/>
  <c r="K42" i="22"/>
  <c r="G26" i="23"/>
  <c r="C33"/>
  <c r="E22"/>
  <c r="K30" i="22"/>
  <c r="G45" i="23"/>
  <c r="G16" i="22"/>
  <c r="E37"/>
  <c r="G41" i="23"/>
  <c r="E18" i="22"/>
  <c r="C18"/>
  <c r="C29" i="23"/>
  <c r="C37" i="22"/>
  <c r="E14"/>
  <c r="C34" i="23"/>
  <c r="E41"/>
  <c r="G35" i="22"/>
  <c r="C22"/>
  <c r="C32" i="23"/>
  <c r="E29" i="22"/>
  <c r="G20" i="23"/>
  <c r="K19"/>
  <c r="K39" i="22"/>
  <c r="G50"/>
  <c r="N25" i="23" s="1"/>
  <c r="N17" l="1"/>
  <c r="N19" s="1"/>
  <c r="N33"/>
  <c r="G29" i="8" l="1"/>
  <c r="G29" i="9"/>
  <c r="C29" i="38670"/>
  <c r="E29" i="52"/>
  <c r="C29" i="15" l="1"/>
  <c r="E29" s="1"/>
  <c r="E29" i="41" s="1"/>
  <c r="E30" i="52"/>
  <c r="E29" i="33"/>
  <c r="B29" i="38670"/>
  <c r="D29" i="70"/>
  <c r="H29" i="20"/>
  <c r="G29" i="47"/>
  <c r="G30"/>
  <c r="E29" i="7"/>
  <c r="F29" i="52"/>
  <c r="F29" i="78" l="1"/>
  <c r="B29" i="43" s="1"/>
  <c r="E29" i="16"/>
  <c r="F30" i="52"/>
  <c r="I29" i="7"/>
  <c r="G29"/>
  <c r="H29"/>
  <c r="F29"/>
  <c r="J29" i="20"/>
  <c r="D29" i="7"/>
  <c r="F29" i="43" l="1"/>
  <c r="H29" s="1"/>
  <c r="F30" i="78"/>
  <c r="B30" i="43" s="1"/>
  <c r="F30" s="1"/>
  <c r="H30" s="1"/>
  <c r="K29" i="3188"/>
  <c r="C29" i="5" s="1"/>
  <c r="F30" i="45"/>
  <c r="D29" i="9"/>
  <c r="B29" i="39"/>
  <c r="G29" i="38656"/>
  <c r="E29" i="18"/>
  <c r="D29" i="10"/>
  <c r="J29" i="11"/>
  <c r="G29" i="38655"/>
  <c r="J29" i="26"/>
  <c r="H29" i="18"/>
  <c r="D29" i="27"/>
  <c r="D29" i="76" s="1"/>
  <c r="B29"/>
  <c r="B29" i="41"/>
  <c r="D29" i="19"/>
  <c r="D29" i="26"/>
  <c r="D29" i="8"/>
  <c r="B29" i="18"/>
  <c r="G29" i="26"/>
  <c r="J29" i="38655"/>
  <c r="D29" i="11"/>
  <c r="D29" i="38656"/>
  <c r="F29" i="41"/>
  <c r="G29" s="1"/>
  <c r="J29" i="9"/>
  <c r="G29" i="10"/>
  <c r="B29" i="40"/>
  <c r="D29" s="1"/>
  <c r="G29" i="11"/>
  <c r="B29" i="19"/>
  <c r="E29" i="20"/>
  <c r="F29" i="45"/>
  <c r="B29" i="20"/>
  <c r="I29" i="45" l="1"/>
  <c r="G29" i="44" s="1"/>
  <c r="E29" i="42" s="1"/>
  <c r="I30" i="45"/>
  <c r="C30" i="44" s="1"/>
  <c r="C30" i="42" s="1"/>
  <c r="G29" i="20"/>
  <c r="D29"/>
  <c r="D29" i="38655"/>
  <c r="G29" i="19"/>
  <c r="C29" i="41"/>
  <c r="D29"/>
  <c r="E29" i="5"/>
  <c r="D31" i="38658"/>
  <c r="J29" i="38667"/>
  <c r="D29" i="18"/>
  <c r="F29" i="19"/>
  <c r="K29" i="38667"/>
  <c r="G29" i="18"/>
  <c r="D29" i="39"/>
  <c r="H29"/>
  <c r="F2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s="1"/>
  <c r="I31" i="38658"/>
  <c r="F31" i="38659"/>
  <c r="J29" i="42" l="1"/>
  <c r="J30"/>
  <c r="J30" i="9" l="1"/>
  <c r="G30"/>
  <c r="C30" i="38670"/>
  <c r="E30" i="7" l="1"/>
  <c r="G30" s="1"/>
  <c r="D31" i="70"/>
  <c r="E30" i="33"/>
  <c r="C30" i="15"/>
  <c r="E30" s="1"/>
  <c r="H30" i="20"/>
  <c r="D30" i="70"/>
  <c r="B30" i="38670"/>
  <c r="F30" i="7" l="1"/>
  <c r="I30"/>
  <c r="H30"/>
  <c r="D30"/>
  <c r="J30" i="20"/>
  <c r="E30" i="41"/>
  <c r="E30" i="16"/>
  <c r="J51" i="9" l="1"/>
  <c r="G51"/>
  <c r="G50" i="8"/>
  <c r="J50" i="9"/>
  <c r="G50"/>
  <c r="G46"/>
  <c r="J45"/>
  <c r="G45"/>
  <c r="G44" i="8"/>
  <c r="J44" i="9"/>
  <c r="J43"/>
  <c r="G43"/>
  <c r="J42"/>
  <c r="G42"/>
  <c r="G41" i="8"/>
  <c r="J41" i="9"/>
  <c r="G41"/>
  <c r="G40"/>
  <c r="J39"/>
  <c r="G39"/>
  <c r="G38"/>
  <c r="G37" i="8"/>
  <c r="G37" i="9"/>
  <c r="J36"/>
  <c r="G36"/>
  <c r="G35"/>
  <c r="G34"/>
  <c r="J33"/>
  <c r="G33"/>
  <c r="G32"/>
  <c r="J31"/>
  <c r="G31"/>
  <c r="G28" i="8"/>
  <c r="J28" i="9"/>
  <c r="G28"/>
  <c r="J27"/>
  <c r="G27"/>
  <c r="G26"/>
  <c r="G25"/>
  <c r="G24"/>
  <c r="J23"/>
  <c r="G23"/>
  <c r="G22" i="8"/>
  <c r="J22" i="9"/>
  <c r="G22"/>
  <c r="G21" i="8"/>
  <c r="J21" i="9"/>
  <c r="G21"/>
  <c r="J20"/>
  <c r="G20"/>
  <c r="J19"/>
  <c r="G19"/>
  <c r="J18"/>
  <c r="G18"/>
  <c r="J17"/>
  <c r="G17"/>
  <c r="J16"/>
  <c r="G16"/>
  <c r="J15"/>
  <c r="G15"/>
  <c r="G14" i="8"/>
  <c r="J14" i="9"/>
  <c r="G13"/>
  <c r="J12"/>
  <c r="G12"/>
  <c r="F48" i="14"/>
  <c r="F51" i="39"/>
  <c r="D51" i="40"/>
  <c r="D51" i="39"/>
  <c r="C51" i="38670"/>
  <c r="C50"/>
  <c r="C46"/>
  <c r="C45"/>
  <c r="C44"/>
  <c r="C43"/>
  <c r="C42"/>
  <c r="C41"/>
  <c r="C40"/>
  <c r="C39"/>
  <c r="C38"/>
  <c r="C37"/>
  <c r="C36"/>
  <c r="C35"/>
  <c r="C34"/>
  <c r="C33"/>
  <c r="C32"/>
  <c r="C31"/>
  <c r="B31" s="1"/>
  <c r="C28"/>
  <c r="C27"/>
  <c r="C26"/>
  <c r="C25"/>
  <c r="C24"/>
  <c r="C23"/>
  <c r="C22"/>
  <c r="C21"/>
  <c r="C20"/>
  <c r="C19"/>
  <c r="C18"/>
  <c r="C17"/>
  <c r="C16"/>
  <c r="C15"/>
  <c r="C14"/>
  <c r="C13"/>
  <c r="C12"/>
  <c r="H48" i="14" l="1"/>
  <c r="E21" i="33"/>
  <c r="E43"/>
  <c r="E25"/>
  <c r="E50"/>
  <c r="C12" i="15"/>
  <c r="E12" s="1"/>
  <c r="E12" i="41" s="1"/>
  <c r="C13" i="15"/>
  <c r="E13" s="1"/>
  <c r="E13" i="41" s="1"/>
  <c r="C14" i="15"/>
  <c r="E14" s="1"/>
  <c r="E14" i="16" s="1"/>
  <c r="C15" i="15"/>
  <c r="E15" s="1"/>
  <c r="E15" i="41" s="1"/>
  <c r="C16" i="15"/>
  <c r="E16" s="1"/>
  <c r="E16" i="16" s="1"/>
  <c r="C17" i="15"/>
  <c r="E17" s="1"/>
  <c r="E17" i="16" s="1"/>
  <c r="C18" i="15"/>
  <c r="E18" s="1"/>
  <c r="E18" i="16" s="1"/>
  <c r="C19" i="15"/>
  <c r="E19" s="1"/>
  <c r="E19" i="41" s="1"/>
  <c r="C20" i="15"/>
  <c r="E20" s="1"/>
  <c r="E20" i="41" s="1"/>
  <c r="C23" i="15"/>
  <c r="E23" s="1"/>
  <c r="E23" i="16" s="1"/>
  <c r="C24" i="15"/>
  <c r="E24" s="1"/>
  <c r="E24" i="41" s="1"/>
  <c r="C25" i="15"/>
  <c r="E25" s="1"/>
  <c r="E25" i="41" s="1"/>
  <c r="C26" i="15"/>
  <c r="E26" s="1"/>
  <c r="E26" i="41" s="1"/>
  <c r="C27" i="15"/>
  <c r="E27" s="1"/>
  <c r="E27" i="41" s="1"/>
  <c r="C31" i="15"/>
  <c r="E31" s="1"/>
  <c r="E31" i="16" s="1"/>
  <c r="C32" i="15"/>
  <c r="E32" s="1"/>
  <c r="E32" i="16" s="1"/>
  <c r="C33" i="15"/>
  <c r="E33" s="1"/>
  <c r="E33" i="16" s="1"/>
  <c r="C34" i="15"/>
  <c r="E34" s="1"/>
  <c r="E34" i="16" s="1"/>
  <c r="C35" i="15"/>
  <c r="E35" s="1"/>
  <c r="E35" i="16" s="1"/>
  <c r="C21" i="15"/>
  <c r="E21" s="1"/>
  <c r="E21" i="16" s="1"/>
  <c r="C22" i="15"/>
  <c r="E22" s="1"/>
  <c r="E22" i="41" s="1"/>
  <c r="C28" i="15"/>
  <c r="E28" s="1"/>
  <c r="E28" i="16" s="1"/>
  <c r="G50" i="47"/>
  <c r="G45"/>
  <c r="G43"/>
  <c r="G41"/>
  <c r="G39"/>
  <c r="G35"/>
  <c r="G33"/>
  <c r="G31"/>
  <c r="G27"/>
  <c r="G25"/>
  <c r="G23"/>
  <c r="G21"/>
  <c r="G19"/>
  <c r="G17"/>
  <c r="G15"/>
  <c r="D18" i="70"/>
  <c r="D14"/>
  <c r="G11" i="47"/>
  <c r="B27" i="38670"/>
  <c r="D27" i="70"/>
  <c r="D25"/>
  <c r="B23" i="38670"/>
  <c r="D23" i="70"/>
  <c r="D21"/>
  <c r="B19" i="38670"/>
  <c r="D19" i="70"/>
  <c r="D17"/>
  <c r="B15" i="38670"/>
  <c r="D15" i="70"/>
  <c r="D13"/>
  <c r="H13" i="20"/>
  <c r="H17"/>
  <c r="H21"/>
  <c r="H25"/>
  <c r="H31"/>
  <c r="H35"/>
  <c r="H39"/>
  <c r="H43"/>
  <c r="H50"/>
  <c r="D48" i="14"/>
  <c r="J11" i="9"/>
  <c r="G37" i="47"/>
  <c r="G51"/>
  <c r="G46"/>
  <c r="G44"/>
  <c r="G42"/>
  <c r="G40"/>
  <c r="G38"/>
  <c r="G36"/>
  <c r="G34"/>
  <c r="G32"/>
  <c r="G28"/>
  <c r="G26"/>
  <c r="G24"/>
  <c r="G22"/>
  <c r="G20"/>
  <c r="G18"/>
  <c r="G16"/>
  <c r="G14"/>
  <c r="G12"/>
  <c r="E22" i="33"/>
  <c r="E26"/>
  <c r="E36"/>
  <c r="E44"/>
  <c r="E36" i="7"/>
  <c r="E37"/>
  <c r="E38"/>
  <c r="E39"/>
  <c r="E40"/>
  <c r="E41"/>
  <c r="E42"/>
  <c r="E43"/>
  <c r="E44"/>
  <c r="E45"/>
  <c r="E46"/>
  <c r="E50"/>
  <c r="E51"/>
  <c r="B28" i="38670"/>
  <c r="D28" i="70"/>
  <c r="D16"/>
  <c r="D51"/>
  <c r="D46"/>
  <c r="D44"/>
  <c r="D42"/>
  <c r="B40" i="38670"/>
  <c r="D40" i="70"/>
  <c r="D38"/>
  <c r="D36"/>
  <c r="D34"/>
  <c r="D32"/>
  <c r="H12" i="20"/>
  <c r="H16"/>
  <c r="H20"/>
  <c r="H24"/>
  <c r="H28"/>
  <c r="H34"/>
  <c r="H38"/>
  <c r="H42"/>
  <c r="H46"/>
  <c r="C48" i="40"/>
  <c r="G11" i="9"/>
  <c r="C48" i="14"/>
  <c r="G13" i="47"/>
  <c r="E51" i="52"/>
  <c r="E46"/>
  <c r="F46" s="1"/>
  <c r="E44"/>
  <c r="E42"/>
  <c r="F42" s="1"/>
  <c r="E40"/>
  <c r="E38"/>
  <c r="F38" s="1"/>
  <c r="E36"/>
  <c r="E34"/>
  <c r="F34" s="1"/>
  <c r="E32"/>
  <c r="E28"/>
  <c r="F28" s="1"/>
  <c r="E26"/>
  <c r="E24"/>
  <c r="F24" s="1"/>
  <c r="E22"/>
  <c r="E20"/>
  <c r="F20" s="1"/>
  <c r="E18"/>
  <c r="E16"/>
  <c r="F16" s="1"/>
  <c r="E14"/>
  <c r="E12"/>
  <c r="E13" i="33"/>
  <c r="E14"/>
  <c r="E17"/>
  <c r="E18"/>
  <c r="E31"/>
  <c r="E32"/>
  <c r="E35"/>
  <c r="E39"/>
  <c r="E40"/>
  <c r="E51"/>
  <c r="B21" i="38670"/>
  <c r="B25"/>
  <c r="B38"/>
  <c r="B42"/>
  <c r="B51"/>
  <c r="G48" i="14"/>
  <c r="D24" i="70"/>
  <c r="H11" i="20"/>
  <c r="B48" i="38"/>
  <c r="H15" i="20"/>
  <c r="H19"/>
  <c r="H23"/>
  <c r="H27"/>
  <c r="H33"/>
  <c r="H37"/>
  <c r="H41"/>
  <c r="H45"/>
  <c r="F48" i="38"/>
  <c r="D48"/>
  <c r="B48" i="14"/>
  <c r="C11" i="15"/>
  <c r="E16" i="41"/>
  <c r="E22" i="16"/>
  <c r="E33" i="41"/>
  <c r="D26" i="70"/>
  <c r="D22"/>
  <c r="D20"/>
  <c r="D12"/>
  <c r="B50" i="38670"/>
  <c r="D50" i="70"/>
  <c r="B45" i="38670"/>
  <c r="D45" i="70"/>
  <c r="D43"/>
  <c r="B41" i="38670"/>
  <c r="D41" i="70"/>
  <c r="D39"/>
  <c r="B37" i="38670"/>
  <c r="D37" i="70"/>
  <c r="B35" i="38670"/>
  <c r="D35" i="70"/>
  <c r="B33" i="38670"/>
  <c r="D33" i="70"/>
  <c r="H14" i="20"/>
  <c r="H18"/>
  <c r="H22"/>
  <c r="H26"/>
  <c r="H32"/>
  <c r="H36"/>
  <c r="H40"/>
  <c r="H44"/>
  <c r="H51"/>
  <c r="C11" i="38670"/>
  <c r="E11" i="7"/>
  <c r="E48" i="14"/>
  <c r="B48" i="15"/>
  <c r="G11" i="8"/>
  <c r="E50" i="52"/>
  <c r="E45"/>
  <c r="E43"/>
  <c r="E41"/>
  <c r="E39"/>
  <c r="E37"/>
  <c r="E35"/>
  <c r="E33"/>
  <c r="E31"/>
  <c r="E27"/>
  <c r="E25"/>
  <c r="E23"/>
  <c r="E21"/>
  <c r="E19"/>
  <c r="E17"/>
  <c r="E15"/>
  <c r="E13"/>
  <c r="E11"/>
  <c r="E12" i="33"/>
  <c r="E15"/>
  <c r="E16"/>
  <c r="E19"/>
  <c r="E20"/>
  <c r="E23"/>
  <c r="E24"/>
  <c r="E27"/>
  <c r="E28"/>
  <c r="E33"/>
  <c r="E34"/>
  <c r="E37"/>
  <c r="E38"/>
  <c r="E41"/>
  <c r="E42"/>
  <c r="E45"/>
  <c r="E46"/>
  <c r="B12" i="38670"/>
  <c r="B13"/>
  <c r="B14"/>
  <c r="B16"/>
  <c r="B17"/>
  <c r="B18"/>
  <c r="B20"/>
  <c r="B22"/>
  <c r="B24"/>
  <c r="B26"/>
  <c r="B32"/>
  <c r="B34"/>
  <c r="B36"/>
  <c r="B39"/>
  <c r="B43"/>
  <c r="B44"/>
  <c r="B46"/>
  <c r="E12" i="7"/>
  <c r="E13"/>
  <c r="E14"/>
  <c r="E15"/>
  <c r="E16"/>
  <c r="E17"/>
  <c r="E18"/>
  <c r="E19"/>
  <c r="E20"/>
  <c r="E21"/>
  <c r="E22"/>
  <c r="E23"/>
  <c r="E24"/>
  <c r="E25"/>
  <c r="E26"/>
  <c r="E27"/>
  <c r="E28"/>
  <c r="E31"/>
  <c r="E32"/>
  <c r="E33"/>
  <c r="E34"/>
  <c r="E35"/>
  <c r="C36" i="15"/>
  <c r="E36" s="1"/>
  <c r="C37"/>
  <c r="E37" s="1"/>
  <c r="C38"/>
  <c r="E38" s="1"/>
  <c r="C39"/>
  <c r="E39" s="1"/>
  <c r="C40"/>
  <c r="E40" s="1"/>
  <c r="C41"/>
  <c r="E41" s="1"/>
  <c r="C42"/>
  <c r="E42" s="1"/>
  <c r="C43"/>
  <c r="E43" s="1"/>
  <c r="C44"/>
  <c r="E44" s="1"/>
  <c r="C45"/>
  <c r="E45" s="1"/>
  <c r="C46"/>
  <c r="E46" s="1"/>
  <c r="C50"/>
  <c r="E50" s="1"/>
  <c r="C51"/>
  <c r="E51" s="1"/>
  <c r="F12" i="52"/>
  <c r="E26" i="16" l="1"/>
  <c r="E20"/>
  <c r="E12"/>
  <c r="E23" i="41"/>
  <c r="E27" i="16"/>
  <c r="E34" i="41"/>
  <c r="E28"/>
  <c r="E17"/>
  <c r="E13" i="16"/>
  <c r="E35" i="41"/>
  <c r="F12" i="78"/>
  <c r="B12" i="43" s="1"/>
  <c r="F12" s="1"/>
  <c r="H12" s="1"/>
  <c r="E14" i="41"/>
  <c r="E31"/>
  <c r="E24" i="16"/>
  <c r="E18" i="41"/>
  <c r="F20" i="78"/>
  <c r="B20" i="43" s="1"/>
  <c r="F20" s="1"/>
  <c r="H20" s="1"/>
  <c r="F28" i="78"/>
  <c r="B28" i="43" s="1"/>
  <c r="F28" s="1"/>
  <c r="H28" s="1"/>
  <c r="F38" i="78"/>
  <c r="B38" i="43" s="1"/>
  <c r="F38" s="1"/>
  <c r="H38" s="1"/>
  <c r="F46" i="78"/>
  <c r="B46" i="43" s="1"/>
  <c r="E25" i="16"/>
  <c r="F26" i="52"/>
  <c r="F26" i="78" s="1"/>
  <c r="B26" i="43" s="1"/>
  <c r="F26" s="1"/>
  <c r="H26" s="1"/>
  <c r="F36" i="52"/>
  <c r="F36" i="78" s="1"/>
  <c r="B36" i="43" s="1"/>
  <c r="F36" s="1"/>
  <c r="H36" s="1"/>
  <c r="F44" i="52"/>
  <c r="F44" i="78" s="1"/>
  <c r="B44" i="43" s="1"/>
  <c r="F44" s="1"/>
  <c r="H44" s="1"/>
  <c r="F24" i="78"/>
  <c r="B24" i="43" s="1"/>
  <c r="F24" s="1"/>
  <c r="H24" s="1"/>
  <c r="F42" i="78"/>
  <c r="B42" i="43" s="1"/>
  <c r="F42" s="1"/>
  <c r="H42" s="1"/>
  <c r="F18" i="52"/>
  <c r="F18" i="78" s="1"/>
  <c r="B18" i="43" s="1"/>
  <c r="F18" s="1"/>
  <c r="H18" s="1"/>
  <c r="E21" i="41"/>
  <c r="E19" i="16"/>
  <c r="E15"/>
  <c r="F34" i="78"/>
  <c r="B34" i="43" s="1"/>
  <c r="F34" s="1"/>
  <c r="H34" s="1"/>
  <c r="E32" i="41"/>
  <c r="F16" i="78"/>
  <c r="B16" i="43" s="1"/>
  <c r="F16" s="1"/>
  <c r="H16" s="1"/>
  <c r="C48" i="46"/>
  <c r="A54" s="1"/>
  <c r="F14" i="52"/>
  <c r="K30" i="3188"/>
  <c r="C30" i="5" s="1"/>
  <c r="B15" i="41"/>
  <c r="F19" i="52"/>
  <c r="F27"/>
  <c r="F37"/>
  <c r="F45"/>
  <c r="F13"/>
  <c r="F13" i="78" s="1"/>
  <c r="B13" i="43" s="1"/>
  <c r="F13" s="1"/>
  <c r="H13" s="1"/>
  <c r="F51" i="52"/>
  <c r="F22"/>
  <c r="F22" i="78" s="1"/>
  <c r="B22" i="43" s="1"/>
  <c r="F22" s="1"/>
  <c r="H22" s="1"/>
  <c r="F39" i="52"/>
  <c r="F31"/>
  <c r="G27" i="38656"/>
  <c r="G36" i="26"/>
  <c r="J50" i="11"/>
  <c r="F32" i="52"/>
  <c r="F17"/>
  <c r="F25"/>
  <c r="F35"/>
  <c r="F43"/>
  <c r="F21"/>
  <c r="F11"/>
  <c r="F11" i="78" s="1"/>
  <c r="F40" i="52"/>
  <c r="D25" i="8"/>
  <c r="B28" i="41"/>
  <c r="B33"/>
  <c r="G50" i="26"/>
  <c r="J36" i="11"/>
  <c r="F50" i="52"/>
  <c r="F15"/>
  <c r="F23"/>
  <c r="F33"/>
  <c r="F41"/>
  <c r="D32" i="38656"/>
  <c r="J30" i="11"/>
  <c r="G51" i="26"/>
  <c r="G35" i="11"/>
  <c r="J37" i="38655"/>
  <c r="D13" i="8"/>
  <c r="J30" i="26"/>
  <c r="D30" i="11"/>
  <c r="E30" i="20"/>
  <c r="B30" i="41"/>
  <c r="G30" i="38655"/>
  <c r="B30" i="39"/>
  <c r="F30" i="41"/>
  <c r="G30" s="1"/>
  <c r="F17"/>
  <c r="G17" s="1"/>
  <c r="F39" i="45"/>
  <c r="F50"/>
  <c r="E51" i="16"/>
  <c r="E51" i="41"/>
  <c r="E44"/>
  <c r="E44" i="16"/>
  <c r="E40"/>
  <c r="E40" i="41"/>
  <c r="E36" i="16"/>
  <c r="E36" i="41"/>
  <c r="H27" i="7"/>
  <c r="I27"/>
  <c r="F27"/>
  <c r="G27"/>
  <c r="F25"/>
  <c r="H25"/>
  <c r="I25"/>
  <c r="D25"/>
  <c r="G25"/>
  <c r="F23"/>
  <c r="I23"/>
  <c r="H23"/>
  <c r="G23"/>
  <c r="D23"/>
  <c r="H20"/>
  <c r="F20"/>
  <c r="I20"/>
  <c r="D20"/>
  <c r="G20"/>
  <c r="D18"/>
  <c r="H18"/>
  <c r="F18"/>
  <c r="G18"/>
  <c r="I18"/>
  <c r="G16"/>
  <c r="H16"/>
  <c r="F16"/>
  <c r="I16"/>
  <c r="D11"/>
  <c r="G11"/>
  <c r="E48"/>
  <c r="F11"/>
  <c r="I11"/>
  <c r="H11"/>
  <c r="J44" i="20"/>
  <c r="J36"/>
  <c r="J26"/>
  <c r="J18"/>
  <c r="J41"/>
  <c r="J33"/>
  <c r="J23"/>
  <c r="J15"/>
  <c r="D44" i="7"/>
  <c r="G44"/>
  <c r="F44"/>
  <c r="H44"/>
  <c r="I44"/>
  <c r="G42"/>
  <c r="H42"/>
  <c r="F42"/>
  <c r="I42"/>
  <c r="G37"/>
  <c r="H37"/>
  <c r="F37"/>
  <c r="I37"/>
  <c r="J50" i="20"/>
  <c r="J39"/>
  <c r="J31"/>
  <c r="J21"/>
  <c r="J13"/>
  <c r="G48" i="47"/>
  <c r="D30" i="38656"/>
  <c r="J30" i="38655"/>
  <c r="F46" i="41"/>
  <c r="G46" s="1"/>
  <c r="D39" i="38656"/>
  <c r="D30" i="8"/>
  <c r="J22" i="11"/>
  <c r="G19"/>
  <c r="E45" i="41"/>
  <c r="E45" i="16"/>
  <c r="E41" i="41"/>
  <c r="E41" i="16"/>
  <c r="E37" i="41"/>
  <c r="E37" i="16"/>
  <c r="G34" i="7"/>
  <c r="I34"/>
  <c r="H34"/>
  <c r="F34"/>
  <c r="I32"/>
  <c r="H32"/>
  <c r="G32"/>
  <c r="F32"/>
  <c r="G14"/>
  <c r="D14"/>
  <c r="H14"/>
  <c r="F14"/>
  <c r="I14"/>
  <c r="F12"/>
  <c r="I12"/>
  <c r="H12"/>
  <c r="G12"/>
  <c r="D12"/>
  <c r="B11" i="38670"/>
  <c r="B48" s="1"/>
  <c r="C48"/>
  <c r="H48" i="20"/>
  <c r="J42"/>
  <c r="J34"/>
  <c r="J24"/>
  <c r="J16"/>
  <c r="F50" i="7"/>
  <c r="G50"/>
  <c r="D50"/>
  <c r="I50"/>
  <c r="H50"/>
  <c r="H45"/>
  <c r="I45"/>
  <c r="F45"/>
  <c r="G45"/>
  <c r="G40"/>
  <c r="D40"/>
  <c r="H40"/>
  <c r="I40"/>
  <c r="F40"/>
  <c r="G38"/>
  <c r="F38"/>
  <c r="I38"/>
  <c r="H38"/>
  <c r="D26" i="38656"/>
  <c r="B30" i="20"/>
  <c r="G30" i="26"/>
  <c r="D17" i="27"/>
  <c r="D17" i="76" s="1"/>
  <c r="B17"/>
  <c r="F27" i="45"/>
  <c r="D30" i="9"/>
  <c r="D18" i="8"/>
  <c r="D20"/>
  <c r="B37" i="41"/>
  <c r="B16"/>
  <c r="B30" i="19"/>
  <c r="G30" i="10"/>
  <c r="D30" i="26"/>
  <c r="D30" i="19"/>
  <c r="D30" i="27"/>
  <c r="D30" i="76" s="1"/>
  <c r="B30"/>
  <c r="F38" i="45"/>
  <c r="E46" i="41"/>
  <c r="E46" i="16"/>
  <c r="E42"/>
  <c r="E42" i="41"/>
  <c r="E38"/>
  <c r="E38" i="16"/>
  <c r="G28" i="7"/>
  <c r="F28"/>
  <c r="D28"/>
  <c r="H28"/>
  <c r="I28"/>
  <c r="H26"/>
  <c r="I26"/>
  <c r="G26"/>
  <c r="F26"/>
  <c r="I24"/>
  <c r="G24"/>
  <c r="F24"/>
  <c r="H24"/>
  <c r="H21"/>
  <c r="G21"/>
  <c r="F21"/>
  <c r="I21"/>
  <c r="G19"/>
  <c r="D19"/>
  <c r="H19"/>
  <c r="I19"/>
  <c r="F19"/>
  <c r="I17"/>
  <c r="F17"/>
  <c r="D17"/>
  <c r="G17"/>
  <c r="H17"/>
  <c r="F15"/>
  <c r="G15"/>
  <c r="D15"/>
  <c r="I15"/>
  <c r="H15"/>
  <c r="J51" i="20"/>
  <c r="J40"/>
  <c r="J32"/>
  <c r="J22"/>
  <c r="J14"/>
  <c r="J45"/>
  <c r="J37"/>
  <c r="J27"/>
  <c r="J19"/>
  <c r="F51" i="7"/>
  <c r="G51"/>
  <c r="I51"/>
  <c r="D51"/>
  <c r="H51"/>
  <c r="F43"/>
  <c r="I43"/>
  <c r="G43"/>
  <c r="H43"/>
  <c r="D43"/>
  <c r="G36"/>
  <c r="I36"/>
  <c r="D36"/>
  <c r="F36"/>
  <c r="H36"/>
  <c r="J43" i="20"/>
  <c r="J35"/>
  <c r="J25"/>
  <c r="J17"/>
  <c r="D48" i="38670"/>
  <c r="F24" i="41"/>
  <c r="G24" s="1"/>
  <c r="F45"/>
  <c r="G45" s="1"/>
  <c r="G30" i="11"/>
  <c r="G32" i="26"/>
  <c r="F25" i="45"/>
  <c r="G26" i="11"/>
  <c r="B34" i="41"/>
  <c r="B44"/>
  <c r="B25"/>
  <c r="B21"/>
  <c r="E30" i="18"/>
  <c r="D30" i="10"/>
  <c r="B30" i="40"/>
  <c r="D30" s="1"/>
  <c r="H30" i="18"/>
  <c r="G30" i="38656"/>
  <c r="F41" i="45"/>
  <c r="E50" i="41"/>
  <c r="E50" i="16"/>
  <c r="E43"/>
  <c r="E43" i="41"/>
  <c r="E39"/>
  <c r="E39" i="16"/>
  <c r="G35" i="7"/>
  <c r="I35"/>
  <c r="H35"/>
  <c r="F35"/>
  <c r="I33"/>
  <c r="H33"/>
  <c r="G33"/>
  <c r="F33"/>
  <c r="F31"/>
  <c r="G31"/>
  <c r="I31"/>
  <c r="H31"/>
  <c r="H22"/>
  <c r="G22"/>
  <c r="I22"/>
  <c r="F22"/>
  <c r="I13"/>
  <c r="G13"/>
  <c r="H13"/>
  <c r="F13"/>
  <c r="C48" i="15"/>
  <c r="E11"/>
  <c r="J11" i="20" s="1"/>
  <c r="J46"/>
  <c r="J38"/>
  <c r="J28"/>
  <c r="J20"/>
  <c r="J12"/>
  <c r="G46" i="7"/>
  <c r="I46"/>
  <c r="F46"/>
  <c r="H46"/>
  <c r="H41"/>
  <c r="F41"/>
  <c r="I41"/>
  <c r="G41"/>
  <c r="H39"/>
  <c r="G39"/>
  <c r="I39"/>
  <c r="F39"/>
  <c r="D39"/>
  <c r="D11" i="70"/>
  <c r="E11" i="33"/>
  <c r="E48" s="1"/>
  <c r="D38" i="11"/>
  <c r="D13" i="7"/>
  <c r="D51" i="11"/>
  <c r="D46"/>
  <c r="D37"/>
  <c r="D43"/>
  <c r="K37" i="3188"/>
  <c r="C37" i="5" s="1"/>
  <c r="D34" i="7"/>
  <c r="K38" i="3188"/>
  <c r="C38" i="5" s="1"/>
  <c r="D26" i="7"/>
  <c r="K50" i="3188"/>
  <c r="C50" i="5" s="1"/>
  <c r="K46" i="3188"/>
  <c r="C46" i="5" s="1"/>
  <c r="K45" i="3188"/>
  <c r="C45" i="5" s="1"/>
  <c r="K42" i="3188"/>
  <c r="C42" i="5" s="1"/>
  <c r="K44" i="3188"/>
  <c r="C44" i="5" s="1"/>
  <c r="F15" i="78" l="1"/>
  <c r="B15" i="43" s="1"/>
  <c r="F15" s="1"/>
  <c r="H15" s="1"/>
  <c r="F23" i="78"/>
  <c r="B23" i="43" s="1"/>
  <c r="F23" s="1"/>
  <c r="H23" s="1"/>
  <c r="F21" i="78"/>
  <c r="B21" i="43" s="1"/>
  <c r="F21" s="1"/>
  <c r="H21" s="1"/>
  <c r="F17" i="78"/>
  <c r="B17" i="43" s="1"/>
  <c r="F17" s="1"/>
  <c r="H17" s="1"/>
  <c r="F27" i="78"/>
  <c r="B27" i="43" s="1"/>
  <c r="F27" s="1"/>
  <c r="H27" s="1"/>
  <c r="F43" i="78"/>
  <c r="B43" i="43" s="1"/>
  <c r="F43" s="1"/>
  <c r="H43" s="1"/>
  <c r="F32" i="78"/>
  <c r="B32" i="43" s="1"/>
  <c r="F32" s="1"/>
  <c r="H32" s="1"/>
  <c r="F19" i="78"/>
  <c r="B19" i="43" s="1"/>
  <c r="F19" s="1"/>
  <c r="H19" s="1"/>
  <c r="F33" i="78"/>
  <c r="B33" i="43" s="1"/>
  <c r="F33" s="1"/>
  <c r="H33" s="1"/>
  <c r="F25" i="78"/>
  <c r="B25" i="43" s="1"/>
  <c r="F25" s="1"/>
  <c r="H25" s="1"/>
  <c r="I25" i="45" s="1"/>
  <c r="G25" s="1"/>
  <c r="F39" i="78"/>
  <c r="B39" i="43" s="1"/>
  <c r="F39" s="1"/>
  <c r="H39" s="1"/>
  <c r="I39" i="45" s="1"/>
  <c r="F51" i="78"/>
  <c r="B51" i="43" s="1"/>
  <c r="F51" s="1"/>
  <c r="H51" s="1"/>
  <c r="F37" i="78"/>
  <c r="B37" i="43" s="1"/>
  <c r="F37" s="1"/>
  <c r="H37" s="1"/>
  <c r="F40" i="78"/>
  <c r="B40" i="43" s="1"/>
  <c r="F40" s="1"/>
  <c r="H40" s="1"/>
  <c r="F31" i="78"/>
  <c r="B31" i="43" s="1"/>
  <c r="F31" s="1"/>
  <c r="H31" s="1"/>
  <c r="F41" i="78"/>
  <c r="B41" i="43" s="1"/>
  <c r="F41" s="1"/>
  <c r="H41" s="1"/>
  <c r="I41" i="45" s="1"/>
  <c r="I41" i="43" s="1"/>
  <c r="B41" i="42" s="1"/>
  <c r="F50" i="78"/>
  <c r="B50" i="43" s="1"/>
  <c r="F50" s="1"/>
  <c r="H50" s="1"/>
  <c r="I50" i="45" s="1"/>
  <c r="E50" i="44" s="1"/>
  <c r="D50" i="42" s="1"/>
  <c r="F35" i="78"/>
  <c r="B35" i="43" s="1"/>
  <c r="F35" s="1"/>
  <c r="H35" s="1"/>
  <c r="F45" i="78"/>
  <c r="B45" i="43" s="1"/>
  <c r="F45" s="1"/>
  <c r="H45" s="1"/>
  <c r="F14" i="78"/>
  <c r="B14" i="43" s="1"/>
  <c r="F14" s="1"/>
  <c r="H14" s="1"/>
  <c r="F18" i="45"/>
  <c r="I18" s="1"/>
  <c r="I18" i="44" s="1"/>
  <c r="F18" i="42" s="1"/>
  <c r="F40" i="45"/>
  <c r="F23"/>
  <c r="F44"/>
  <c r="I44" s="1"/>
  <c r="G44" s="1"/>
  <c r="F43"/>
  <c r="F16"/>
  <c r="I16" s="1"/>
  <c r="G16" s="1"/>
  <c r="F37"/>
  <c r="F17"/>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s="1"/>
  <c r="K20" i="3188"/>
  <c r="C20" i="5" s="1"/>
  <c r="E27" i="20"/>
  <c r="G27" s="1"/>
  <c r="F46" i="45"/>
  <c r="F32"/>
  <c r="F14"/>
  <c r="F35"/>
  <c r="F19"/>
  <c r="F46" i="43"/>
  <c r="H46" s="1"/>
  <c r="K15" i="3188"/>
  <c r="C15" i="5" s="1"/>
  <c r="K43" i="3188"/>
  <c r="C43" i="5" s="1"/>
  <c r="K33" i="3188"/>
  <c r="C33" i="5" s="1"/>
  <c r="K32" i="3188"/>
  <c r="C32" i="5" s="1"/>
  <c r="K23" i="3188"/>
  <c r="C23" i="5" s="1"/>
  <c r="B46" i="20"/>
  <c r="D46" s="1"/>
  <c r="F11" i="45"/>
  <c r="D32" i="38658"/>
  <c r="F32" i="38659" s="1"/>
  <c r="E48" i="52"/>
  <c r="K14" i="3188"/>
  <c r="C14" i="5" s="1"/>
  <c r="F42" i="45"/>
  <c r="I42" s="1"/>
  <c r="C42" s="1"/>
  <c r="G42" i="42" s="1"/>
  <c r="K25" i="3188"/>
  <c r="C25" i="5" s="1"/>
  <c r="K41" i="3188"/>
  <c r="C41" i="5" s="1"/>
  <c r="K34" i="3188"/>
  <c r="C34" i="5" s="1"/>
  <c r="K28" i="3188"/>
  <c r="C28" i="5" s="1"/>
  <c r="K31" i="3188"/>
  <c r="C31" i="5" s="1"/>
  <c r="K35" i="3188"/>
  <c r="C35" i="5" s="1"/>
  <c r="K18" i="3188"/>
  <c r="C18" i="5" s="1"/>
  <c r="K27" i="3188"/>
  <c r="C27" i="5" s="1"/>
  <c r="K22" i="3188"/>
  <c r="C22" i="5" s="1"/>
  <c r="F24" i="45"/>
  <c r="I24" s="1"/>
  <c r="G24" s="1"/>
  <c r="B32" i="39"/>
  <c r="D51" i="9"/>
  <c r="D33" i="7"/>
  <c r="D11" i="11"/>
  <c r="E15" i="18"/>
  <c r="D15" i="10"/>
  <c r="D43" i="26"/>
  <c r="D43" i="19"/>
  <c r="J43" i="26"/>
  <c r="G36" i="8"/>
  <c r="D32" i="26"/>
  <c r="D17" i="9"/>
  <c r="D44" i="8"/>
  <c r="B44" i="18"/>
  <c r="D20" i="9"/>
  <c r="D42" i="7"/>
  <c r="J12" i="11"/>
  <c r="G11" i="10"/>
  <c r="D13" i="11"/>
  <c r="B20" i="18"/>
  <c r="J37" i="9"/>
  <c r="D41" i="7"/>
  <c r="J34" i="9"/>
  <c r="D13"/>
  <c r="D26"/>
  <c r="G15" i="10"/>
  <c r="G12"/>
  <c r="G15" i="11"/>
  <c r="B43" i="41"/>
  <c r="D15" i="9"/>
  <c r="G14"/>
  <c r="B41" i="18"/>
  <c r="D41" i="8"/>
  <c r="J35" i="9"/>
  <c r="E11" i="18"/>
  <c r="D11" i="10"/>
  <c r="D14" i="11"/>
  <c r="D15"/>
  <c r="I38" i="45"/>
  <c r="G38" s="1"/>
  <c r="G24" i="8"/>
  <c r="D51"/>
  <c r="B51" i="18"/>
  <c r="D39" i="9"/>
  <c r="E13" i="18"/>
  <c r="D13" i="10"/>
  <c r="D12" i="11"/>
  <c r="E14" i="18"/>
  <c r="D14" i="10"/>
  <c r="D17" i="11"/>
  <c r="D18"/>
  <c r="G12"/>
  <c r="B43" i="19"/>
  <c r="B43" i="40"/>
  <c r="D43" s="1"/>
  <c r="J15" i="11"/>
  <c r="G17" i="10"/>
  <c r="D24" i="11"/>
  <c r="D22"/>
  <c r="D20"/>
  <c r="B13" i="18"/>
  <c r="B43" i="39"/>
  <c r="B43" i="76"/>
  <c r="D43" i="27"/>
  <c r="D43" i="76" s="1"/>
  <c r="G14" i="10"/>
  <c r="E18" i="18"/>
  <c r="D18" i="10"/>
  <c r="G25" i="8"/>
  <c r="G20" i="11"/>
  <c r="G22" i="10"/>
  <c r="J23" i="11"/>
  <c r="E19" i="18"/>
  <c r="D19" i="10"/>
  <c r="E17" i="18"/>
  <c r="D17" i="10"/>
  <c r="D34" i="9"/>
  <c r="J40"/>
  <c r="G23" i="8"/>
  <c r="B43" i="20"/>
  <c r="D45" i="38658"/>
  <c r="G30" i="8"/>
  <c r="E16" i="18"/>
  <c r="D16" i="10"/>
  <c r="J19" i="11"/>
  <c r="J16"/>
  <c r="F43" i="41"/>
  <c r="G43" s="1"/>
  <c r="G44" i="9"/>
  <c r="D33"/>
  <c r="J13" i="11"/>
  <c r="E42" i="18"/>
  <c r="D42" i="10"/>
  <c r="B12" i="19"/>
  <c r="H12" i="18"/>
  <c r="H20"/>
  <c r="H35"/>
  <c r="H41"/>
  <c r="D15" i="26"/>
  <c r="D15" i="19"/>
  <c r="D23" i="26"/>
  <c r="D34"/>
  <c r="D34" i="19"/>
  <c r="G33" i="38655"/>
  <c r="G37"/>
  <c r="B12" i="40"/>
  <c r="D12" s="1"/>
  <c r="B18"/>
  <c r="D18" s="1"/>
  <c r="B20"/>
  <c r="D20" s="1"/>
  <c r="B23"/>
  <c r="D23" s="1"/>
  <c r="B25"/>
  <c r="D25" s="1"/>
  <c r="B28"/>
  <c r="D28" s="1"/>
  <c r="B34"/>
  <c r="D34" s="1"/>
  <c r="B37" i="39"/>
  <c r="B42" i="40"/>
  <c r="D42" s="1"/>
  <c r="B50"/>
  <c r="D15" i="38658"/>
  <c r="D39"/>
  <c r="H24" i="18"/>
  <c r="H28"/>
  <c r="D38" i="10"/>
  <c r="J36" i="26"/>
  <c r="J46"/>
  <c r="D12" i="38656"/>
  <c r="G46" i="38655"/>
  <c r="B31" i="40"/>
  <c r="D31" s="1"/>
  <c r="E13" i="20"/>
  <c r="H15" i="18"/>
  <c r="H46"/>
  <c r="B51" i="40"/>
  <c r="B31" i="39"/>
  <c r="B35"/>
  <c r="D41" i="19"/>
  <c r="D41" i="26"/>
  <c r="G38" i="38655"/>
  <c r="B42" i="39"/>
  <c r="E20" i="18"/>
  <c r="D20" i="10"/>
  <c r="G43" i="38656"/>
  <c r="B33" i="18"/>
  <c r="D33" i="8"/>
  <c r="J14" i="11"/>
  <c r="H23" i="18"/>
  <c r="D38" i="38658"/>
  <c r="G12" i="26"/>
  <c r="G17" i="38655"/>
  <c r="G36"/>
  <c r="J24" i="26"/>
  <c r="D39" i="19"/>
  <c r="D39" i="26"/>
  <c r="D28" i="19"/>
  <c r="D28" i="26"/>
  <c r="D16"/>
  <c r="G12" i="8"/>
  <c r="G43" i="10"/>
  <c r="G18"/>
  <c r="D32" i="9"/>
  <c r="J33" i="26"/>
  <c r="J44"/>
  <c r="G19" i="38655"/>
  <c r="J38" i="9"/>
  <c r="J15" i="26"/>
  <c r="H50" i="18"/>
  <c r="D23" i="9"/>
  <c r="J13" i="26"/>
  <c r="B26" i="20"/>
  <c r="E38"/>
  <c r="E44"/>
  <c r="E45"/>
  <c r="B51" i="41"/>
  <c r="C51" s="1"/>
  <c r="J50" i="26"/>
  <c r="B26" i="19"/>
  <c r="E12" i="20"/>
  <c r="D34" i="27"/>
  <c r="D34" i="76" s="1"/>
  <c r="B34"/>
  <c r="E44" i="18"/>
  <c r="D44" i="10"/>
  <c r="G13" i="26"/>
  <c r="G17"/>
  <c r="G16" i="38656"/>
  <c r="G25" i="10"/>
  <c r="G39" i="8"/>
  <c r="F23" i="41"/>
  <c r="G23" s="1"/>
  <c r="J41" i="11"/>
  <c r="B41" i="20"/>
  <c r="B39" i="18"/>
  <c r="D39" i="8"/>
  <c r="G31"/>
  <c r="G40" i="10"/>
  <c r="B17" i="40"/>
  <c r="D17" s="1"/>
  <c r="B40" i="19"/>
  <c r="G37" i="26"/>
  <c r="D33" i="38656"/>
  <c r="F14" i="41"/>
  <c r="G14" s="1"/>
  <c r="F18"/>
  <c r="G18" s="1"/>
  <c r="E23" i="20"/>
  <c r="F35" i="41"/>
  <c r="G35" s="1"/>
  <c r="B16" i="40"/>
  <c r="D16" s="1"/>
  <c r="B41" i="41"/>
  <c r="B50"/>
  <c r="D37" i="9"/>
  <c r="D45"/>
  <c r="G37" i="10"/>
  <c r="J22" i="38655"/>
  <c r="B13" i="41"/>
  <c r="D35" i="27"/>
  <c r="D35" i="76" s="1"/>
  <c r="B35"/>
  <c r="G44" i="38656"/>
  <c r="G12"/>
  <c r="G40"/>
  <c r="E36" i="20"/>
  <c r="J14" i="26"/>
  <c r="D28" i="11"/>
  <c r="B28" i="76"/>
  <c r="D28" i="27"/>
  <c r="D28" i="76" s="1"/>
  <c r="B27" i="20"/>
  <c r="F32" i="41"/>
  <c r="G32" s="1"/>
  <c r="G28" i="11"/>
  <c r="J45" i="38655"/>
  <c r="G19" i="26"/>
  <c r="G23" i="11"/>
  <c r="G46" i="38656"/>
  <c r="B15" i="20"/>
  <c r="B23"/>
  <c r="D12" i="27"/>
  <c r="D12" i="76" s="1"/>
  <c r="B12"/>
  <c r="B43" i="18"/>
  <c r="D43" i="8"/>
  <c r="G38"/>
  <c r="B31" i="18"/>
  <c r="D31" i="8"/>
  <c r="E36" i="18"/>
  <c r="D36" i="10"/>
  <c r="G42"/>
  <c r="B13" i="20"/>
  <c r="D21" i="38656"/>
  <c r="B17" i="19"/>
  <c r="B25"/>
  <c r="D24" i="9"/>
  <c r="D41" i="38656"/>
  <c r="D40" i="26"/>
  <c r="D26" i="38658"/>
  <c r="G33" i="11"/>
  <c r="B24" i="76"/>
  <c r="D24" i="27"/>
  <c r="D24" i="76" s="1"/>
  <c r="B34" i="20"/>
  <c r="G25" i="26"/>
  <c r="G13" i="38656"/>
  <c r="G21"/>
  <c r="B33" i="20"/>
  <c r="B19" i="41"/>
  <c r="G40" i="8"/>
  <c r="J17" i="38655"/>
  <c r="J44"/>
  <c r="G38" i="11"/>
  <c r="D22" i="27"/>
  <c r="D22" i="76" s="1"/>
  <c r="B22"/>
  <c r="F34" i="41"/>
  <c r="G34" s="1"/>
  <c r="G23" i="38656"/>
  <c r="G38"/>
  <c r="B46" i="39"/>
  <c r="G28" i="26"/>
  <c r="B25" i="20"/>
  <c r="J39" i="26"/>
  <c r="J41" i="38655"/>
  <c r="F16" i="41"/>
  <c r="G16" s="1"/>
  <c r="G46" i="11"/>
  <c r="D19" i="27"/>
  <c r="D19" i="76" s="1"/>
  <c r="B19"/>
  <c r="J33" i="11"/>
  <c r="D19" i="19"/>
  <c r="D19" i="26"/>
  <c r="E21" i="20"/>
  <c r="D27" i="19"/>
  <c r="G31" i="11"/>
  <c r="G32" i="10"/>
  <c r="G46"/>
  <c r="B37" i="19"/>
  <c r="E27" i="18"/>
  <c r="D36" i="11"/>
  <c r="G40"/>
  <c r="B45" i="19"/>
  <c r="J33" i="38655"/>
  <c r="F37" i="41"/>
  <c r="G37" s="1"/>
  <c r="D34" i="8"/>
  <c r="B34" i="18"/>
  <c r="B45" i="20"/>
  <c r="B36" i="41"/>
  <c r="F12"/>
  <c r="G12" s="1"/>
  <c r="B44" i="76"/>
  <c r="D44" i="27"/>
  <c r="D44" i="76" s="1"/>
  <c r="J40" i="11"/>
  <c r="J38" i="38655"/>
  <c r="G24" i="26"/>
  <c r="B18" i="41"/>
  <c r="B38" i="20"/>
  <c r="J51" i="38655"/>
  <c r="D11" i="38656"/>
  <c r="D24" i="26"/>
  <c r="D24" i="19"/>
  <c r="H25" i="18"/>
  <c r="G30"/>
  <c r="K30" i="38667"/>
  <c r="D21" i="41"/>
  <c r="C21"/>
  <c r="C44"/>
  <c r="D44"/>
  <c r="D37"/>
  <c r="C37"/>
  <c r="F30" i="39"/>
  <c r="H30"/>
  <c r="D30"/>
  <c r="G30" i="20"/>
  <c r="C33" i="41"/>
  <c r="D33"/>
  <c r="D35" i="7"/>
  <c r="K12" i="3188"/>
  <c r="C12" i="5" s="1"/>
  <c r="F21" i="45"/>
  <c r="B30" i="18"/>
  <c r="F34" i="45"/>
  <c r="F28"/>
  <c r="B25" i="18"/>
  <c r="E34" i="20"/>
  <c r="G17" i="11"/>
  <c r="E12" i="18"/>
  <c r="D12" i="10"/>
  <c r="G13"/>
  <c r="E43" i="20"/>
  <c r="D19" i="11"/>
  <c r="G20" i="10"/>
  <c r="J21" i="11"/>
  <c r="G24"/>
  <c r="D25"/>
  <c r="D23" i="8"/>
  <c r="B23" i="18"/>
  <c r="D22" i="9"/>
  <c r="G43" i="8"/>
  <c r="G42"/>
  <c r="D36" i="9"/>
  <c r="J11" i="11"/>
  <c r="D26"/>
  <c r="D41" i="9"/>
  <c r="J43" i="38655"/>
  <c r="D27" i="10"/>
  <c r="E39" i="18"/>
  <c r="D39" i="10"/>
  <c r="H40" i="18"/>
  <c r="H45"/>
  <c r="D11" i="19"/>
  <c r="D11" i="26"/>
  <c r="D13"/>
  <c r="D13" i="19"/>
  <c r="J22" i="26"/>
  <c r="D38"/>
  <c r="D38" i="19"/>
  <c r="J12" i="38655"/>
  <c r="G16"/>
  <c r="G20"/>
  <c r="G24"/>
  <c r="G28"/>
  <c r="G40"/>
  <c r="B13" i="40"/>
  <c r="D13" s="1"/>
  <c r="B14" i="39"/>
  <c r="B21" i="40"/>
  <c r="D21" s="1"/>
  <c r="B22" i="39"/>
  <c r="B24"/>
  <c r="B26" i="40"/>
  <c r="D26" s="1"/>
  <c r="B33"/>
  <c r="D33" s="1"/>
  <c r="B41"/>
  <c r="D41" s="1"/>
  <c r="B46"/>
  <c r="D46" s="1"/>
  <c r="B11" i="41"/>
  <c r="D18" i="38658"/>
  <c r="D22"/>
  <c r="D41"/>
  <c r="E28" i="18"/>
  <c r="D28" i="10"/>
  <c r="E45" i="18"/>
  <c r="D45" i="10"/>
  <c r="H22" i="18"/>
  <c r="H32"/>
  <c r="J12" i="26"/>
  <c r="J42"/>
  <c r="G45" i="38655"/>
  <c r="B11" i="20"/>
  <c r="B40" i="39"/>
  <c r="B12"/>
  <c r="F11" i="41"/>
  <c r="B39" i="40"/>
  <c r="D39" s="1"/>
  <c r="G44" i="38655"/>
  <c r="B33" i="39"/>
  <c r="G11" i="26"/>
  <c r="J32"/>
  <c r="G34" i="38655"/>
  <c r="B12" i="20"/>
  <c r="J20" i="26"/>
  <c r="D46"/>
  <c r="D33"/>
  <c r="D18"/>
  <c r="D18" i="19"/>
  <c r="D51" i="38655"/>
  <c r="G51" i="19"/>
  <c r="D43" i="10"/>
  <c r="J17" i="11"/>
  <c r="D27" i="8"/>
  <c r="B27" i="18"/>
  <c r="D50" i="9"/>
  <c r="J40" i="26"/>
  <c r="G11" i="11"/>
  <c r="H44" i="18"/>
  <c r="B36" i="39"/>
  <c r="G33" i="8"/>
  <c r="D12" i="9"/>
  <c r="F38" i="41"/>
  <c r="G38" s="1"/>
  <c r="F42"/>
  <c r="G42" s="1"/>
  <c r="B45"/>
  <c r="F44"/>
  <c r="G44" s="1"/>
  <c r="B22" i="19"/>
  <c r="D40" i="38656"/>
  <c r="D27" i="11"/>
  <c r="J44"/>
  <c r="G33" i="26"/>
  <c r="B21" i="76"/>
  <c r="D21" i="27"/>
  <c r="D21" i="76" s="1"/>
  <c r="F36" i="41"/>
  <c r="G36" s="1"/>
  <c r="G11" i="38656"/>
  <c r="G33"/>
  <c r="B21" i="20"/>
  <c r="D40" i="9"/>
  <c r="D21"/>
  <c r="G34" i="10"/>
  <c r="J46" i="38655"/>
  <c r="J46" i="9"/>
  <c r="G39" i="38655"/>
  <c r="D15" i="38656"/>
  <c r="D20"/>
  <c r="D23"/>
  <c r="D28"/>
  <c r="J39" i="38655"/>
  <c r="G51" i="38656"/>
  <c r="B12" i="41"/>
  <c r="E16" i="20"/>
  <c r="F22" i="41"/>
  <c r="G22" s="1"/>
  <c r="E32" i="20"/>
  <c r="G51" i="38655"/>
  <c r="D45" i="38656"/>
  <c r="E46" i="20"/>
  <c r="E51"/>
  <c r="B17" i="39"/>
  <c r="B21" i="18"/>
  <c r="D21" i="8"/>
  <c r="D17"/>
  <c r="J35" i="11"/>
  <c r="G39" i="10"/>
  <c r="G44"/>
  <c r="D31" i="11"/>
  <c r="F50" i="41"/>
  <c r="G50" s="1"/>
  <c r="E50" i="18"/>
  <c r="D50" i="10"/>
  <c r="D16" i="38656"/>
  <c r="E28" i="20"/>
  <c r="J31" i="26"/>
  <c r="B28" i="19"/>
  <c r="G51" i="10"/>
  <c r="B24" i="19"/>
  <c r="J37" i="11"/>
  <c r="G23" i="26"/>
  <c r="G27"/>
  <c r="E43" i="18"/>
  <c r="B15" i="39"/>
  <c r="J42" i="11"/>
  <c r="D42"/>
  <c r="G26" i="10"/>
  <c r="F20" i="41"/>
  <c r="G20" s="1"/>
  <c r="B28" i="20"/>
  <c r="H13" i="18"/>
  <c r="H51"/>
  <c r="D33" i="11"/>
  <c r="D41"/>
  <c r="D51" i="38656"/>
  <c r="J20" i="38655"/>
  <c r="B13" i="19"/>
  <c r="E24" i="20"/>
  <c r="J31" i="38655"/>
  <c r="D51" i="19"/>
  <c r="D51" i="26"/>
  <c r="D15" i="27"/>
  <c r="D15" i="76" s="1"/>
  <c r="B15"/>
  <c r="E18" i="20"/>
  <c r="G34" i="26"/>
  <c r="G20" i="38656"/>
  <c r="G35"/>
  <c r="B31" i="20"/>
  <c r="B26" i="41"/>
  <c r="J13" i="38655"/>
  <c r="G42" i="38656"/>
  <c r="G45"/>
  <c r="D42" i="9"/>
  <c r="D14" i="38656"/>
  <c r="B33" i="19"/>
  <c r="G32" i="38656"/>
  <c r="G15" i="26"/>
  <c r="G22" i="38656"/>
  <c r="G36"/>
  <c r="J20" i="11"/>
  <c r="B17" i="20"/>
  <c r="B50"/>
  <c r="G51" i="11"/>
  <c r="B21" i="19"/>
  <c r="E17" i="20"/>
  <c r="E31"/>
  <c r="B17" i="41"/>
  <c r="G27" i="11"/>
  <c r="G41"/>
  <c r="B34" i="19"/>
  <c r="G41" i="26"/>
  <c r="D40" i="8"/>
  <c r="B40" i="18"/>
  <c r="G37" i="11"/>
  <c r="F25" i="41"/>
  <c r="G25" s="1"/>
  <c r="D32" i="11"/>
  <c r="G21" i="26"/>
  <c r="D27" i="9"/>
  <c r="D15" i="8"/>
  <c r="B15" i="18"/>
  <c r="D41" i="27"/>
  <c r="D41" i="76" s="1"/>
  <c r="B41"/>
  <c r="E22" i="20"/>
  <c r="B35" i="41"/>
  <c r="G21" i="11"/>
  <c r="D38" i="9"/>
  <c r="H38" i="18"/>
  <c r="E50" i="20"/>
  <c r="F33" i="41"/>
  <c r="G33" s="1"/>
  <c r="G27" i="10"/>
  <c r="D48" i="70"/>
  <c r="E30" i="5"/>
  <c r="C30" i="41"/>
  <c r="D30"/>
  <c r="D46" i="7"/>
  <c r="D39" i="11"/>
  <c r="E25" i="20"/>
  <c r="D38" i="7"/>
  <c r="D45" i="11"/>
  <c r="F22" i="45"/>
  <c r="J32" i="9"/>
  <c r="D46"/>
  <c r="G51" i="8"/>
  <c r="J18" i="11"/>
  <c r="E21" i="18"/>
  <c r="D21" i="10"/>
  <c r="D43" i="9"/>
  <c r="G35" i="8"/>
  <c r="D38"/>
  <c r="B38" i="18"/>
  <c r="D18" i="9"/>
  <c r="H27" i="18"/>
  <c r="H39"/>
  <c r="D21" i="26"/>
  <c r="D21" i="19"/>
  <c r="D27" i="26"/>
  <c r="J37"/>
  <c r="D30" i="38658"/>
  <c r="G32" i="38655"/>
  <c r="G42"/>
  <c r="B19" i="39"/>
  <c r="B20"/>
  <c r="B27" i="40"/>
  <c r="B36"/>
  <c r="D36" s="1"/>
  <c r="B40"/>
  <c r="D40" s="1"/>
  <c r="F13" i="41"/>
  <c r="G13" s="1"/>
  <c r="D25" i="38658"/>
  <c r="D34"/>
  <c r="D44"/>
  <c r="H18" i="18"/>
  <c r="H26"/>
  <c r="H31"/>
  <c r="H36"/>
  <c r="H42"/>
  <c r="D11" i="27"/>
  <c r="D11" i="76" s="1"/>
  <c r="B11"/>
  <c r="J23" i="26"/>
  <c r="B14" i="41"/>
  <c r="H17" i="18"/>
  <c r="B13" i="39"/>
  <c r="B39"/>
  <c r="B45"/>
  <c r="B27"/>
  <c r="B11" i="40"/>
  <c r="J11" i="26"/>
  <c r="D11" i="9"/>
  <c r="E32" i="18"/>
  <c r="D32" i="10"/>
  <c r="B45" i="40"/>
  <c r="D45" s="1"/>
  <c r="D11" i="8"/>
  <c r="B11" i="18"/>
  <c r="D26" i="10"/>
  <c r="B22" i="18"/>
  <c r="D22" i="8"/>
  <c r="D25" i="9"/>
  <c r="G22" i="11"/>
  <c r="J25" i="26"/>
  <c r="G13" i="38655"/>
  <c r="J18" i="26"/>
  <c r="D44"/>
  <c r="D44" i="19"/>
  <c r="D35" i="26"/>
  <c r="D35" i="19"/>
  <c r="D20" i="26"/>
  <c r="D20" i="19"/>
  <c r="G50" i="38655"/>
  <c r="G15" i="8"/>
  <c r="G27"/>
  <c r="D16"/>
  <c r="J28" i="26"/>
  <c r="G25" i="38655"/>
  <c r="H34" i="18"/>
  <c r="B35"/>
  <c r="D35" i="8"/>
  <c r="B50" i="18"/>
  <c r="D50" i="8"/>
  <c r="B23" i="39"/>
  <c r="B20" i="20"/>
  <c r="B22"/>
  <c r="G43" i="11"/>
  <c r="E37" i="18"/>
  <c r="D37" i="10"/>
  <c r="G27" i="38655"/>
  <c r="E40" i="20"/>
  <c r="D26" i="8"/>
  <c r="B26" i="18"/>
  <c r="F40" i="41"/>
  <c r="G40" s="1"/>
  <c r="B40"/>
  <c r="B14" i="19"/>
  <c r="D25" i="27"/>
  <c r="D25" i="76" s="1"/>
  <c r="B25"/>
  <c r="F27" i="41"/>
  <c r="G27" s="1"/>
  <c r="D14" i="8"/>
  <c r="B14" i="18"/>
  <c r="D14" i="27"/>
  <c r="D14" i="76" s="1"/>
  <c r="B14"/>
  <c r="B40" i="20"/>
  <c r="G24" i="38656"/>
  <c r="B19" i="20"/>
  <c r="B44" i="39"/>
  <c r="G34" i="8"/>
  <c r="D26" i="27"/>
  <c r="D26" i="76" s="1"/>
  <c r="B26"/>
  <c r="G41" i="38656"/>
  <c r="B15" i="19"/>
  <c r="J14" i="38655"/>
  <c r="D36" i="38656"/>
  <c r="B16" i="20"/>
  <c r="E15"/>
  <c r="E19"/>
  <c r="F31" i="41"/>
  <c r="G31" s="1"/>
  <c r="E42" i="20"/>
  <c r="J24" i="9"/>
  <c r="D42" i="8"/>
  <c r="B42" i="18"/>
  <c r="G35" i="10"/>
  <c r="J35" i="38655"/>
  <c r="G15" i="38656"/>
  <c r="F19" i="41"/>
  <c r="G19" s="1"/>
  <c r="E35" i="18"/>
  <c r="D35" i="10"/>
  <c r="E41" i="18"/>
  <c r="D41" i="10"/>
  <c r="D31" i="26"/>
  <c r="D31" i="19"/>
  <c r="J45" i="26"/>
  <c r="B41" i="39"/>
  <c r="F28" i="41"/>
  <c r="G28" s="1"/>
  <c r="G34" i="11"/>
  <c r="D12" i="19"/>
  <c r="D12" i="26"/>
  <c r="D31" i="27"/>
  <c r="D31" i="76" s="1"/>
  <c r="B31"/>
  <c r="J24" i="38655"/>
  <c r="B37" i="40"/>
  <c r="D37" s="1"/>
  <c r="B11" i="19"/>
  <c r="B21" i="39"/>
  <c r="B37" i="20"/>
  <c r="J25" i="9"/>
  <c r="G26" i="26"/>
  <c r="F41" i="41"/>
  <c r="G41" s="1"/>
  <c r="J32" i="11"/>
  <c r="G41" i="10"/>
  <c r="B46" i="19"/>
  <c r="G50" i="38656"/>
  <c r="G25"/>
  <c r="B20" i="19"/>
  <c r="E39" i="20"/>
  <c r="G33" i="10"/>
  <c r="E51" i="18"/>
  <c r="D51" i="10"/>
  <c r="J51" i="26"/>
  <c r="B42" i="76"/>
  <c r="D42" i="27"/>
  <c r="D42" i="76" s="1"/>
  <c r="E33" i="20"/>
  <c r="D26" i="19"/>
  <c r="D26" i="26"/>
  <c r="B27" i="19"/>
  <c r="D45" i="26"/>
  <c r="B35" i="20"/>
  <c r="G19" i="38656"/>
  <c r="G31"/>
  <c r="G42" i="26"/>
  <c r="B20" i="41"/>
  <c r="G23" i="10"/>
  <c r="J28" i="11"/>
  <c r="G44" i="26"/>
  <c r="G13" i="8"/>
  <c r="B19" i="19"/>
  <c r="B50" i="76"/>
  <c r="D50" i="27"/>
  <c r="D50" i="76" s="1"/>
  <c r="G18" i="38656"/>
  <c r="G34"/>
  <c r="B23" i="41"/>
  <c r="G35" i="26"/>
  <c r="G31" i="10"/>
  <c r="B51" i="76"/>
  <c r="D51" i="27"/>
  <c r="D51" i="76" s="1"/>
  <c r="F15" i="41"/>
  <c r="G15" s="1"/>
  <c r="B18" i="19"/>
  <c r="D39" i="27"/>
  <c r="D39" i="76" s="1"/>
  <c r="B39"/>
  <c r="D37" i="19"/>
  <c r="E11" i="20"/>
  <c r="G38" i="10"/>
  <c r="D45" i="19"/>
  <c r="D25" i="38656"/>
  <c r="E22" i="18"/>
  <c r="D22" i="10"/>
  <c r="G36" i="11"/>
  <c r="B42" i="19"/>
  <c r="F21" i="41"/>
  <c r="G21" s="1"/>
  <c r="D28" i="8"/>
  <c r="B28" i="18"/>
  <c r="E14" i="20"/>
  <c r="J25" i="38655"/>
  <c r="B51" i="20"/>
  <c r="D19" i="8"/>
  <c r="B19" i="18"/>
  <c r="B31" i="41"/>
  <c r="G50" i="11"/>
  <c r="D34"/>
  <c r="D13" i="27"/>
  <c r="D13" i="76" s="1"/>
  <c r="B13"/>
  <c r="E48" i="15"/>
  <c r="E48" i="41" s="1"/>
  <c r="E11" i="16"/>
  <c r="E48" s="1"/>
  <c r="E11" i="41"/>
  <c r="C25"/>
  <c r="D25"/>
  <c r="C34"/>
  <c r="D34"/>
  <c r="F48" i="52"/>
  <c r="C16" i="41"/>
  <c r="D16"/>
  <c r="C15"/>
  <c r="D15"/>
  <c r="C28"/>
  <c r="D28"/>
  <c r="D31" i="7"/>
  <c r="K11" i="3188"/>
  <c r="F20" i="45"/>
  <c r="F12"/>
  <c r="D24" i="7"/>
  <c r="F33" i="45"/>
  <c r="D32" i="7"/>
  <c r="F13" i="45"/>
  <c r="F31"/>
  <c r="F15"/>
  <c r="D40" i="11"/>
  <c r="F26" i="45"/>
  <c r="F51"/>
  <c r="G16" i="11"/>
  <c r="H43" i="18"/>
  <c r="G43" i="26"/>
  <c r="G14" i="11"/>
  <c r="E23" i="18"/>
  <c r="D23" i="10"/>
  <c r="G24"/>
  <c r="D35" i="9"/>
  <c r="D23" i="11"/>
  <c r="D32" i="8"/>
  <c r="B32" i="18"/>
  <c r="J13" i="9"/>
  <c r="D16"/>
  <c r="D36" i="8"/>
  <c r="B36" i="18"/>
  <c r="D43" i="38656"/>
  <c r="D16" i="11"/>
  <c r="G16" i="10"/>
  <c r="D21" i="11"/>
  <c r="G18"/>
  <c r="G45" i="8"/>
  <c r="E31" i="18"/>
  <c r="D31" i="10"/>
  <c r="H14" i="18"/>
  <c r="H37"/>
  <c r="D17" i="26"/>
  <c r="D17" i="19"/>
  <c r="D25" i="26"/>
  <c r="D25" i="19"/>
  <c r="D36"/>
  <c r="D36" i="26"/>
  <c r="G11" i="38655"/>
  <c r="G12"/>
  <c r="G14"/>
  <c r="G18"/>
  <c r="G22"/>
  <c r="G26"/>
  <c r="G31"/>
  <c r="G35"/>
  <c r="G41"/>
  <c r="D47" i="38658"/>
  <c r="B14" i="40"/>
  <c r="B15"/>
  <c r="D15" s="1"/>
  <c r="B19"/>
  <c r="D19" s="1"/>
  <c r="B22"/>
  <c r="D22" s="1"/>
  <c r="B24"/>
  <c r="D24" s="1"/>
  <c r="B25" i="39"/>
  <c r="B26"/>
  <c r="B28"/>
  <c r="B35" i="40"/>
  <c r="D35" s="1"/>
  <c r="B38"/>
  <c r="D38" s="1"/>
  <c r="B44"/>
  <c r="D44" s="1"/>
  <c r="B50" i="39"/>
  <c r="D40" i="38658"/>
  <c r="J31" i="11"/>
  <c r="H16" i="18"/>
  <c r="H33"/>
  <c r="J17" i="26"/>
  <c r="J27"/>
  <c r="J38"/>
  <c r="B11" i="39"/>
  <c r="B34"/>
  <c r="D50" i="19"/>
  <c r="D50" i="26"/>
  <c r="H11" i="18"/>
  <c r="E33"/>
  <c r="D33" i="10"/>
  <c r="E24" i="18"/>
  <c r="D24" i="10"/>
  <c r="D28" i="9"/>
  <c r="H21" i="18"/>
  <c r="G43" i="38655"/>
  <c r="D12" i="8"/>
  <c r="B12" i="18"/>
  <c r="J21" i="26"/>
  <c r="J34"/>
  <c r="G23" i="38655"/>
  <c r="J16" i="26"/>
  <c r="J41"/>
  <c r="G21" i="38655"/>
  <c r="D37" i="26"/>
  <c r="D22" i="19"/>
  <c r="D22" i="26"/>
  <c r="D14"/>
  <c r="D14" i="19"/>
  <c r="G17" i="8"/>
  <c r="G32"/>
  <c r="D24"/>
  <c r="B24" i="18"/>
  <c r="B24" i="20"/>
  <c r="G46" i="8"/>
  <c r="G13" i="11"/>
  <c r="G18" i="8"/>
  <c r="D44" i="9"/>
  <c r="G15" i="38655"/>
  <c r="H19" i="18"/>
  <c r="F39" i="41"/>
  <c r="G39" s="1"/>
  <c r="F51"/>
  <c r="D18" i="27"/>
  <c r="D18" i="76" s="1"/>
  <c r="B18"/>
  <c r="E20" i="20"/>
  <c r="J39" i="11"/>
  <c r="G45" i="26"/>
  <c r="J19" i="38655"/>
  <c r="B42" i="41"/>
  <c r="G20" i="8"/>
  <c r="B38" i="76"/>
  <c r="D38" i="27"/>
  <c r="D38" i="76" s="1"/>
  <c r="B18" i="39"/>
  <c r="B38" i="41"/>
  <c r="J26" i="9"/>
  <c r="G19" i="8"/>
  <c r="B36" i="19"/>
  <c r="F26" i="41"/>
  <c r="G26" s="1"/>
  <c r="J45" i="11"/>
  <c r="G20" i="26"/>
  <c r="B46" i="41"/>
  <c r="D19" i="9"/>
  <c r="G45" i="10"/>
  <c r="E40" i="18"/>
  <c r="D40" i="10"/>
  <c r="B23" i="19"/>
  <c r="J26" i="38655"/>
  <c r="E41" i="20"/>
  <c r="B18"/>
  <c r="D46" i="8"/>
  <c r="B46" i="18"/>
  <c r="D23" i="38658"/>
  <c r="J46" i="11"/>
  <c r="D24" i="38656"/>
  <c r="B44" i="20"/>
  <c r="B39" i="19"/>
  <c r="J50" i="38655"/>
  <c r="J26" i="26"/>
  <c r="D42"/>
  <c r="D42" i="19"/>
  <c r="B32" i="40"/>
  <c r="D32" s="1"/>
  <c r="J28" i="38655"/>
  <c r="J27"/>
  <c r="E34" i="18"/>
  <c r="D34" i="10"/>
  <c r="G28"/>
  <c r="G37" i="38656"/>
  <c r="G25" i="11"/>
  <c r="D31" i="9"/>
  <c r="J51" i="11"/>
  <c r="D35"/>
  <c r="G14" i="26"/>
  <c r="G21" i="10"/>
  <c r="E26" i="20"/>
  <c r="G46" i="26"/>
  <c r="B36" i="20"/>
  <c r="J24" i="11"/>
  <c r="G16" i="26"/>
  <c r="E37" i="20"/>
  <c r="E25" i="18"/>
  <c r="D25" i="10"/>
  <c r="G39" i="11"/>
  <c r="G45"/>
  <c r="B41" i="19"/>
  <c r="G18" i="26"/>
  <c r="B16" i="39"/>
  <c r="J19" i="26"/>
  <c r="G32" i="11"/>
  <c r="D34" i="38656"/>
  <c r="G40" i="26"/>
  <c r="G17" i="38656"/>
  <c r="G26"/>
  <c r="G39"/>
  <c r="J40" i="38655"/>
  <c r="B27" i="41"/>
  <c r="B14" i="20"/>
  <c r="G14" i="38656"/>
  <c r="G28"/>
  <c r="J42" i="38655"/>
  <c r="B38" i="39"/>
  <c r="G19" i="10"/>
  <c r="G31" i="26"/>
  <c r="B39" i="41"/>
  <c r="B24"/>
  <c r="B31" i="19"/>
  <c r="B44"/>
  <c r="D33"/>
  <c r="B39" i="20"/>
  <c r="G36" i="10"/>
  <c r="G50"/>
  <c r="B38" i="19"/>
  <c r="G22" i="26"/>
  <c r="D37" i="8"/>
  <c r="B37" i="18"/>
  <c r="G42" i="11"/>
  <c r="D32" i="19"/>
  <c r="G38" i="26"/>
  <c r="B51" i="39"/>
  <c r="H51" s="1"/>
  <c r="G26" i="8"/>
  <c r="G44" i="11"/>
  <c r="B50" i="19"/>
  <c r="B32" i="41"/>
  <c r="B32" i="19"/>
  <c r="B42" i="20"/>
  <c r="E46" i="18"/>
  <c r="D46" i="10"/>
  <c r="J35" i="26"/>
  <c r="G39"/>
  <c r="B22" i="41"/>
  <c r="B51" i="19"/>
  <c r="B35"/>
  <c r="B32" i="20"/>
  <c r="D30" i="38655"/>
  <c r="G30" i="19"/>
  <c r="F30"/>
  <c r="D30" i="20"/>
  <c r="H54" i="23"/>
  <c r="H48" i="7"/>
  <c r="G48"/>
  <c r="I48"/>
  <c r="F48"/>
  <c r="D22"/>
  <c r="D50" i="11"/>
  <c r="D21" i="7"/>
  <c r="D45"/>
  <c r="D37"/>
  <c r="D27"/>
  <c r="D44" i="11"/>
  <c r="F45" i="45"/>
  <c r="F36"/>
  <c r="B16" i="19"/>
  <c r="J48" i="20" l="1"/>
  <c r="I32" i="38658"/>
  <c r="I37" i="45"/>
  <c r="G37" i="44" s="1"/>
  <c r="E37" i="42" s="1"/>
  <c r="I35" i="45"/>
  <c r="G35" s="1"/>
  <c r="I40"/>
  <c r="G40" s="1"/>
  <c r="I23"/>
  <c r="I23" i="44" s="1"/>
  <c r="F23" i="42" s="1"/>
  <c r="I19" i="45"/>
  <c r="E19" s="1"/>
  <c r="H19" i="42" s="1"/>
  <c r="G18" i="44"/>
  <c r="E18" i="42" s="1"/>
  <c r="G18" i="45"/>
  <c r="E38"/>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c r="I27"/>
  <c r="I27" i="43" s="1"/>
  <c r="B27" i="42" s="1"/>
  <c r="I14" i="45"/>
  <c r="G14"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D42" i="38658"/>
  <c r="I42" s="1"/>
  <c r="F48" i="45"/>
  <c r="I46"/>
  <c r="J48" i="11"/>
  <c r="D48" i="38656"/>
  <c r="D29" i="38658"/>
  <c r="I29" s="1"/>
  <c r="F32" i="19"/>
  <c r="G43" i="18"/>
  <c r="K43" i="38667"/>
  <c r="F33" i="19"/>
  <c r="G27" i="18"/>
  <c r="K27" i="38667"/>
  <c r="J48" i="9"/>
  <c r="C39" i="44"/>
  <c r="C39" i="42" s="1"/>
  <c r="E39" i="44"/>
  <c r="D39" i="42" s="1"/>
  <c r="I39" i="43"/>
  <c r="B39" i="42" s="1"/>
  <c r="C39" i="45"/>
  <c r="G39" i="42" s="1"/>
  <c r="I39" i="44"/>
  <c r="F39" i="42" s="1"/>
  <c r="I36" i="45"/>
  <c r="G36" s="1"/>
  <c r="D32" i="20"/>
  <c r="D50" i="38656"/>
  <c r="D39" i="20"/>
  <c r="C24" i="41"/>
  <c r="D24"/>
  <c r="C39"/>
  <c r="D39"/>
  <c r="D14" i="20"/>
  <c r="D16" i="39"/>
  <c r="F16"/>
  <c r="H16"/>
  <c r="K40" i="38667"/>
  <c r="G40" i="18"/>
  <c r="C38" i="41"/>
  <c r="D38"/>
  <c r="D24" i="20"/>
  <c r="F44" i="38659"/>
  <c r="I44" i="38658"/>
  <c r="B48" i="39"/>
  <c r="F11"/>
  <c r="H11"/>
  <c r="D11"/>
  <c r="E16" i="5"/>
  <c r="H26" i="39"/>
  <c r="D26"/>
  <c r="F26"/>
  <c r="D45" i="38655"/>
  <c r="G45" i="19"/>
  <c r="F25"/>
  <c r="E14" i="5"/>
  <c r="D32" i="18"/>
  <c r="J32" i="38667"/>
  <c r="K23"/>
  <c r="G23" i="18"/>
  <c r="I33" i="45"/>
  <c r="G33" s="1"/>
  <c r="D31" i="41"/>
  <c r="C31"/>
  <c r="D19" i="18"/>
  <c r="J19" i="38667"/>
  <c r="D16" i="27"/>
  <c r="D16" i="76" s="1"/>
  <c r="B16"/>
  <c r="D23" i="41"/>
  <c r="C23"/>
  <c r="D25" i="38655"/>
  <c r="G25" i="19"/>
  <c r="B48"/>
  <c r="F12"/>
  <c r="H41" i="39"/>
  <c r="D41"/>
  <c r="F41"/>
  <c r="F31" i="19"/>
  <c r="G41" i="18"/>
  <c r="K41" i="38667"/>
  <c r="G19" i="20"/>
  <c r="D16"/>
  <c r="D40" i="41"/>
  <c r="C40"/>
  <c r="J26" i="38667"/>
  <c r="D26" i="18"/>
  <c r="G37"/>
  <c r="K37" i="38667"/>
  <c r="D22" i="20"/>
  <c r="D23" i="39"/>
  <c r="F23"/>
  <c r="H23"/>
  <c r="E34" i="5"/>
  <c r="F35" i="19"/>
  <c r="D34" i="38655"/>
  <c r="G34" i="19"/>
  <c r="D48" i="9"/>
  <c r="I38" i="38658"/>
  <c r="F38" i="38659"/>
  <c r="H45" i="39"/>
  <c r="D45"/>
  <c r="F45"/>
  <c r="F13"/>
  <c r="H13"/>
  <c r="D13"/>
  <c r="E17" i="5"/>
  <c r="D14" i="41"/>
  <c r="C14"/>
  <c r="E42" i="5"/>
  <c r="E31"/>
  <c r="E18"/>
  <c r="D39" i="38655"/>
  <c r="G39" i="19"/>
  <c r="D28" i="38655"/>
  <c r="G28" i="19"/>
  <c r="D20" i="38655"/>
  <c r="G20" i="19"/>
  <c r="G25" i="20"/>
  <c r="E38" i="5"/>
  <c r="D35" i="41"/>
  <c r="C35"/>
  <c r="G22" i="20"/>
  <c r="D15" i="18"/>
  <c r="J15" i="38667"/>
  <c r="J23" i="38655"/>
  <c r="J34" i="11"/>
  <c r="D17" i="41"/>
  <c r="C17"/>
  <c r="G17" i="20"/>
  <c r="D50"/>
  <c r="D17"/>
  <c r="D26" i="41"/>
  <c r="C26"/>
  <c r="F51" i="19"/>
  <c r="G24" i="20"/>
  <c r="E51" i="5"/>
  <c r="D28" i="20"/>
  <c r="D17" i="38655"/>
  <c r="G17" i="19"/>
  <c r="G28" i="20"/>
  <c r="D27" i="18"/>
  <c r="J27" i="38667"/>
  <c r="I51" i="19"/>
  <c r="D12" i="39"/>
  <c r="F12"/>
  <c r="H12"/>
  <c r="D12" i="38655"/>
  <c r="G12" i="19"/>
  <c r="G45" i="18"/>
  <c r="K45" i="38667"/>
  <c r="D24" i="39"/>
  <c r="F24"/>
  <c r="H24"/>
  <c r="D37" i="38655"/>
  <c r="G37" i="19"/>
  <c r="F38"/>
  <c r="D48" i="26"/>
  <c r="E45" i="5"/>
  <c r="D25" i="18"/>
  <c r="J25" i="38667"/>
  <c r="F24" i="19"/>
  <c r="D38" i="20"/>
  <c r="J38" i="11"/>
  <c r="D46" i="39"/>
  <c r="F46"/>
  <c r="H46"/>
  <c r="G15" i="19"/>
  <c r="D15" i="38655"/>
  <c r="D15" i="20"/>
  <c r="C50" i="41"/>
  <c r="D50"/>
  <c r="G23" i="20"/>
  <c r="G44" i="18"/>
  <c r="K44" i="38667"/>
  <c r="K20"/>
  <c r="G20" i="18"/>
  <c r="E24" i="5"/>
  <c r="D26" i="38655"/>
  <c r="G26" i="19"/>
  <c r="D18" i="38655"/>
  <c r="G18" i="19"/>
  <c r="F34"/>
  <c r="G42" i="18"/>
  <c r="K42" i="38667"/>
  <c r="G17" i="18"/>
  <c r="K17" i="38667"/>
  <c r="K13"/>
  <c r="G13" i="18"/>
  <c r="D51"/>
  <c r="I38" i="43"/>
  <c r="B38" i="42" s="1"/>
  <c r="I38" i="44"/>
  <c r="F38" i="42" s="1"/>
  <c r="E38" i="44"/>
  <c r="D38" i="42" s="1"/>
  <c r="C38" i="44"/>
  <c r="C38" i="42" s="1"/>
  <c r="C38" i="45"/>
  <c r="G38" i="42" s="1"/>
  <c r="D48" i="10"/>
  <c r="C43" i="41"/>
  <c r="D43"/>
  <c r="I44" i="43"/>
  <c r="B44" i="42" s="1"/>
  <c r="E44" i="44"/>
  <c r="D44" i="42" s="1"/>
  <c r="I44" i="44"/>
  <c r="F44" i="42" s="1"/>
  <c r="C44" i="44"/>
  <c r="C44" i="42" s="1"/>
  <c r="F32" i="39"/>
  <c r="H32"/>
  <c r="D32"/>
  <c r="D37" i="38658"/>
  <c r="D21"/>
  <c r="E26" i="18"/>
  <c r="D46" i="38658"/>
  <c r="D35"/>
  <c r="D16" i="7"/>
  <c r="G16" i="8"/>
  <c r="I40" i="43"/>
  <c r="B40" i="42" s="1"/>
  <c r="D19" i="38656"/>
  <c r="D27"/>
  <c r="D42" i="20"/>
  <c r="D32" i="41"/>
  <c r="C32"/>
  <c r="D37" i="18"/>
  <c r="J37" i="38667"/>
  <c r="D38" i="38656"/>
  <c r="D40" i="27"/>
  <c r="D40" i="76" s="1"/>
  <c r="B40"/>
  <c r="J26" i="11"/>
  <c r="D18" i="20"/>
  <c r="G41"/>
  <c r="C42" i="41"/>
  <c r="D42"/>
  <c r="F37" i="19"/>
  <c r="E21" i="5"/>
  <c r="G13" i="19"/>
  <c r="D13" i="38655"/>
  <c r="D38"/>
  <c r="G38" i="19"/>
  <c r="I47" i="38658"/>
  <c r="F47" i="38659"/>
  <c r="F17" i="19"/>
  <c r="G31" i="18"/>
  <c r="K31" i="38667"/>
  <c r="I51" i="45"/>
  <c r="G51" s="1"/>
  <c r="I13"/>
  <c r="G13" s="1"/>
  <c r="C11" i="5"/>
  <c r="C48" s="1"/>
  <c r="K48" i="3188"/>
  <c r="F48" i="78"/>
  <c r="B11" i="43"/>
  <c r="E48" i="20"/>
  <c r="G11"/>
  <c r="F45" i="19"/>
  <c r="G33" i="20"/>
  <c r="D37"/>
  <c r="D35" i="38655"/>
  <c r="G35" i="19"/>
  <c r="G35" i="18"/>
  <c r="K35" i="38667"/>
  <c r="J42"/>
  <c r="D42" i="18"/>
  <c r="G19" i="19"/>
  <c r="D19" i="38655"/>
  <c r="D19" i="20"/>
  <c r="D40"/>
  <c r="G40"/>
  <c r="D50" i="18"/>
  <c r="F44" i="19"/>
  <c r="D22" i="18"/>
  <c r="J22" i="38667"/>
  <c r="J11"/>
  <c r="D11" i="18"/>
  <c r="G36" i="19"/>
  <c r="D36" i="38655"/>
  <c r="D19" i="39"/>
  <c r="F19"/>
  <c r="H19"/>
  <c r="F26" i="38659"/>
  <c r="I26" i="38658"/>
  <c r="I18"/>
  <c r="F18" i="38659"/>
  <c r="F27" i="19"/>
  <c r="E27" i="5"/>
  <c r="D40" i="18"/>
  <c r="J40" i="38667"/>
  <c r="D31" i="38656"/>
  <c r="D23" i="27"/>
  <c r="D23" i="76" s="1"/>
  <c r="B23"/>
  <c r="D18" i="38656"/>
  <c r="F17" i="39"/>
  <c r="H17"/>
  <c r="D17"/>
  <c r="G46" i="20"/>
  <c r="G32"/>
  <c r="G16"/>
  <c r="C45" i="41"/>
  <c r="D45"/>
  <c r="E44" i="5"/>
  <c r="F18" i="19"/>
  <c r="D13" i="38658"/>
  <c r="E32" i="5"/>
  <c r="K28" i="38667"/>
  <c r="G28" i="18"/>
  <c r="G44" i="19"/>
  <c r="D44" i="38655"/>
  <c r="I39" i="38658"/>
  <c r="F39" i="38659"/>
  <c r="F45"/>
  <c r="I45" i="38658"/>
  <c r="G12" i="18"/>
  <c r="K12" i="38667"/>
  <c r="G34" i="20"/>
  <c r="D45"/>
  <c r="D34" i="18"/>
  <c r="J34" i="38667"/>
  <c r="J27" i="11"/>
  <c r="J16" i="38655"/>
  <c r="D27" i="27"/>
  <c r="D27" i="76" s="1"/>
  <c r="B27"/>
  <c r="D19" i="41"/>
  <c r="C19"/>
  <c r="J43" i="38667"/>
  <c r="D43" i="18"/>
  <c r="G36" i="20"/>
  <c r="G44"/>
  <c r="D26"/>
  <c r="F28" i="19"/>
  <c r="D33" i="18"/>
  <c r="J33" i="38667"/>
  <c r="F41" i="19"/>
  <c r="D31" i="39"/>
  <c r="F31"/>
  <c r="H31"/>
  <c r="E46" i="5"/>
  <c r="E15"/>
  <c r="E35"/>
  <c r="E12"/>
  <c r="J25" i="11"/>
  <c r="D43" i="20"/>
  <c r="G19" i="18"/>
  <c r="K19" i="38667"/>
  <c r="J13"/>
  <c r="D13" i="18"/>
  <c r="K14" i="38667"/>
  <c r="G14" i="18"/>
  <c r="C14" i="44"/>
  <c r="C14" i="42" s="1"/>
  <c r="D44" i="18"/>
  <c r="J44" i="38667"/>
  <c r="F43" i="19"/>
  <c r="K15" i="38667"/>
  <c r="G15" i="18"/>
  <c r="D27" i="38658"/>
  <c r="D36"/>
  <c r="D19"/>
  <c r="D16" i="19"/>
  <c r="D28" i="38658"/>
  <c r="D23" i="19"/>
  <c r="B18" i="18"/>
  <c r="B45"/>
  <c r="D45" i="8"/>
  <c r="C22" i="41"/>
  <c r="D22"/>
  <c r="D32" i="27"/>
  <c r="D32" i="76" s="1"/>
  <c r="B32"/>
  <c r="D38" i="39"/>
  <c r="F38"/>
  <c r="H38"/>
  <c r="C27" i="41"/>
  <c r="D27"/>
  <c r="D21" i="38655"/>
  <c r="G21" i="19"/>
  <c r="G34" i="18"/>
  <c r="K34" i="38667"/>
  <c r="F42" i="19"/>
  <c r="D44" i="20"/>
  <c r="D46" i="18"/>
  <c r="J46" i="38667"/>
  <c r="D44" i="38656"/>
  <c r="J18" i="38655"/>
  <c r="C46" i="41"/>
  <c r="D46"/>
  <c r="H18" i="39"/>
  <c r="D18"/>
  <c r="F18"/>
  <c r="E19" i="5"/>
  <c r="D24" i="18"/>
  <c r="J24" i="38667"/>
  <c r="D12" i="18"/>
  <c r="J12" i="38667"/>
  <c r="G24" i="18"/>
  <c r="K24" i="38667"/>
  <c r="D40" i="38655"/>
  <c r="G40" i="19"/>
  <c r="F15" i="38659"/>
  <c r="I15" i="38658"/>
  <c r="I40"/>
  <c r="F40" i="38659"/>
  <c r="E33" i="5"/>
  <c r="D28" i="39"/>
  <c r="F28"/>
  <c r="H28"/>
  <c r="F25"/>
  <c r="H25"/>
  <c r="D25"/>
  <c r="G48" i="38655"/>
  <c r="F36" i="19"/>
  <c r="E37" i="5"/>
  <c r="E43"/>
  <c r="I26" i="45"/>
  <c r="G26" s="1"/>
  <c r="I20"/>
  <c r="D42" i="38656"/>
  <c r="D45" i="27"/>
  <c r="D45" i="76" s="1"/>
  <c r="B45"/>
  <c r="G42" i="20"/>
  <c r="G15"/>
  <c r="D14" i="18"/>
  <c r="J14" i="38667"/>
  <c r="D20" i="20"/>
  <c r="D35" i="18"/>
  <c r="J35" i="38667"/>
  <c r="J48" i="26"/>
  <c r="I34" i="38658"/>
  <c r="F34" i="38659"/>
  <c r="D39" i="39"/>
  <c r="F39"/>
  <c r="H39"/>
  <c r="I25" i="38658"/>
  <c r="F25" i="38659"/>
  <c r="D41" i="38655"/>
  <c r="G41" i="19"/>
  <c r="E36" i="5"/>
  <c r="E26"/>
  <c r="D24" i="38655"/>
  <c r="G24" i="19"/>
  <c r="D16" i="38655"/>
  <c r="G16" i="19"/>
  <c r="F21"/>
  <c r="G50" i="20"/>
  <c r="D17" i="38656"/>
  <c r="G31" i="20"/>
  <c r="D31"/>
  <c r="G18"/>
  <c r="E13" i="5"/>
  <c r="D15" i="39"/>
  <c r="F15"/>
  <c r="H15"/>
  <c r="J11" i="38655"/>
  <c r="G48" i="38656"/>
  <c r="G48" i="11"/>
  <c r="D12" i="20"/>
  <c r="G11" i="19"/>
  <c r="D11" i="38655"/>
  <c r="D27"/>
  <c r="G27" i="19"/>
  <c r="F48" i="41"/>
  <c r="G48" s="1"/>
  <c r="G11"/>
  <c r="F40" i="39"/>
  <c r="H40"/>
  <c r="D40"/>
  <c r="C11" i="41"/>
  <c r="D11"/>
  <c r="B48"/>
  <c r="H22" i="39"/>
  <c r="D22"/>
  <c r="F22"/>
  <c r="H14"/>
  <c r="D14"/>
  <c r="F14"/>
  <c r="D46" i="38655"/>
  <c r="G46" i="19"/>
  <c r="F11"/>
  <c r="E40" i="5"/>
  <c r="D43" i="38655"/>
  <c r="G43" i="19"/>
  <c r="G43" i="20"/>
  <c r="I34" i="45"/>
  <c r="G34" s="1"/>
  <c r="J30" i="38667"/>
  <c r="D30" i="18"/>
  <c r="I21" i="45"/>
  <c r="G21" s="1"/>
  <c r="E25" i="5"/>
  <c r="C18" i="41"/>
  <c r="D18"/>
  <c r="G21" i="20"/>
  <c r="D25"/>
  <c r="G36" i="18"/>
  <c r="K36" i="38667"/>
  <c r="D23" i="20"/>
  <c r="D27"/>
  <c r="D13" i="41"/>
  <c r="C13"/>
  <c r="C41"/>
  <c r="D41"/>
  <c r="F39" i="19"/>
  <c r="E23" i="5"/>
  <c r="D42" i="39"/>
  <c r="F42"/>
  <c r="H42"/>
  <c r="E28" i="5"/>
  <c r="H37" i="39"/>
  <c r="D37"/>
  <c r="F37"/>
  <c r="G22" i="19"/>
  <c r="D22" i="38655"/>
  <c r="D14"/>
  <c r="G14" i="19"/>
  <c r="F15"/>
  <c r="K18" i="38667"/>
  <c r="G18" i="18"/>
  <c r="D41"/>
  <c r="J41" i="38667"/>
  <c r="D20" i="18"/>
  <c r="J20" i="38667"/>
  <c r="D52" i="38658"/>
  <c r="G39" i="45"/>
  <c r="B16" i="18"/>
  <c r="B17"/>
  <c r="D40" i="19"/>
  <c r="E38" i="18"/>
  <c r="D33" i="38658"/>
  <c r="L30" i="38667"/>
  <c r="I30" i="19"/>
  <c r="J34" i="38655"/>
  <c r="G46" i="18"/>
  <c r="K46" i="38667"/>
  <c r="D22" i="38656"/>
  <c r="J15" i="38655"/>
  <c r="D33" i="27"/>
  <c r="D33" i="76" s="1"/>
  <c r="B33"/>
  <c r="D46" i="27"/>
  <c r="D46" i="76" s="1"/>
  <c r="B46"/>
  <c r="F23" i="38659"/>
  <c r="I23" i="38658"/>
  <c r="K25" i="38667"/>
  <c r="G25" i="18"/>
  <c r="G37" i="20"/>
  <c r="D36"/>
  <c r="G26"/>
  <c r="G20"/>
  <c r="F14" i="19"/>
  <c r="F22"/>
  <c r="G33" i="18"/>
  <c r="K33" i="38667"/>
  <c r="H48" i="18"/>
  <c r="E11" i="5"/>
  <c r="F50" i="19"/>
  <c r="G42"/>
  <c r="D42" i="38655"/>
  <c r="D34" i="39"/>
  <c r="F34"/>
  <c r="H34"/>
  <c r="D50" i="38655"/>
  <c r="G50" i="19"/>
  <c r="D36" i="18"/>
  <c r="J36" i="38667"/>
  <c r="I15" i="45"/>
  <c r="G15" s="1"/>
  <c r="I31"/>
  <c r="G31" s="1"/>
  <c r="I12"/>
  <c r="G12" s="1"/>
  <c r="J21" i="38655"/>
  <c r="D51" i="20"/>
  <c r="G14"/>
  <c r="D28" i="18"/>
  <c r="J28" i="38667"/>
  <c r="D36" i="27"/>
  <c r="D36" i="76" s="1"/>
  <c r="B36"/>
  <c r="K22" i="38667"/>
  <c r="G22" i="18"/>
  <c r="D37" i="27"/>
  <c r="D37" i="76" s="1"/>
  <c r="B37"/>
  <c r="D20" i="41"/>
  <c r="C20"/>
  <c r="D35" i="20"/>
  <c r="F26" i="19"/>
  <c r="G51" i="18"/>
  <c r="G39" i="20"/>
  <c r="F21" i="39"/>
  <c r="H21"/>
  <c r="D21"/>
  <c r="F44"/>
  <c r="H44"/>
  <c r="D44"/>
  <c r="F20" i="19"/>
  <c r="G32" i="18"/>
  <c r="K32" i="38667"/>
  <c r="B48" i="40"/>
  <c r="D48" s="1"/>
  <c r="D11"/>
  <c r="D32" i="38655"/>
  <c r="G32" i="19"/>
  <c r="G23"/>
  <c r="D23" i="38655"/>
  <c r="D20" i="39"/>
  <c r="F20"/>
  <c r="H20"/>
  <c r="I41" i="38658"/>
  <c r="F41" i="38659"/>
  <c r="I30" i="38658"/>
  <c r="F30" i="38659"/>
  <c r="I22" i="38658"/>
  <c r="F22" i="38659"/>
  <c r="E39" i="5"/>
  <c r="D38" i="18"/>
  <c r="J38" i="38667"/>
  <c r="K21"/>
  <c r="G21" i="18"/>
  <c r="J32" i="38655"/>
  <c r="J36"/>
  <c r="D13" i="38656"/>
  <c r="B20" i="76"/>
  <c r="D20" i="27"/>
  <c r="D20" i="76" s="1"/>
  <c r="D37" i="38656"/>
  <c r="J43" i="11"/>
  <c r="G50" i="18"/>
  <c r="J21" i="38667"/>
  <c r="D21" i="18"/>
  <c r="G51" i="20"/>
  <c r="C12" i="41"/>
  <c r="D12"/>
  <c r="D21" i="20"/>
  <c r="F36" i="39"/>
  <c r="H36"/>
  <c r="D36"/>
  <c r="G48" i="26"/>
  <c r="H33" i="39"/>
  <c r="D33"/>
  <c r="F33"/>
  <c r="D11" i="20"/>
  <c r="B48"/>
  <c r="E22" i="5"/>
  <c r="F13" i="19"/>
  <c r="G39" i="18"/>
  <c r="K39" i="38667"/>
  <c r="D23" i="18"/>
  <c r="J23" i="38667"/>
  <c r="I28" i="45"/>
  <c r="C36" i="41"/>
  <c r="D36"/>
  <c r="D35" i="38656"/>
  <c r="D46"/>
  <c r="F19" i="19"/>
  <c r="D33" i="20"/>
  <c r="D34"/>
  <c r="D13"/>
  <c r="D31" i="18"/>
  <c r="J31" i="38667"/>
  <c r="D39" i="18"/>
  <c r="J39" i="38667"/>
  <c r="D41" i="20"/>
  <c r="G12"/>
  <c r="G45"/>
  <c r="G38"/>
  <c r="E50" i="5"/>
  <c r="D35" i="39"/>
  <c r="F35"/>
  <c r="H35"/>
  <c r="D33" i="38655"/>
  <c r="G33" i="19"/>
  <c r="G13" i="20"/>
  <c r="D31" i="38655"/>
  <c r="G31" i="19"/>
  <c r="E41" i="5"/>
  <c r="E20"/>
  <c r="G16" i="18"/>
  <c r="K16" i="38667"/>
  <c r="D43" i="39"/>
  <c r="F43"/>
  <c r="H43"/>
  <c r="E24" i="44"/>
  <c r="D24" i="42" s="1"/>
  <c r="C24" i="44"/>
  <c r="C24" i="42" s="1"/>
  <c r="I24" i="43"/>
  <c r="B24" i="42" s="1"/>
  <c r="I24" i="44"/>
  <c r="F24" i="42" s="1"/>
  <c r="C24" i="45"/>
  <c r="G24" i="42" s="1"/>
  <c r="G11" i="18"/>
  <c r="K11" i="38667"/>
  <c r="C35" i="44"/>
  <c r="C35" i="42" s="1"/>
  <c r="C35" i="45"/>
  <c r="G35" i="42" s="1"/>
  <c r="G48" i="10"/>
  <c r="D48" i="11"/>
  <c r="E39" i="45"/>
  <c r="H39" i="42" s="1"/>
  <c r="D43" i="38658"/>
  <c r="G39" i="44"/>
  <c r="E39" i="42" s="1"/>
  <c r="E40" i="45"/>
  <c r="H40" i="42" s="1"/>
  <c r="D46" i="19"/>
  <c r="D14" i="38658"/>
  <c r="D48"/>
  <c r="I22" i="45"/>
  <c r="D17" i="38658"/>
  <c r="D24"/>
  <c r="M30" i="38667" l="1"/>
  <c r="G23" i="44"/>
  <c r="E23" i="42" s="1"/>
  <c r="C14" i="45"/>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c r="H37" i="42" s="1"/>
  <c r="G19" i="44"/>
  <c r="E19" i="42" s="1"/>
  <c r="E48" i="18"/>
  <c r="G48" s="1"/>
  <c r="E37" i="44"/>
  <c r="D37" i="42" s="1"/>
  <c r="F29" i="38659"/>
  <c r="C19" i="44"/>
  <c r="C19" i="42" s="1"/>
  <c r="G19" i="45"/>
  <c r="C37" i="44"/>
  <c r="C37" i="42" s="1"/>
  <c r="C37" i="45"/>
  <c r="G37" i="42" s="1"/>
  <c r="I19" i="43"/>
  <c r="B19" i="42" s="1"/>
  <c r="J18"/>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c r="J25"/>
  <c r="J50"/>
  <c r="J41"/>
  <c r="J16"/>
  <c r="G46" i="44"/>
  <c r="E46" i="42" s="1"/>
  <c r="C46" i="44"/>
  <c r="C46" i="42" s="1"/>
  <c r="E46" i="45"/>
  <c r="H46" i="42" s="1"/>
  <c r="I46" i="44"/>
  <c r="F46" i="42" s="1"/>
  <c r="G46" i="45"/>
  <c r="E46" i="44"/>
  <c r="D46" i="42" s="1"/>
  <c r="C46" i="45"/>
  <c r="G46" i="42" s="1"/>
  <c r="F42" i="38659"/>
  <c r="I46" i="43"/>
  <c r="B46" i="42" s="1"/>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I32" i="19"/>
  <c r="L32" i="38667"/>
  <c r="M32" s="1"/>
  <c r="I42" i="19"/>
  <c r="L42" i="38667"/>
  <c r="M42" s="1"/>
  <c r="G38" i="18"/>
  <c r="K38" i="38667"/>
  <c r="D48" i="8"/>
  <c r="L43" i="38667"/>
  <c r="M43" s="1"/>
  <c r="I43" i="19"/>
  <c r="I46"/>
  <c r="L46" i="38667"/>
  <c r="M46" s="1"/>
  <c r="C48" i="41"/>
  <c r="D48"/>
  <c r="L41" i="38667"/>
  <c r="M41" s="1"/>
  <c r="I41" i="19"/>
  <c r="I20" i="43"/>
  <c r="B20" i="42" s="1"/>
  <c r="C20" i="44"/>
  <c r="C20" i="42" s="1"/>
  <c r="E20" i="44"/>
  <c r="D20" i="42" s="1"/>
  <c r="I20" i="44"/>
  <c r="F20" i="42" s="1"/>
  <c r="C20" i="45"/>
  <c r="G20" i="42" s="1"/>
  <c r="G20" i="44"/>
  <c r="E20" i="42" s="1"/>
  <c r="E20" i="45"/>
  <c r="H20" i="42" s="1"/>
  <c r="F16" i="19"/>
  <c r="F27" i="38659"/>
  <c r="I27" i="38658"/>
  <c r="G48" i="9"/>
  <c r="I13" i="38658"/>
  <c r="D50"/>
  <c r="I50" s="1"/>
  <c r="F13" i="38659"/>
  <c r="F11" i="43"/>
  <c r="B48"/>
  <c r="I38" i="19"/>
  <c r="L38" i="38667"/>
  <c r="M38" s="1"/>
  <c r="I13" i="19"/>
  <c r="L13" i="38667"/>
  <c r="M13" s="1"/>
  <c r="F46" i="38659"/>
  <c r="I46" i="38658"/>
  <c r="L12" i="38667"/>
  <c r="M12" s="1"/>
  <c r="I12" i="19"/>
  <c r="I28"/>
  <c r="L28" i="38667"/>
  <c r="M28" s="1"/>
  <c r="H52" i="22"/>
  <c r="J24" i="42"/>
  <c r="E48" i="5"/>
  <c r="G22" i="45"/>
  <c r="I14" i="38658"/>
  <c r="F14" i="38659"/>
  <c r="G48" i="8"/>
  <c r="I33" i="19"/>
  <c r="L33" i="38667"/>
  <c r="M33"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F33" i="38659"/>
  <c r="I33" i="38658"/>
  <c r="I14" i="19"/>
  <c r="L14" i="38667"/>
  <c r="M14" s="1"/>
  <c r="L22"/>
  <c r="M22" s="1"/>
  <c r="I22" i="19"/>
  <c r="J45" i="38667"/>
  <c r="D45" i="18"/>
  <c r="D18"/>
  <c r="J18" i="38667"/>
  <c r="I28" i="38658"/>
  <c r="F28" i="38659"/>
  <c r="F19"/>
  <c r="I19" i="38658"/>
  <c r="L44" i="38667"/>
  <c r="M44" s="1"/>
  <c r="I44" i="19"/>
  <c r="L36" i="38667"/>
  <c r="M36" s="1"/>
  <c r="I36" i="19"/>
  <c r="F54" i="23"/>
  <c r="G48" i="20"/>
  <c r="G26" i="18"/>
  <c r="K26" i="38667"/>
  <c r="L15"/>
  <c r="M15" s="1"/>
  <c r="I15" i="19"/>
  <c r="I37"/>
  <c r="L37" i="38667"/>
  <c r="M37" s="1"/>
  <c r="L39"/>
  <c r="M39" s="1"/>
  <c r="I39" i="19"/>
  <c r="I45"/>
  <c r="L45" i="38667"/>
  <c r="J38" i="42"/>
  <c r="F24" i="38659"/>
  <c r="I24" i="38658"/>
  <c r="I17"/>
  <c r="F17" i="38659"/>
  <c r="F46" i="19"/>
  <c r="I43" i="38658"/>
  <c r="F43" i="38659"/>
  <c r="I31" i="19"/>
  <c r="L31" i="38667"/>
  <c r="M31" s="1"/>
  <c r="L23"/>
  <c r="M23" s="1"/>
  <c r="I23" i="19"/>
  <c r="I52" i="38658"/>
  <c r="I34" i="44"/>
  <c r="F34" i="42" s="1"/>
  <c r="C34" i="44"/>
  <c r="C34" i="42" s="1"/>
  <c r="E34" i="44"/>
  <c r="D34" i="42" s="1"/>
  <c r="I34" i="43"/>
  <c r="B34" i="42" s="1"/>
  <c r="C34" i="45"/>
  <c r="G34" i="42" s="1"/>
  <c r="G34" i="44"/>
  <c r="E34" i="42" s="1"/>
  <c r="E34" i="45"/>
  <c r="H34" i="42" s="1"/>
  <c r="D48" i="38655"/>
  <c r="J48"/>
  <c r="L16" i="38667"/>
  <c r="I16" i="19"/>
  <c r="C26" i="44"/>
  <c r="C26" i="42" s="1"/>
  <c r="E26" i="44"/>
  <c r="D26" i="42" s="1"/>
  <c r="I26" i="44"/>
  <c r="F26" i="42" s="1"/>
  <c r="I26" i="43"/>
  <c r="B26" i="42" s="1"/>
  <c r="C26" i="45"/>
  <c r="G26" i="42" s="1"/>
  <c r="E26" i="45"/>
  <c r="H26" i="42" s="1"/>
  <c r="G26" i="44"/>
  <c r="E26" i="42" s="1"/>
  <c r="L21" i="38667"/>
  <c r="M21" s="1"/>
  <c r="I21" i="19"/>
  <c r="F23"/>
  <c r="E51" i="45"/>
  <c r="H51" i="42" s="1"/>
  <c r="C51" i="44"/>
  <c r="C51" i="42" s="1"/>
  <c r="C51" i="45"/>
  <c r="G51" i="42" s="1"/>
  <c r="I51" i="44"/>
  <c r="F51" i="42" s="1"/>
  <c r="I51" i="43"/>
  <c r="B51" i="42" s="1"/>
  <c r="E51" i="44"/>
  <c r="D51" i="42" s="1"/>
  <c r="G51" i="44"/>
  <c r="E51" i="42" s="1"/>
  <c r="D48" i="27"/>
  <c r="D48" i="76" s="1"/>
  <c r="F37" i="38659"/>
  <c r="I37" i="38658"/>
  <c r="L18" i="38667"/>
  <c r="I18" i="19"/>
  <c r="I34"/>
  <c r="L34" i="38667"/>
  <c r="M34" s="1"/>
  <c r="I25" i="19"/>
  <c r="L25" i="38667"/>
  <c r="M25"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c r="J39"/>
  <c r="I48" i="38658"/>
  <c r="F48" i="38659"/>
  <c r="D48" i="7"/>
  <c r="D48" i="20"/>
  <c r="D54" i="23"/>
  <c r="G31" i="44"/>
  <c r="E31" i="42" s="1"/>
  <c r="C31" i="44"/>
  <c r="C31" i="42" s="1"/>
  <c r="E31" i="44"/>
  <c r="D31" i="42" s="1"/>
  <c r="I31" i="43"/>
  <c r="B31" i="42" s="1"/>
  <c r="I31" i="44"/>
  <c r="F31" i="42" s="1"/>
  <c r="C31" i="45"/>
  <c r="G31" i="42" s="1"/>
  <c r="E31" i="45"/>
  <c r="H31" i="42" s="1"/>
  <c r="I50" i="19"/>
  <c r="F54" i="22"/>
  <c r="F52"/>
  <c r="F40" i="19"/>
  <c r="J17" i="38667"/>
  <c r="D17" i="18"/>
  <c r="J16" i="38667"/>
  <c r="D16" i="18"/>
  <c r="I21" i="44"/>
  <c r="F21" i="42" s="1"/>
  <c r="C21" i="45"/>
  <c r="G21" i="42" s="1"/>
  <c r="C21" i="44"/>
  <c r="C21" i="42" s="1"/>
  <c r="E21" i="44"/>
  <c r="D21" i="42" s="1"/>
  <c r="I21" i="43"/>
  <c r="B21" i="42" s="1"/>
  <c r="G21" i="44"/>
  <c r="E21" i="42" s="1"/>
  <c r="E21" i="45"/>
  <c r="H21" i="42" s="1"/>
  <c r="L27" i="38667"/>
  <c r="M27" s="1"/>
  <c r="I27" i="19"/>
  <c r="I11"/>
  <c r="L11" i="38667"/>
  <c r="M11" s="1"/>
  <c r="G48" i="19"/>
  <c r="I24"/>
  <c r="L24" i="38667"/>
  <c r="M24" s="1"/>
  <c r="L40"/>
  <c r="M40" s="1"/>
  <c r="I40" i="19"/>
  <c r="F36" i="38659"/>
  <c r="I36" i="38658"/>
  <c r="L19" i="38667"/>
  <c r="M19" s="1"/>
  <c r="I19" i="19"/>
  <c r="L35" i="38667"/>
  <c r="M35" s="1"/>
  <c r="I35" i="19"/>
  <c r="C13" i="44"/>
  <c r="C13" i="42" s="1"/>
  <c r="E13" i="44"/>
  <c r="D13" i="42" s="1"/>
  <c r="C13" i="45"/>
  <c r="G13" i="42" s="1"/>
  <c r="I13" i="44"/>
  <c r="F13" i="42" s="1"/>
  <c r="G13" i="44"/>
  <c r="E13" i="42" s="1"/>
  <c r="I13" i="43"/>
  <c r="B13" i="42" s="1"/>
  <c r="E13" i="45"/>
  <c r="H13" i="42" s="1"/>
  <c r="I35" i="38658"/>
  <c r="F35" i="38659"/>
  <c r="F21"/>
  <c r="I21" i="38658"/>
  <c r="I26" i="19"/>
  <c r="L26" i="38667"/>
  <c r="I17" i="19"/>
  <c r="L17" i="38667"/>
  <c r="I20" i="19"/>
  <c r="L20" i="38667"/>
  <c r="M20" s="1"/>
  <c r="B48" i="76"/>
  <c r="G28" i="45"/>
  <c r="D48" i="19"/>
  <c r="G20" i="45"/>
  <c r="B48" i="18"/>
  <c r="I11" i="38658" l="1"/>
  <c r="J40" i="42"/>
  <c r="K48" i="38667"/>
  <c r="D52" i="22"/>
  <c r="J45" i="42"/>
  <c r="J35"/>
  <c r="J23"/>
  <c r="J37"/>
  <c r="J19"/>
  <c r="J32"/>
  <c r="J27"/>
  <c r="J14"/>
  <c r="J17"/>
  <c r="J43"/>
  <c r="M26" i="38667"/>
  <c r="J46" i="42"/>
  <c r="M17" i="38667"/>
  <c r="J31" i="42"/>
  <c r="B37" i="38659"/>
  <c r="E37" s="1"/>
  <c r="K37" s="1"/>
  <c r="D35" i="5"/>
  <c r="E35" i="70"/>
  <c r="D34" i="5"/>
  <c r="B36" i="38659"/>
  <c r="E36" s="1"/>
  <c r="K36" s="1"/>
  <c r="E34" i="70"/>
  <c r="J52" i="22"/>
  <c r="J54"/>
  <c r="F48" i="19"/>
  <c r="I48"/>
  <c r="B54" i="23"/>
  <c r="L48" i="38667"/>
  <c r="H11" i="43"/>
  <c r="F48"/>
  <c r="J21" i="42"/>
  <c r="M16" i="38667"/>
  <c r="J34" i="42"/>
  <c r="J15"/>
  <c r="J20"/>
  <c r="J22"/>
  <c r="D27" i="5"/>
  <c r="B29" i="38659"/>
  <c r="E29" s="1"/>
  <c r="G29" s="1"/>
  <c r="E27" i="70"/>
  <c r="D30" i="5"/>
  <c r="B32" i="38659"/>
  <c r="E32" s="1"/>
  <c r="G32" s="1"/>
  <c r="E30" i="70"/>
  <c r="J48" i="38667"/>
  <c r="B52" i="22"/>
  <c r="D48" i="18"/>
  <c r="B34" i="38659"/>
  <c r="E34" s="1"/>
  <c r="G34" s="1"/>
  <c r="D32" i="5"/>
  <c r="E32" i="70"/>
  <c r="J36" i="42"/>
  <c r="J26"/>
  <c r="J12"/>
  <c r="J28"/>
  <c r="D29" i="5"/>
  <c r="B31" i="38659"/>
  <c r="E31" s="1"/>
  <c r="G31" s="1"/>
  <c r="E29" i="70"/>
  <c r="D26" i="5"/>
  <c r="B28" i="38659"/>
  <c r="E28" s="1"/>
  <c r="K28" s="1"/>
  <c r="E26" i="70"/>
  <c r="F50" i="38659"/>
  <c r="J13" i="42"/>
  <c r="J33"/>
  <c r="M18" i="38667"/>
  <c r="M45"/>
  <c r="G28" i="38659" l="1"/>
  <c r="G36"/>
  <c r="G37"/>
  <c r="D50" i="5"/>
  <c r="E50" i="70"/>
  <c r="F26" i="5"/>
  <c r="C26" i="38"/>
  <c r="E26"/>
  <c r="G26"/>
  <c r="F26" i="11"/>
  <c r="C26" i="38656"/>
  <c r="I26" i="20"/>
  <c r="C26" i="35"/>
  <c r="C26" i="34"/>
  <c r="G26"/>
  <c r="C26" i="37"/>
  <c r="E26" i="82"/>
  <c r="C26" i="27"/>
  <c r="C26" i="76" s="1"/>
  <c r="E26" i="25"/>
  <c r="E26" i="35"/>
  <c r="I26" i="25"/>
  <c r="C26" i="11"/>
  <c r="C26" i="36"/>
  <c r="C26" i="10"/>
  <c r="G26" i="25"/>
  <c r="I26" i="9"/>
  <c r="F26"/>
  <c r="C26"/>
  <c r="F26" i="10"/>
  <c r="E26" i="36"/>
  <c r="C26" i="82"/>
  <c r="C26" i="8"/>
  <c r="C26" i="26"/>
  <c r="F26" i="38655"/>
  <c r="E26" i="34"/>
  <c r="G26" i="36"/>
  <c r="F26" i="38656"/>
  <c r="F26" i="8"/>
  <c r="C26" i="25"/>
  <c r="F26" i="26"/>
  <c r="I26" i="10"/>
  <c r="I26" i="38655"/>
  <c r="I26" i="26"/>
  <c r="E26" i="37"/>
  <c r="C26" i="7"/>
  <c r="I26" i="11"/>
  <c r="C26" i="19"/>
  <c r="E26"/>
  <c r="C26" i="20"/>
  <c r="I26" i="18"/>
  <c r="F26" i="20"/>
  <c r="C26" i="18"/>
  <c r="C26" i="38655"/>
  <c r="H26" i="19"/>
  <c r="F26" i="18"/>
  <c r="K31" i="38659"/>
  <c r="L31"/>
  <c r="D25" i="5"/>
  <c r="B27" i="38659"/>
  <c r="E27" s="1"/>
  <c r="G27" s="1"/>
  <c r="E25" i="70"/>
  <c r="K34" i="38659"/>
  <c r="L34"/>
  <c r="F30" i="5"/>
  <c r="E30" i="38"/>
  <c r="C30"/>
  <c r="G30"/>
  <c r="I30" i="20"/>
  <c r="I30" i="11"/>
  <c r="I30" i="26"/>
  <c r="F30" i="38655"/>
  <c r="G30" i="36"/>
  <c r="C30" i="9"/>
  <c r="C30" i="27"/>
  <c r="C30" i="76" s="1"/>
  <c r="C30" i="7"/>
  <c r="E30" i="36"/>
  <c r="C30" i="82"/>
  <c r="I30" i="38655"/>
  <c r="C30" i="25"/>
  <c r="F30" i="26"/>
  <c r="C30" i="10"/>
  <c r="E30" i="82"/>
  <c r="C30" i="35"/>
  <c r="G30" i="25"/>
  <c r="E30"/>
  <c r="C30" i="11"/>
  <c r="E30" i="37"/>
  <c r="E30" i="34"/>
  <c r="C30" i="8"/>
  <c r="I30" i="10"/>
  <c r="I30" i="25"/>
  <c r="F30" i="10"/>
  <c r="C30" i="37"/>
  <c r="F30" i="11"/>
  <c r="C30" i="38656"/>
  <c r="C30" i="36"/>
  <c r="E30" i="35"/>
  <c r="C30" i="26"/>
  <c r="C30" i="34"/>
  <c r="F30" i="38656"/>
  <c r="G30" i="34"/>
  <c r="F30" i="20"/>
  <c r="I30" i="18"/>
  <c r="F30" i="9"/>
  <c r="F30" i="18"/>
  <c r="C30" i="19"/>
  <c r="I30" i="9"/>
  <c r="E30" i="19"/>
  <c r="F30" i="8"/>
  <c r="C30" i="38655"/>
  <c r="C30" i="20"/>
  <c r="H30" i="19"/>
  <c r="C30" i="18"/>
  <c r="K29" i="38659"/>
  <c r="L29"/>
  <c r="L28"/>
  <c r="M48" i="38667"/>
  <c r="L37" i="38659"/>
  <c r="B43"/>
  <c r="E43" s="1"/>
  <c r="G43" s="1"/>
  <c r="D41" i="5"/>
  <c r="E41" i="70"/>
  <c r="D22" i="5"/>
  <c r="B24" i="38659"/>
  <c r="E24" s="1"/>
  <c r="G24" s="1"/>
  <c r="E22" i="70"/>
  <c r="B22" i="38659"/>
  <c r="E22" s="1"/>
  <c r="G22" s="1"/>
  <c r="D20" i="5"/>
  <c r="E20" i="70"/>
  <c r="D23" i="5"/>
  <c r="B25" i="38659"/>
  <c r="E25" s="1"/>
  <c r="G25" s="1"/>
  <c r="E23" i="70"/>
  <c r="D36" i="5"/>
  <c r="B38" i="38659"/>
  <c r="E38" s="1"/>
  <c r="G38" s="1"/>
  <c r="E36" i="70"/>
  <c r="D17" i="5"/>
  <c r="B19" i="38659"/>
  <c r="E19" s="1"/>
  <c r="G19" s="1"/>
  <c r="E17" i="70"/>
  <c r="F32" i="5"/>
  <c r="C32" i="38"/>
  <c r="E32"/>
  <c r="G32"/>
  <c r="C32" i="38656"/>
  <c r="F32" i="26"/>
  <c r="C32" i="37"/>
  <c r="I32" i="20"/>
  <c r="F32" i="10"/>
  <c r="I32" i="26"/>
  <c r="F32" i="38656"/>
  <c r="G32" i="34"/>
  <c r="F32" i="8"/>
  <c r="F32" i="9"/>
  <c r="C32"/>
  <c r="E32" i="82"/>
  <c r="E32" i="37"/>
  <c r="C32" i="82"/>
  <c r="F32" i="38655"/>
  <c r="E32" i="36"/>
  <c r="E32" i="34"/>
  <c r="C32" i="26"/>
  <c r="G32" i="36"/>
  <c r="C32" i="7"/>
  <c r="I32" i="10"/>
  <c r="C32" i="11"/>
  <c r="C32" i="25"/>
  <c r="I32" i="9"/>
  <c r="C32" i="36"/>
  <c r="C32" i="10"/>
  <c r="C32" i="8"/>
  <c r="C32" i="34"/>
  <c r="F32" i="11"/>
  <c r="E32" i="35"/>
  <c r="E32" i="25"/>
  <c r="C32" i="35"/>
  <c r="I32" i="11"/>
  <c r="G32" i="25"/>
  <c r="I32"/>
  <c r="E32" i="19"/>
  <c r="F32" i="20"/>
  <c r="C32" i="27"/>
  <c r="C32" i="76" s="1"/>
  <c r="I32" i="38655"/>
  <c r="C32" i="18"/>
  <c r="I32"/>
  <c r="C32" i="38655"/>
  <c r="C32" i="19"/>
  <c r="C32" i="20"/>
  <c r="F32" i="18"/>
  <c r="H32" i="19"/>
  <c r="B46" i="38659"/>
  <c r="E46" s="1"/>
  <c r="G46" s="1"/>
  <c r="D44" i="5"/>
  <c r="E44" i="70"/>
  <c r="D43" i="5"/>
  <c r="B45" i="38659"/>
  <c r="E45" s="1"/>
  <c r="G45" s="1"/>
  <c r="E43" i="70"/>
  <c r="D40" i="5"/>
  <c r="B42" i="38659"/>
  <c r="E42" s="1"/>
  <c r="G42" s="1"/>
  <c r="E40" i="70"/>
  <c r="K32" i="38659"/>
  <c r="L32"/>
  <c r="F34" i="5"/>
  <c r="G34" i="38"/>
  <c r="C34"/>
  <c r="E34"/>
  <c r="E34" i="36"/>
  <c r="C34" i="35"/>
  <c r="E34" i="37"/>
  <c r="I34" i="20"/>
  <c r="C34" i="27"/>
  <c r="C34" i="76" s="1"/>
  <c r="G34" i="36"/>
  <c r="C34" i="37"/>
  <c r="I34" i="25"/>
  <c r="C34" i="7"/>
  <c r="F34" i="11"/>
  <c r="F34" i="38656"/>
  <c r="C34" i="36"/>
  <c r="I34" i="26"/>
  <c r="C34" i="38656"/>
  <c r="C34" i="8"/>
  <c r="C34" i="25"/>
  <c r="F34" i="9"/>
  <c r="C34" i="26"/>
  <c r="C34" i="34"/>
  <c r="E34" i="25"/>
  <c r="F34" i="38655"/>
  <c r="F34" i="26"/>
  <c r="G34" i="34"/>
  <c r="E34" i="82"/>
  <c r="F34" i="8"/>
  <c r="C34" i="11"/>
  <c r="I34" i="9"/>
  <c r="C34"/>
  <c r="E34" i="35"/>
  <c r="I34" i="10"/>
  <c r="G34" i="25"/>
  <c r="F34" i="10"/>
  <c r="E34" i="34"/>
  <c r="C34" i="10"/>
  <c r="C34" i="82"/>
  <c r="C34" i="38655"/>
  <c r="C34" i="18"/>
  <c r="I34"/>
  <c r="F34"/>
  <c r="C34" i="19"/>
  <c r="I34" i="11"/>
  <c r="E34" i="19"/>
  <c r="I34" i="38655"/>
  <c r="F34" i="20"/>
  <c r="C34"/>
  <c r="H34" i="19"/>
  <c r="D51" i="5"/>
  <c r="E51" i="70"/>
  <c r="D37" i="5"/>
  <c r="B39" i="38659"/>
  <c r="E39" s="1"/>
  <c r="G39" s="1"/>
  <c r="E37" i="70"/>
  <c r="B26" i="38659"/>
  <c r="E26" s="1"/>
  <c r="G26" s="1"/>
  <c r="D24" i="5"/>
  <c r="E24" i="70"/>
  <c r="L36" i="38659"/>
  <c r="B41"/>
  <c r="E41" s="1"/>
  <c r="G41" s="1"/>
  <c r="D39" i="5"/>
  <c r="E39" i="70"/>
  <c r="H48" i="43"/>
  <c r="I11" i="45"/>
  <c r="I11" i="43" s="1"/>
  <c r="B11" i="42" s="1"/>
  <c r="B13" i="38659"/>
  <c r="D11" i="5"/>
  <c r="E11" i="70"/>
  <c r="D42" i="5"/>
  <c r="B44" i="38659"/>
  <c r="E44" s="1"/>
  <c r="G44" s="1"/>
  <c r="E42" i="70"/>
  <c r="B21" i="38659"/>
  <c r="E21" s="1"/>
  <c r="G21" s="1"/>
  <c r="D19" i="5"/>
  <c r="E19" i="70"/>
  <c r="D18" i="5"/>
  <c r="E18" i="70"/>
  <c r="B23" i="38659"/>
  <c r="E23" s="1"/>
  <c r="G23" s="1"/>
  <c r="D21" i="5"/>
  <c r="E21" i="70"/>
  <c r="B14" i="38659"/>
  <c r="E14" s="1"/>
  <c r="G14" s="1"/>
  <c r="D12" i="5"/>
  <c r="E12" i="70"/>
  <c r="B47" i="38659"/>
  <c r="E47" s="1"/>
  <c r="G47" s="1"/>
  <c r="D45" i="5"/>
  <c r="E45" i="70"/>
  <c r="D33" i="5"/>
  <c r="B35" i="38659"/>
  <c r="E35" s="1"/>
  <c r="G35" s="1"/>
  <c r="E33" i="70"/>
  <c r="B48" i="38659"/>
  <c r="E48" s="1"/>
  <c r="G48" s="1"/>
  <c r="D46" i="5"/>
  <c r="E46" i="70"/>
  <c r="F29" i="5"/>
  <c r="C29" i="38"/>
  <c r="G29"/>
  <c r="E29"/>
  <c r="G29" i="25"/>
  <c r="E29" i="35"/>
  <c r="I29" i="20"/>
  <c r="E29" i="37"/>
  <c r="I29" i="11"/>
  <c r="I29" i="26"/>
  <c r="C29" i="35"/>
  <c r="C29" i="8"/>
  <c r="I29" i="38655"/>
  <c r="C29" i="36"/>
  <c r="C29" i="37"/>
  <c r="C29" i="34"/>
  <c r="F29" i="11"/>
  <c r="C29" i="25"/>
  <c r="C29" i="9"/>
  <c r="F29" i="38656"/>
  <c r="I29" i="10"/>
  <c r="C29"/>
  <c r="F29" i="38655"/>
  <c r="E29" i="82"/>
  <c r="F29" i="8"/>
  <c r="E29" i="36"/>
  <c r="F29" i="26"/>
  <c r="C29" i="38656"/>
  <c r="G29" i="36"/>
  <c r="F29" i="10"/>
  <c r="I29" i="25"/>
  <c r="F29" i="9"/>
  <c r="E29" i="34"/>
  <c r="C29" i="27"/>
  <c r="C29" i="76" s="1"/>
  <c r="C29" i="26"/>
  <c r="C29" i="11"/>
  <c r="E29" i="25"/>
  <c r="C29" i="82"/>
  <c r="G29" i="34"/>
  <c r="I29" i="9"/>
  <c r="C29" i="7"/>
  <c r="C29" i="20"/>
  <c r="C29" i="19"/>
  <c r="E29"/>
  <c r="C29" i="38655"/>
  <c r="I29" i="18"/>
  <c r="F29"/>
  <c r="F29" i="20"/>
  <c r="C29" i="18"/>
  <c r="H29" i="19"/>
  <c r="D15" i="5"/>
  <c r="B17" i="38659"/>
  <c r="E17" s="1"/>
  <c r="G17" s="1"/>
  <c r="E15" i="70"/>
  <c r="D31" i="5"/>
  <c r="B33" i="38659"/>
  <c r="E33" s="1"/>
  <c r="G33" s="1"/>
  <c r="E31" i="70"/>
  <c r="B18" i="38659"/>
  <c r="E18" s="1"/>
  <c r="G18" s="1"/>
  <c r="D16" i="5"/>
  <c r="E16" i="70"/>
  <c r="D13" i="5"/>
  <c r="B15" i="38659"/>
  <c r="E15" s="1"/>
  <c r="G15" s="1"/>
  <c r="E13" i="70"/>
  <c r="D38" i="5"/>
  <c r="B40" i="38659"/>
  <c r="E40" s="1"/>
  <c r="G40" s="1"/>
  <c r="E38" i="70"/>
  <c r="F27" i="5"/>
  <c r="C27" i="38"/>
  <c r="G27"/>
  <c r="E27"/>
  <c r="I27" i="20"/>
  <c r="E27" i="37"/>
  <c r="F27" i="38656"/>
  <c r="F27" i="20"/>
  <c r="E27" i="35"/>
  <c r="C27" i="36"/>
  <c r="E27" i="25"/>
  <c r="G27" i="34"/>
  <c r="F27" i="11"/>
  <c r="F27" i="10"/>
  <c r="E27" i="34"/>
  <c r="F27" i="8"/>
  <c r="I27" i="25"/>
  <c r="E27" i="36"/>
  <c r="I27" i="10"/>
  <c r="C27"/>
  <c r="C27" i="9"/>
  <c r="E27" i="82"/>
  <c r="C27" i="26"/>
  <c r="C27" i="34"/>
  <c r="G27" i="25"/>
  <c r="F27" i="9"/>
  <c r="C27" i="8"/>
  <c r="C27" i="11"/>
  <c r="F27" i="26"/>
  <c r="C27" i="35"/>
  <c r="I27" i="26"/>
  <c r="I27" i="38655"/>
  <c r="I27" i="9"/>
  <c r="C27" i="25"/>
  <c r="F27" i="38655"/>
  <c r="G27" i="36"/>
  <c r="C27" i="7"/>
  <c r="C27" i="82"/>
  <c r="C27" i="37"/>
  <c r="I27" i="18"/>
  <c r="C27" i="27"/>
  <c r="C27" i="76" s="1"/>
  <c r="C27" i="20"/>
  <c r="F27" i="18"/>
  <c r="C27"/>
  <c r="C27" i="38656"/>
  <c r="I27" i="11"/>
  <c r="E27" i="19"/>
  <c r="C27" i="38655"/>
  <c r="C27" i="19"/>
  <c r="H27"/>
  <c r="F35" i="5"/>
  <c r="C35" i="38"/>
  <c r="E35"/>
  <c r="G35"/>
  <c r="I35" i="20"/>
  <c r="G35" i="34"/>
  <c r="E35" i="37"/>
  <c r="F35" i="11"/>
  <c r="E35" i="25"/>
  <c r="C35" i="35"/>
  <c r="G35" i="36"/>
  <c r="G35" i="25"/>
  <c r="C35" i="10"/>
  <c r="C35" i="36"/>
  <c r="I35" i="26"/>
  <c r="I35" i="25"/>
  <c r="C35"/>
  <c r="F35" i="9"/>
  <c r="E35" i="82"/>
  <c r="C35" i="27"/>
  <c r="C35" i="76" s="1"/>
  <c r="C35" i="7"/>
  <c r="I35" i="11"/>
  <c r="C35" i="82"/>
  <c r="I35" i="38655"/>
  <c r="C35" i="9"/>
  <c r="F35" i="20"/>
  <c r="I35" i="9"/>
  <c r="I35" i="10"/>
  <c r="F35" i="38656"/>
  <c r="E35" i="36"/>
  <c r="C35" i="26"/>
  <c r="F35"/>
  <c r="F35" i="38655"/>
  <c r="C35" i="34"/>
  <c r="C35" i="11"/>
  <c r="E35" i="34"/>
  <c r="F35" i="8"/>
  <c r="C35"/>
  <c r="F35" i="10"/>
  <c r="E35" i="35"/>
  <c r="C35" i="37"/>
  <c r="F35" i="18"/>
  <c r="C35" i="19"/>
  <c r="I35" i="18"/>
  <c r="C35"/>
  <c r="C35" i="20"/>
  <c r="E35" i="19"/>
  <c r="C35" i="38655"/>
  <c r="C35" i="38656"/>
  <c r="H35" i="19"/>
  <c r="B30" i="38659"/>
  <c r="E30" s="1"/>
  <c r="G30" s="1"/>
  <c r="D28" i="5"/>
  <c r="E28" i="70"/>
  <c r="D14" i="5"/>
  <c r="E14" i="70"/>
  <c r="F14" i="5" l="1"/>
  <c r="C14" i="38"/>
  <c r="E14"/>
  <c r="G14"/>
  <c r="I14" i="20"/>
  <c r="C14" i="11"/>
  <c r="C14" i="10"/>
  <c r="E14" i="34"/>
  <c r="C14" i="38656"/>
  <c r="I14" i="25"/>
  <c r="C14" i="8"/>
  <c r="I14" i="38655"/>
  <c r="F14" i="11"/>
  <c r="F14" i="38655"/>
  <c r="C14" i="82"/>
  <c r="G14" i="34"/>
  <c r="C14" i="35"/>
  <c r="C14" i="36"/>
  <c r="C14" i="37"/>
  <c r="G14" i="25"/>
  <c r="F14" i="10"/>
  <c r="I14" i="11"/>
  <c r="G14" i="36"/>
  <c r="C14" i="7"/>
  <c r="C14" i="25"/>
  <c r="E14" i="36"/>
  <c r="E14" i="25"/>
  <c r="C14" i="9"/>
  <c r="E14" i="82"/>
  <c r="C14" i="34"/>
  <c r="E14" i="35"/>
  <c r="F14" i="38656"/>
  <c r="I14" i="9"/>
  <c r="F14"/>
  <c r="I14" i="10"/>
  <c r="I14" i="26"/>
  <c r="C14" i="27"/>
  <c r="C14" i="76" s="1"/>
  <c r="E14" i="37"/>
  <c r="C14" i="26"/>
  <c r="F14"/>
  <c r="F14" i="8"/>
  <c r="F14" i="20"/>
  <c r="C14"/>
  <c r="I14" i="18"/>
  <c r="C14" i="38655"/>
  <c r="C14" i="19"/>
  <c r="E14"/>
  <c r="F14" i="18"/>
  <c r="C14"/>
  <c r="H14" i="19"/>
  <c r="D35" i="6"/>
  <c r="E35" s="1"/>
  <c r="C35" i="38648" s="1"/>
  <c r="K40" i="38659"/>
  <c r="L40"/>
  <c r="F13" i="5"/>
  <c r="G13" i="38"/>
  <c r="C13"/>
  <c r="E13"/>
  <c r="I13" i="20"/>
  <c r="C13" i="8"/>
  <c r="C13" i="9"/>
  <c r="I13" i="11"/>
  <c r="E13" i="36"/>
  <c r="E13" i="82"/>
  <c r="I13" i="25"/>
  <c r="I13" i="38655"/>
  <c r="F13"/>
  <c r="F13" i="8"/>
  <c r="G13" i="25"/>
  <c r="C13" i="82"/>
  <c r="C13" i="11"/>
  <c r="C13" i="10"/>
  <c r="I13"/>
  <c r="G13" i="34"/>
  <c r="I13" i="9"/>
  <c r="C13" i="36"/>
  <c r="F13" i="10"/>
  <c r="C13" i="34"/>
  <c r="C13" i="35"/>
  <c r="G13" i="36"/>
  <c r="E13" i="34"/>
  <c r="C13" i="27"/>
  <c r="C13" i="76" s="1"/>
  <c r="F13" i="11"/>
  <c r="C13" i="25"/>
  <c r="C13" i="7"/>
  <c r="E13" i="37"/>
  <c r="I13" i="26"/>
  <c r="F13"/>
  <c r="E13" i="35"/>
  <c r="F13" i="38656"/>
  <c r="C13" i="26"/>
  <c r="C13" i="37"/>
  <c r="E13" i="25"/>
  <c r="F13" i="9"/>
  <c r="C13" i="38656"/>
  <c r="F13" i="18"/>
  <c r="C13" i="38655"/>
  <c r="C13" i="20"/>
  <c r="C13" i="18"/>
  <c r="I13"/>
  <c r="C13" i="19"/>
  <c r="E13"/>
  <c r="F13" i="20"/>
  <c r="H13" i="19"/>
  <c r="K17" i="38659"/>
  <c r="L17"/>
  <c r="K35"/>
  <c r="L35"/>
  <c r="K47"/>
  <c r="L47"/>
  <c r="F18" i="5"/>
  <c r="E18" i="38"/>
  <c r="G18"/>
  <c r="C18"/>
  <c r="I18" i="20"/>
  <c r="C18" i="8"/>
  <c r="C18" i="34"/>
  <c r="G18" i="36"/>
  <c r="E18"/>
  <c r="C18"/>
  <c r="E18" i="37"/>
  <c r="I18" i="26"/>
  <c r="C18" i="82"/>
  <c r="E18" i="34"/>
  <c r="F18" i="26"/>
  <c r="G18" i="34"/>
  <c r="C18" i="37"/>
  <c r="C18" i="11"/>
  <c r="C18" i="25"/>
  <c r="C18" i="35"/>
  <c r="C18" i="26"/>
  <c r="C18" i="9"/>
  <c r="I18" i="25"/>
  <c r="F18" i="11"/>
  <c r="F18" i="8"/>
  <c r="C18" i="27"/>
  <c r="C18" i="76" s="1"/>
  <c r="E18" i="35"/>
  <c r="E18" i="25"/>
  <c r="C18" i="7"/>
  <c r="E18" i="82"/>
  <c r="F18" i="38656"/>
  <c r="F18" i="38655"/>
  <c r="I18" i="9"/>
  <c r="C18" i="10"/>
  <c r="F18"/>
  <c r="G18" i="25"/>
  <c r="I18" i="11"/>
  <c r="I18" i="10"/>
  <c r="I18" i="18"/>
  <c r="C18" i="38655"/>
  <c r="F18" i="9"/>
  <c r="C18" i="20"/>
  <c r="E18" i="19"/>
  <c r="F18" i="20"/>
  <c r="F18" i="18"/>
  <c r="C18" i="19"/>
  <c r="I18" i="38655"/>
  <c r="C18" i="38656"/>
  <c r="C18" i="18"/>
  <c r="H18" i="19"/>
  <c r="E48" i="70"/>
  <c r="I48" i="45"/>
  <c r="C11"/>
  <c r="G11" i="42" s="1"/>
  <c r="C11" i="44"/>
  <c r="C11" i="42" s="1"/>
  <c r="I11" i="44"/>
  <c r="F11" i="42" s="1"/>
  <c r="E11" i="44"/>
  <c r="D11" i="42" s="1"/>
  <c r="G11" i="45"/>
  <c r="E11"/>
  <c r="H11" i="42" s="1"/>
  <c r="G11" i="44"/>
  <c r="E11" i="42" s="1"/>
  <c r="K41" i="38659"/>
  <c r="L41"/>
  <c r="F24" i="5"/>
  <c r="C24" i="38"/>
  <c r="E24"/>
  <c r="G24"/>
  <c r="I24" i="20"/>
  <c r="G24" i="36"/>
  <c r="C24" i="82"/>
  <c r="C24" i="37"/>
  <c r="G24" i="34"/>
  <c r="F24" i="11"/>
  <c r="I24" i="25"/>
  <c r="I24" i="38655"/>
  <c r="C24" i="35"/>
  <c r="C24" i="8"/>
  <c r="C24" i="11"/>
  <c r="C24" i="9"/>
  <c r="C24" i="27"/>
  <c r="C24" i="76" s="1"/>
  <c r="E24" i="25"/>
  <c r="I24" i="11"/>
  <c r="F24" i="8"/>
  <c r="E24" i="82"/>
  <c r="I24" i="26"/>
  <c r="C24" i="36"/>
  <c r="F24" i="26"/>
  <c r="C24"/>
  <c r="F24" i="38655"/>
  <c r="E24" i="34"/>
  <c r="E24" i="37"/>
  <c r="G24" i="25"/>
  <c r="C24" i="34"/>
  <c r="E24" i="35"/>
  <c r="C24" i="38656"/>
  <c r="E24" i="36"/>
  <c r="I24" i="10"/>
  <c r="C24" i="7"/>
  <c r="F24" i="38656"/>
  <c r="I24" i="9"/>
  <c r="F24"/>
  <c r="F24" i="10"/>
  <c r="C24"/>
  <c r="C24" i="25"/>
  <c r="C24" i="18"/>
  <c r="F24" i="20"/>
  <c r="E24" i="19"/>
  <c r="I24" i="18"/>
  <c r="F24"/>
  <c r="C24" i="19"/>
  <c r="C24" i="20"/>
  <c r="C24" i="38655"/>
  <c r="H24" i="19"/>
  <c r="F37" i="5"/>
  <c r="C37" i="38"/>
  <c r="G37"/>
  <c r="E37"/>
  <c r="I37" i="38655"/>
  <c r="G37" i="34"/>
  <c r="E37" i="36"/>
  <c r="E37" i="25"/>
  <c r="I37" i="20"/>
  <c r="F37" i="9"/>
  <c r="F37" i="38655"/>
  <c r="E37" i="34"/>
  <c r="C37" i="36"/>
  <c r="C37" i="9"/>
  <c r="F37" i="10"/>
  <c r="I37" i="25"/>
  <c r="G37" i="36"/>
  <c r="C37" i="82"/>
  <c r="E37"/>
  <c r="C37" i="25"/>
  <c r="C37" i="10"/>
  <c r="E37" i="35"/>
  <c r="G37" i="25"/>
  <c r="C37" i="26"/>
  <c r="C37" i="8"/>
  <c r="C37" i="37"/>
  <c r="C37" i="35"/>
  <c r="F37" i="26"/>
  <c r="C37" i="7"/>
  <c r="I37" i="11"/>
  <c r="C37" i="34"/>
  <c r="C37" i="11"/>
  <c r="I37" i="9"/>
  <c r="F37" i="11"/>
  <c r="F37" i="8"/>
  <c r="I37" i="26"/>
  <c r="I37" i="10"/>
  <c r="F37" i="38656"/>
  <c r="E37" i="37"/>
  <c r="F37" i="18"/>
  <c r="E37" i="19"/>
  <c r="C37" i="27"/>
  <c r="C37" i="76" s="1"/>
  <c r="C37" i="38655"/>
  <c r="I37" i="18"/>
  <c r="C37" i="19"/>
  <c r="C37" i="20"/>
  <c r="F37"/>
  <c r="C37" i="18"/>
  <c r="C37" i="38656"/>
  <c r="H37" i="19"/>
  <c r="D34" i="6"/>
  <c r="E34" s="1"/>
  <c r="C34" i="38648" s="1"/>
  <c r="K42" i="38659"/>
  <c r="L42"/>
  <c r="F43" i="5"/>
  <c r="C43" i="38"/>
  <c r="E43"/>
  <c r="G43"/>
  <c r="I43" i="20"/>
  <c r="I43" i="25"/>
  <c r="C43" i="37"/>
  <c r="C43" i="27"/>
  <c r="C43" i="76" s="1"/>
  <c r="C43" i="8"/>
  <c r="E43" i="37"/>
  <c r="I43" i="38655"/>
  <c r="F43" i="9"/>
  <c r="C43"/>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c r="E43" i="19"/>
  <c r="C43"/>
  <c r="I43" i="11"/>
  <c r="C43" i="18"/>
  <c r="C43" i="38655"/>
  <c r="F43" i="18"/>
  <c r="I43"/>
  <c r="H43" i="19"/>
  <c r="F17" i="5"/>
  <c r="C17" i="38"/>
  <c r="E17"/>
  <c r="G17"/>
  <c r="I17" i="20"/>
  <c r="G17" i="36"/>
  <c r="C17" i="27"/>
  <c r="C17" i="76" s="1"/>
  <c r="C17" i="37"/>
  <c r="C17" i="9"/>
  <c r="I17" i="10"/>
  <c r="C17" i="34"/>
  <c r="E17" i="25"/>
  <c r="G17" i="34"/>
  <c r="I17" i="26"/>
  <c r="F17" i="38656"/>
  <c r="C17" i="10"/>
  <c r="F17" i="26"/>
  <c r="I17" i="11"/>
  <c r="E17" i="34"/>
  <c r="C17" i="35"/>
  <c r="C17" i="25"/>
  <c r="C17" i="26"/>
  <c r="F17" i="10"/>
  <c r="F17" i="38655"/>
  <c r="G17" i="25"/>
  <c r="E17" i="35"/>
  <c r="E17" i="37"/>
  <c r="E17" i="36"/>
  <c r="E17" i="82"/>
  <c r="F17" i="8"/>
  <c r="C17" i="11"/>
  <c r="I17" i="25"/>
  <c r="I17" i="38655"/>
  <c r="C17" i="82"/>
  <c r="F17" i="11"/>
  <c r="C17" i="8"/>
  <c r="C17" i="36"/>
  <c r="F17" i="9"/>
  <c r="C17" i="7"/>
  <c r="I17" i="18"/>
  <c r="F17"/>
  <c r="C17" i="19"/>
  <c r="I17" i="9"/>
  <c r="F17" i="20"/>
  <c r="C17"/>
  <c r="E17" i="19"/>
  <c r="C17" i="38656"/>
  <c r="C17" i="38655"/>
  <c r="H17" i="19"/>
  <c r="C17" i="18"/>
  <c r="F20" i="5"/>
  <c r="E20" i="38"/>
  <c r="C20"/>
  <c r="G20"/>
  <c r="C20" i="37"/>
  <c r="I20" i="20"/>
  <c r="C20" i="8"/>
  <c r="C20" i="25"/>
  <c r="F20" i="10"/>
  <c r="F20" i="38655"/>
  <c r="G20" i="36"/>
  <c r="F20" i="38656"/>
  <c r="I20" i="11"/>
  <c r="E20" i="35"/>
  <c r="C20"/>
  <c r="F20" i="8"/>
  <c r="C20" i="82"/>
  <c r="C20" i="9"/>
  <c r="C20" i="11"/>
  <c r="C20" i="10"/>
  <c r="G20" i="25"/>
  <c r="C20" i="38656"/>
  <c r="I20" i="25"/>
  <c r="I20" i="9"/>
  <c r="C20" i="34"/>
  <c r="F20" i="9"/>
  <c r="I20" i="26"/>
  <c r="I20" i="38655"/>
  <c r="F20" i="26"/>
  <c r="F20" i="11"/>
  <c r="E20" i="82"/>
  <c r="I20" i="10"/>
  <c r="G20" i="34"/>
  <c r="C20" i="36"/>
  <c r="C20" i="7"/>
  <c r="E20" i="34"/>
  <c r="C20" i="26"/>
  <c r="E20" i="36"/>
  <c r="E20" i="25"/>
  <c r="E20" i="37"/>
  <c r="F20" i="18"/>
  <c r="F20" i="20"/>
  <c r="I20" i="18"/>
  <c r="C20" i="20"/>
  <c r="C20" i="27"/>
  <c r="C20" i="76" s="1"/>
  <c r="C20" i="19"/>
  <c r="C20" i="18"/>
  <c r="E20" i="19"/>
  <c r="C20" i="38655"/>
  <c r="H20" i="19"/>
  <c r="F22" i="5"/>
  <c r="C22" i="38"/>
  <c r="G22"/>
  <c r="E22"/>
  <c r="I22" i="20"/>
  <c r="I22" i="11"/>
  <c r="E22" i="34"/>
  <c r="F22" i="38656"/>
  <c r="F22" i="8"/>
  <c r="C22" i="37"/>
  <c r="C22" i="8"/>
  <c r="F22" i="11"/>
  <c r="G22" i="25"/>
  <c r="F22" i="38655"/>
  <c r="C22" i="34"/>
  <c r="F22" i="26"/>
  <c r="E22" i="36"/>
  <c r="I22" i="10"/>
  <c r="C22" i="25"/>
  <c r="F22" i="10"/>
  <c r="I22" i="9"/>
  <c r="C22" i="35"/>
  <c r="I22" i="26"/>
  <c r="I22" i="25"/>
  <c r="C22" i="11"/>
  <c r="I22" i="38655"/>
  <c r="C22" i="27"/>
  <c r="C22" i="76" s="1"/>
  <c r="E22" i="37"/>
  <c r="E22" i="35"/>
  <c r="C22" i="10"/>
  <c r="E22" i="25"/>
  <c r="C22" i="7"/>
  <c r="C22" i="36"/>
  <c r="C22" i="26"/>
  <c r="C22" i="9"/>
  <c r="E22" i="82"/>
  <c r="G22" i="36"/>
  <c r="F22" i="9"/>
  <c r="G22" i="34"/>
  <c r="C22" i="82"/>
  <c r="C22" i="19"/>
  <c r="C22" i="38655"/>
  <c r="E22" i="19"/>
  <c r="C22" i="38656"/>
  <c r="I22" i="18"/>
  <c r="C22" i="20"/>
  <c r="F22"/>
  <c r="C22" i="18"/>
  <c r="F22"/>
  <c r="H22" i="19"/>
  <c r="K27" i="38659"/>
  <c r="L27"/>
  <c r="F50" i="5"/>
  <c r="D50" i="6" s="1"/>
  <c r="E50" s="1"/>
  <c r="C50" i="38648" s="1"/>
  <c r="G50" i="38"/>
  <c r="C50"/>
  <c r="E50"/>
  <c r="F50" i="26"/>
  <c r="I50" i="20"/>
  <c r="I50" i="11"/>
  <c r="F50" i="8"/>
  <c r="C50" i="34"/>
  <c r="E50" i="25"/>
  <c r="C50" i="11"/>
  <c r="C50" i="9"/>
  <c r="E50" i="37"/>
  <c r="G50" i="25"/>
  <c r="C50" i="8"/>
  <c r="F50" i="11"/>
  <c r="E50" i="34"/>
  <c r="C50" i="37"/>
  <c r="C50" i="35"/>
  <c r="I50" i="9"/>
  <c r="G50" i="36"/>
  <c r="F50" i="9"/>
  <c r="F50" i="38655"/>
  <c r="F50" i="38656"/>
  <c r="I50" i="38655"/>
  <c r="I50" i="25"/>
  <c r="E50" i="36"/>
  <c r="C50" i="10"/>
  <c r="E50" i="35"/>
  <c r="C50" i="27"/>
  <c r="C50" i="76" s="1"/>
  <c r="C50" i="25"/>
  <c r="C50" i="7"/>
  <c r="G50" i="34"/>
  <c r="C50" i="26"/>
  <c r="C50" i="36"/>
  <c r="F50" i="10"/>
  <c r="E50" i="82"/>
  <c r="I50" i="26"/>
  <c r="C50" i="82"/>
  <c r="I50" i="10"/>
  <c r="C50" i="20"/>
  <c r="C50" i="18"/>
  <c r="F50" i="20"/>
  <c r="E50" i="19"/>
  <c r="C50" i="38656"/>
  <c r="C50" i="19"/>
  <c r="C50" i="38655"/>
  <c r="F50" i="18"/>
  <c r="I50"/>
  <c r="H50" i="19"/>
  <c r="K15" i="38659"/>
  <c r="L15"/>
  <c r="K18"/>
  <c r="L18"/>
  <c r="D29" i="6"/>
  <c r="E29" s="1"/>
  <c r="C29" i="38648" s="1"/>
  <c r="F45" i="5"/>
  <c r="C45" i="38"/>
  <c r="G45"/>
  <c r="E45"/>
  <c r="G45" i="36"/>
  <c r="I45" i="20"/>
  <c r="G45" i="34"/>
  <c r="C45" i="36"/>
  <c r="I45" i="25"/>
  <c r="I45" i="10"/>
  <c r="F45" i="38656"/>
  <c r="C45" i="25"/>
  <c r="C45" i="34"/>
  <c r="I45" i="26"/>
  <c r="C45" i="37"/>
  <c r="F45" i="8"/>
  <c r="I45" i="11"/>
  <c r="F45" i="10"/>
  <c r="F45" i="11"/>
  <c r="G45" i="25"/>
  <c r="E45" i="35"/>
  <c r="C45" i="10"/>
  <c r="F45" i="38655"/>
  <c r="E45" i="36"/>
  <c r="C45" i="26"/>
  <c r="F45"/>
  <c r="F45" i="9"/>
  <c r="C45"/>
  <c r="I45" i="38655"/>
  <c r="E45" i="25"/>
  <c r="C45" i="11"/>
  <c r="E45" i="82"/>
  <c r="C45" i="7"/>
  <c r="E45" i="34"/>
  <c r="C45" i="35"/>
  <c r="E45" i="37"/>
  <c r="C45" i="38656"/>
  <c r="I45" i="9"/>
  <c r="C45" i="82"/>
  <c r="C45" i="8"/>
  <c r="C45" i="38655"/>
  <c r="E45" i="19"/>
  <c r="C45" i="27"/>
  <c r="C45" i="76" s="1"/>
  <c r="C45" i="19"/>
  <c r="F45" i="18"/>
  <c r="I45"/>
  <c r="C45" i="20"/>
  <c r="F45"/>
  <c r="H45" i="19"/>
  <c r="C45" i="18"/>
  <c r="K14" i="38659"/>
  <c r="L14"/>
  <c r="K21"/>
  <c r="L21"/>
  <c r="F39" i="5"/>
  <c r="E39" i="38"/>
  <c r="C39"/>
  <c r="G39"/>
  <c r="C39" i="38656"/>
  <c r="I39" i="20"/>
  <c r="F39" i="9"/>
  <c r="G39" i="34"/>
  <c r="C39" i="9"/>
  <c r="E39" i="25"/>
  <c r="C39" i="82"/>
  <c r="I39" i="9"/>
  <c r="C39" i="35"/>
  <c r="E39" i="34"/>
  <c r="F39" i="38656"/>
  <c r="F39" i="38655"/>
  <c r="G39" i="25"/>
  <c r="C39" i="37"/>
  <c r="F39" i="8"/>
  <c r="C39"/>
  <c r="I39" i="26"/>
  <c r="C39" i="10"/>
  <c r="C39" i="27"/>
  <c r="C39" i="76" s="1"/>
  <c r="G39" i="36"/>
  <c r="F39" i="11"/>
  <c r="E39" i="36"/>
  <c r="E39" i="35"/>
  <c r="F39" i="26"/>
  <c r="I39" i="10"/>
  <c r="C39" i="26"/>
  <c r="C39" i="7"/>
  <c r="C39" i="11"/>
  <c r="C39" i="36"/>
  <c r="C39" i="34"/>
  <c r="I39" i="38655"/>
  <c r="F39" i="10"/>
  <c r="C39" i="25"/>
  <c r="E39" i="82"/>
  <c r="E39" i="37"/>
  <c r="I39" i="11"/>
  <c r="I39" i="25"/>
  <c r="F39" i="20"/>
  <c r="I39" i="18"/>
  <c r="F39"/>
  <c r="C39" i="38655"/>
  <c r="E39" i="19"/>
  <c r="C39" i="18"/>
  <c r="C39" i="19"/>
  <c r="C39" i="20"/>
  <c r="H39" i="19"/>
  <c r="K39" i="38659"/>
  <c r="L39"/>
  <c r="K45"/>
  <c r="L45"/>
  <c r="K46"/>
  <c r="L46"/>
  <c r="K19"/>
  <c r="L19"/>
  <c r="F36" i="5"/>
  <c r="E36" i="38"/>
  <c r="G36"/>
  <c r="C36"/>
  <c r="F36" i="26"/>
  <c r="I36" i="20"/>
  <c r="G36" i="34"/>
  <c r="I36" i="11"/>
  <c r="F36" i="38655"/>
  <c r="C36" i="11"/>
  <c r="E36" i="25"/>
  <c r="I36" i="9"/>
  <c r="E36" i="82"/>
  <c r="F36" i="11"/>
  <c r="I36" i="25"/>
  <c r="F36" i="10"/>
  <c r="I36" i="26"/>
  <c r="E36" i="37"/>
  <c r="C36" i="35"/>
  <c r="C36" i="37"/>
  <c r="C36" i="9"/>
  <c r="C36" i="25"/>
  <c r="F36" i="8"/>
  <c r="C36" i="36"/>
  <c r="G36"/>
  <c r="F36" i="38656"/>
  <c r="C36" i="7"/>
  <c r="C36" i="38656"/>
  <c r="F36" i="9"/>
  <c r="I36" i="10"/>
  <c r="C36"/>
  <c r="E36" i="36"/>
  <c r="C36" i="82"/>
  <c r="E36" i="34"/>
  <c r="C36"/>
  <c r="C36" i="8"/>
  <c r="C36" i="26"/>
  <c r="E36" i="35"/>
  <c r="G36" i="25"/>
  <c r="C36" i="38655"/>
  <c r="F36" i="20"/>
  <c r="I36" i="18"/>
  <c r="C36" i="20"/>
  <c r="C36" i="18"/>
  <c r="F36"/>
  <c r="C36" i="27"/>
  <c r="C36" i="76" s="1"/>
  <c r="I36" i="38655"/>
  <c r="E36" i="19"/>
  <c r="C36"/>
  <c r="H36"/>
  <c r="K24" i="38659"/>
  <c r="L24"/>
  <c r="K43"/>
  <c r="L43"/>
  <c r="K30"/>
  <c r="L30"/>
  <c r="D27" i="6"/>
  <c r="E27" s="1"/>
  <c r="C27" i="38648" s="1"/>
  <c r="F31" i="5"/>
  <c r="G31" i="38"/>
  <c r="C31"/>
  <c r="E31"/>
  <c r="I31" i="20"/>
  <c r="G31" i="34"/>
  <c r="C31" i="37"/>
  <c r="E31" i="25"/>
  <c r="C31" i="11"/>
  <c r="I31" i="26"/>
  <c r="I31" i="38655"/>
  <c r="E31" i="35"/>
  <c r="E31" i="37"/>
  <c r="G31" i="36"/>
  <c r="C31" i="27"/>
  <c r="C31" i="76" s="1"/>
  <c r="F31" i="10"/>
  <c r="F31" i="9"/>
  <c r="C31" i="10"/>
  <c r="F31" i="38655"/>
  <c r="I31" i="11"/>
  <c r="F31" i="26"/>
  <c r="I31" i="25"/>
  <c r="C31" i="34"/>
  <c r="E31"/>
  <c r="F31" i="8"/>
  <c r="I31" i="9"/>
  <c r="I31" i="10"/>
  <c r="C31" i="35"/>
  <c r="C31" i="9"/>
  <c r="C31" i="82"/>
  <c r="C31" i="25"/>
  <c r="C31" i="8"/>
  <c r="F31" i="11"/>
  <c r="C31" i="7"/>
  <c r="E31" i="82"/>
  <c r="C31" i="26"/>
  <c r="E31" i="36"/>
  <c r="G31" i="25"/>
  <c r="C31" i="36"/>
  <c r="F31" i="38656"/>
  <c r="C31"/>
  <c r="F31" i="20"/>
  <c r="C31" i="38655"/>
  <c r="C31" i="19"/>
  <c r="I31" i="18"/>
  <c r="C31" i="20"/>
  <c r="C31" i="18"/>
  <c r="E31" i="19"/>
  <c r="F31" i="18"/>
  <c r="H31" i="19"/>
  <c r="K23" i="38659"/>
  <c r="L23"/>
  <c r="F44" i="5"/>
  <c r="C44" i="38"/>
  <c r="E44"/>
  <c r="G44"/>
  <c r="E44" i="36"/>
  <c r="I44" i="20"/>
  <c r="C44" i="7"/>
  <c r="C44" i="27"/>
  <c r="C44" i="76" s="1"/>
  <c r="F44" i="8"/>
  <c r="C44" i="25"/>
  <c r="C44" i="9"/>
  <c r="E44" i="35"/>
  <c r="C44" i="8"/>
  <c r="F44" i="9"/>
  <c r="I44" i="26"/>
  <c r="E44" i="37"/>
  <c r="C44" i="10"/>
  <c r="I44" i="38655"/>
  <c r="C44" i="37"/>
  <c r="F44" i="38655"/>
  <c r="C44" i="36"/>
  <c r="E44" i="82"/>
  <c r="F44" i="10"/>
  <c r="I44" i="9"/>
  <c r="C44" i="11"/>
  <c r="G44" i="25"/>
  <c r="C44" i="26"/>
  <c r="F44"/>
  <c r="E44" i="25"/>
  <c r="C44" i="82"/>
  <c r="I44" i="10"/>
  <c r="G44" i="34"/>
  <c r="C44"/>
  <c r="I44" i="25"/>
  <c r="C44" i="35"/>
  <c r="F44" i="38656"/>
  <c r="G44" i="36"/>
  <c r="I44" i="11"/>
  <c r="E44" i="34"/>
  <c r="F44" i="11"/>
  <c r="C44" i="19"/>
  <c r="C44" i="38655"/>
  <c r="F44" i="20"/>
  <c r="C44" i="38656"/>
  <c r="C44" i="20"/>
  <c r="E44" i="19"/>
  <c r="I44" i="18"/>
  <c r="F44"/>
  <c r="C44"/>
  <c r="H44" i="19"/>
  <c r="K38" i="38659"/>
  <c r="L38"/>
  <c r="F23" i="5"/>
  <c r="C23" i="38"/>
  <c r="G23"/>
  <c r="E23"/>
  <c r="I23" i="20"/>
  <c r="F23" i="8"/>
  <c r="C23" i="34"/>
  <c r="E23" i="82"/>
  <c r="E23" i="35"/>
  <c r="I23" i="10"/>
  <c r="G23" i="25"/>
  <c r="F23" i="26"/>
  <c r="C23" i="82"/>
  <c r="C23" i="36"/>
  <c r="I23" i="26"/>
  <c r="C23"/>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H23" i="19"/>
  <c r="E23"/>
  <c r="F41" i="5"/>
  <c r="C41" i="38"/>
  <c r="G41"/>
  <c r="E41"/>
  <c r="I41" i="10"/>
  <c r="I41" i="20"/>
  <c r="C41" i="26"/>
  <c r="E41" i="36"/>
  <c r="I41" i="38655"/>
  <c r="I41" i="9"/>
  <c r="C41" i="34"/>
  <c r="F41" i="26"/>
  <c r="F41" i="38655"/>
  <c r="C41" i="82"/>
  <c r="C41" i="7"/>
  <c r="I41" i="11"/>
  <c r="C41" i="35"/>
  <c r="C41" i="10"/>
  <c r="G41" i="36"/>
  <c r="F41" i="10"/>
  <c r="C41" i="36"/>
  <c r="E41" i="37"/>
  <c r="C41" i="9"/>
  <c r="C41" i="11"/>
  <c r="F41"/>
  <c r="C41" i="27"/>
  <c r="C41" i="76" s="1"/>
  <c r="F41" i="38656"/>
  <c r="E41" i="34"/>
  <c r="G41"/>
  <c r="I41" i="26"/>
  <c r="I41" i="25"/>
  <c r="C41" i="8"/>
  <c r="E41" i="82"/>
  <c r="E41" i="35"/>
  <c r="C41" i="38656"/>
  <c r="F41" i="9"/>
  <c r="G41" i="25"/>
  <c r="C41"/>
  <c r="F41" i="8"/>
  <c r="C41" i="37"/>
  <c r="E41" i="25"/>
  <c r="F41" i="18"/>
  <c r="C41"/>
  <c r="F41" i="20"/>
  <c r="C41" i="38655"/>
  <c r="I41" i="18"/>
  <c r="C41" i="19"/>
  <c r="E41"/>
  <c r="C41" i="20"/>
  <c r="H41" i="19"/>
  <c r="D30" i="6"/>
  <c r="E30" s="1"/>
  <c r="C30" i="38648" s="1"/>
  <c r="F16" i="5"/>
  <c r="G16" i="38"/>
  <c r="C16"/>
  <c r="E16"/>
  <c r="G16" i="34"/>
  <c r="E16" i="36"/>
  <c r="I16" i="20"/>
  <c r="I16" i="25"/>
  <c r="E16"/>
  <c r="I16" i="11"/>
  <c r="C16" i="38656"/>
  <c r="C16" i="8"/>
  <c r="F16" i="11"/>
  <c r="C16"/>
  <c r="I16" i="26"/>
  <c r="C16"/>
  <c r="C16" i="36"/>
  <c r="E16" i="37"/>
  <c r="I16" i="9"/>
  <c r="F16" i="10"/>
  <c r="F16" i="26"/>
  <c r="G16" i="25"/>
  <c r="C16" i="10"/>
  <c r="C16" i="34"/>
  <c r="G16" i="36"/>
  <c r="F16" i="9"/>
  <c r="F16" i="38655"/>
  <c r="E16" i="35"/>
  <c r="C16" i="9"/>
  <c r="E16" i="82"/>
  <c r="E16" i="34"/>
  <c r="C16" i="25"/>
  <c r="C16" i="82"/>
  <c r="F16" i="38656"/>
  <c r="I16" i="10"/>
  <c r="C16" i="37"/>
  <c r="C16" i="35"/>
  <c r="C16" i="20"/>
  <c r="C16" i="7"/>
  <c r="F16" i="8"/>
  <c r="I16" i="38655"/>
  <c r="C16"/>
  <c r="C16" i="27"/>
  <c r="C16" i="76" s="1"/>
  <c r="F16" i="18"/>
  <c r="F16" i="20"/>
  <c r="I16" i="18"/>
  <c r="C16" i="19"/>
  <c r="C16" i="18"/>
  <c r="H16" i="19"/>
  <c r="E16"/>
  <c r="K48" i="38659"/>
  <c r="L48"/>
  <c r="F12" i="5"/>
  <c r="E12" i="38"/>
  <c r="G12"/>
  <c r="C12"/>
  <c r="C12" i="37"/>
  <c r="I12" i="20"/>
  <c r="I12" i="10"/>
  <c r="C12" i="11"/>
  <c r="F12" i="26"/>
  <c r="F12" i="8"/>
  <c r="C12" i="10"/>
  <c r="I12" i="38655"/>
  <c r="E12" i="35"/>
  <c r="C12" i="36"/>
  <c r="C12" i="25"/>
  <c r="I12" i="9"/>
  <c r="C12" i="8"/>
  <c r="F12" i="9"/>
  <c r="G12" i="34"/>
  <c r="I12" i="11"/>
  <c r="E12" i="82"/>
  <c r="C12" i="38656"/>
  <c r="F12"/>
  <c r="C12" i="26"/>
  <c r="C12" i="35"/>
  <c r="G12" i="25"/>
  <c r="F12" i="10"/>
  <c r="F12" i="11"/>
  <c r="C12" i="34"/>
  <c r="E12"/>
  <c r="C12" i="7"/>
  <c r="F12" i="38655"/>
  <c r="C12" i="82"/>
  <c r="I12" i="25"/>
  <c r="E12" i="37"/>
  <c r="C12" i="27"/>
  <c r="C12" i="76" s="1"/>
  <c r="G12" i="36"/>
  <c r="I12" i="26"/>
  <c r="C12" i="9"/>
  <c r="E12" i="36"/>
  <c r="E12" i="25"/>
  <c r="E12" i="19"/>
  <c r="I12" i="18"/>
  <c r="C12" i="19"/>
  <c r="F12" i="18"/>
  <c r="C12"/>
  <c r="F12" i="20"/>
  <c r="C12" i="38655"/>
  <c r="C12" i="20"/>
  <c r="H12" i="19"/>
  <c r="F19" i="5"/>
  <c r="C19" i="38"/>
  <c r="G19"/>
  <c r="E19"/>
  <c r="F19" i="11"/>
  <c r="G19" i="34"/>
  <c r="I19" i="20"/>
  <c r="C19" i="37"/>
  <c r="C19" i="10"/>
  <c r="I19" i="11"/>
  <c r="F19" i="26"/>
  <c r="C19" i="82"/>
  <c r="C19" i="25"/>
  <c r="C19" i="36"/>
  <c r="E19" i="82"/>
  <c r="C19" i="9"/>
  <c r="I19" i="26"/>
  <c r="E19" i="36"/>
  <c r="C19" i="27"/>
  <c r="C19" i="76" s="1"/>
  <c r="E19" i="34"/>
  <c r="E19" i="35"/>
  <c r="F19" i="38656"/>
  <c r="I19" i="25"/>
  <c r="G19"/>
  <c r="C19" i="26"/>
  <c r="C19" i="35"/>
  <c r="E19" i="37"/>
  <c r="C19" i="8"/>
  <c r="F19" i="9"/>
  <c r="C19" i="34"/>
  <c r="F19" i="10"/>
  <c r="I19"/>
  <c r="F19" i="38655"/>
  <c r="I19" i="9"/>
  <c r="C19" i="7"/>
  <c r="C19" i="11"/>
  <c r="E19" i="25"/>
  <c r="G19" i="36"/>
  <c r="I19" i="38655"/>
  <c r="F19" i="8"/>
  <c r="C19" i="18"/>
  <c r="C19" i="38656"/>
  <c r="C19" i="20"/>
  <c r="C19" i="19"/>
  <c r="F19" i="18"/>
  <c r="F19" i="20"/>
  <c r="C19" i="38655"/>
  <c r="I19" i="18"/>
  <c r="E19" i="19"/>
  <c r="H19"/>
  <c r="F42" i="5"/>
  <c r="C42" i="38"/>
  <c r="E42"/>
  <c r="G42"/>
  <c r="I42" i="20"/>
  <c r="G42" i="34"/>
  <c r="C42" i="35"/>
  <c r="C42" i="7"/>
  <c r="E42" i="34"/>
  <c r="F42" i="8"/>
  <c r="C42" i="11"/>
  <c r="C42" i="37"/>
  <c r="C42" i="36"/>
  <c r="E42" i="37"/>
  <c r="E42" i="25"/>
  <c r="C42" i="26"/>
  <c r="F42" i="9"/>
  <c r="I42" i="10"/>
  <c r="C42"/>
  <c r="F42"/>
  <c r="I42" i="26"/>
  <c r="F42" i="38655"/>
  <c r="C42" i="8"/>
  <c r="F42" i="26"/>
  <c r="E42" i="36"/>
  <c r="E42" i="35"/>
  <c r="C42" i="34"/>
  <c r="G42" i="25"/>
  <c r="I42" i="11"/>
  <c r="F42" i="38656"/>
  <c r="C42" i="9"/>
  <c r="C42" i="25"/>
  <c r="E42" i="82"/>
  <c r="I42" i="25"/>
  <c r="I42" i="38655"/>
  <c r="C42" i="82"/>
  <c r="I42" i="9"/>
  <c r="G42" i="36"/>
  <c r="C42" i="27"/>
  <c r="C42" i="76" s="1"/>
  <c r="F42" i="11"/>
  <c r="I42" i="18"/>
  <c r="C42" i="20"/>
  <c r="F42"/>
  <c r="C42" i="18"/>
  <c r="C42" i="38656"/>
  <c r="C42" i="38655"/>
  <c r="F42" i="18"/>
  <c r="C42" i="19"/>
  <c r="E42"/>
  <c r="H42"/>
  <c r="E13" i="38659"/>
  <c r="G13" s="1"/>
  <c r="B50"/>
  <c r="F51" i="5"/>
  <c r="D51" i="6" s="1"/>
  <c r="E51" s="1"/>
  <c r="C51" i="38648" s="1"/>
  <c r="C51" i="38"/>
  <c r="E51"/>
  <c r="G51"/>
  <c r="F51" i="26"/>
  <c r="I51" i="20"/>
  <c r="G51" i="34"/>
  <c r="C51" i="9"/>
  <c r="C51" i="7"/>
  <c r="I51" i="38655"/>
  <c r="C51" i="38656"/>
  <c r="C51" i="11"/>
  <c r="I51" i="26"/>
  <c r="G51" i="36"/>
  <c r="E51"/>
  <c r="F51" i="9"/>
  <c r="F51" i="38656"/>
  <c r="F51" i="38655"/>
  <c r="C51" i="26"/>
  <c r="C51" i="27"/>
  <c r="C51" i="76" s="1"/>
  <c r="C51" i="37"/>
  <c r="E51" i="34"/>
  <c r="C51" i="8"/>
  <c r="C51" i="25"/>
  <c r="C51" i="38655"/>
  <c r="F51" i="10"/>
  <c r="E51" i="82"/>
  <c r="F51" i="11"/>
  <c r="C51" i="36"/>
  <c r="F51" i="8"/>
  <c r="C51" i="10"/>
  <c r="I51"/>
  <c r="I51" i="25"/>
  <c r="C51" i="35"/>
  <c r="E51" i="25"/>
  <c r="I51" i="9"/>
  <c r="C51" i="34"/>
  <c r="E51" i="37"/>
  <c r="C51" i="82"/>
  <c r="E51" i="35"/>
  <c r="I51" i="11"/>
  <c r="G51" i="25"/>
  <c r="E51" i="19"/>
  <c r="I51" i="18"/>
  <c r="H51" i="19"/>
  <c r="C51"/>
  <c r="C51" i="20"/>
  <c r="F51" i="18"/>
  <c r="F51" i="20"/>
  <c r="C51" i="18"/>
  <c r="F28" i="5"/>
  <c r="E28" i="38"/>
  <c r="G28"/>
  <c r="C28"/>
  <c r="E28" i="36"/>
  <c r="I28" i="20"/>
  <c r="F28" i="9"/>
  <c r="C28" i="34"/>
  <c r="C28" i="36"/>
  <c r="E28" i="82"/>
  <c r="C28" i="26"/>
  <c r="F28" i="11"/>
  <c r="F28" i="38655"/>
  <c r="C28" i="10"/>
  <c r="I28" i="25"/>
  <c r="I28" i="10"/>
  <c r="G28" i="36"/>
  <c r="E28" i="34"/>
  <c r="I28" i="38655"/>
  <c r="F28" i="38656"/>
  <c r="C28"/>
  <c r="C28" i="82"/>
  <c r="I28" i="9"/>
  <c r="F28" i="10"/>
  <c r="C28" i="25"/>
  <c r="C28" i="11"/>
  <c r="C28" i="27"/>
  <c r="C28" i="76" s="1"/>
  <c r="F28" i="26"/>
  <c r="G28" i="25"/>
  <c r="E28" i="37"/>
  <c r="E28" i="35"/>
  <c r="G28" i="34"/>
  <c r="C28" i="35"/>
  <c r="I28" i="26"/>
  <c r="F28" i="8"/>
  <c r="C28" i="37"/>
  <c r="I28" i="11"/>
  <c r="C28" i="8"/>
  <c r="E28" i="25"/>
  <c r="C28" i="9"/>
  <c r="C28" i="7"/>
  <c r="E28" i="19"/>
  <c r="F28" i="20"/>
  <c r="C28" i="19"/>
  <c r="C28" i="18"/>
  <c r="C28" i="38655"/>
  <c r="C28" i="20"/>
  <c r="I28" i="18"/>
  <c r="F28"/>
  <c r="H28" i="19"/>
  <c r="F38" i="5"/>
  <c r="E38" i="38"/>
  <c r="C38"/>
  <c r="G38"/>
  <c r="I38" i="20"/>
  <c r="C38" i="35"/>
  <c r="F38" i="38656"/>
  <c r="I38" i="38655"/>
  <c r="C38" i="9"/>
  <c r="E38" i="25"/>
  <c r="C38"/>
  <c r="C38" i="82"/>
  <c r="G38" i="34"/>
  <c r="C38"/>
  <c r="I38" i="26"/>
  <c r="C38" i="27"/>
  <c r="C38" i="76" s="1"/>
  <c r="E38" i="34"/>
  <c r="I38" i="25"/>
  <c r="F38" i="9"/>
  <c r="F38" i="11"/>
  <c r="G38" i="36"/>
  <c r="F38" i="10"/>
  <c r="C38" i="11"/>
  <c r="F38" i="38655"/>
  <c r="I38" i="9"/>
  <c r="F38" i="8"/>
  <c r="E38" i="35"/>
  <c r="C38" i="26"/>
  <c r="E38" i="82"/>
  <c r="C38" i="7"/>
  <c r="C38" i="36"/>
  <c r="E38"/>
  <c r="C38" i="10"/>
  <c r="E38" i="37"/>
  <c r="G38" i="25"/>
  <c r="C38" i="8"/>
  <c r="I38" i="10"/>
  <c r="F38" i="26"/>
  <c r="C38" i="37"/>
  <c r="C38" i="20"/>
  <c r="C38" i="38656"/>
  <c r="C38" i="18"/>
  <c r="F38" i="20"/>
  <c r="I38" i="11"/>
  <c r="C38" i="38655"/>
  <c r="C38" i="19"/>
  <c r="I38" i="18"/>
  <c r="E38" i="19"/>
  <c r="F38" i="18"/>
  <c r="H38" i="19"/>
  <c r="K33" i="38659"/>
  <c r="L33"/>
  <c r="F15" i="5"/>
  <c r="G15" i="38"/>
  <c r="E15"/>
  <c r="C15"/>
  <c r="E15" i="36"/>
  <c r="I15" i="20"/>
  <c r="C15" i="10"/>
  <c r="F15"/>
  <c r="F15" i="11"/>
  <c r="C15" i="9"/>
  <c r="I15" i="11"/>
  <c r="C15" i="26"/>
  <c r="E15" i="34"/>
  <c r="F15" i="8"/>
  <c r="E15" i="37"/>
  <c r="C15"/>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c r="C15" i="20"/>
  <c r="F15" i="18"/>
  <c r="F15" i="20"/>
  <c r="C15" i="19"/>
  <c r="E15"/>
  <c r="I15" i="38655"/>
  <c r="H15" i="19"/>
  <c r="F46" i="5"/>
  <c r="E46" i="38"/>
  <c r="G46"/>
  <c r="C46"/>
  <c r="C46" i="37"/>
  <c r="E46" i="35"/>
  <c r="C46"/>
  <c r="G46" i="36"/>
  <c r="I46" i="20"/>
  <c r="F46" i="38656"/>
  <c r="F46" i="11"/>
  <c r="C46" i="7"/>
  <c r="E46" i="36"/>
  <c r="C46" i="8"/>
  <c r="I46" i="11"/>
  <c r="E46" i="25"/>
  <c r="E46" i="82"/>
  <c r="E46" i="37"/>
  <c r="F46" i="9"/>
  <c r="G46" i="34"/>
  <c r="G46" i="25"/>
  <c r="F46" i="8"/>
  <c r="F46" i="26"/>
  <c r="C46" i="36"/>
  <c r="C46" i="11"/>
  <c r="E46" i="34"/>
  <c r="F46" i="10"/>
  <c r="C46" i="25"/>
  <c r="C46" i="34"/>
  <c r="I46" i="9"/>
  <c r="I46" i="10"/>
  <c r="C46"/>
  <c r="C46" i="20"/>
  <c r="I46" i="26"/>
  <c r="F46" i="38655"/>
  <c r="C46" i="82"/>
  <c r="C46" i="26"/>
  <c r="I46" i="38655"/>
  <c r="C46" i="9"/>
  <c r="I46" i="25"/>
  <c r="C46" i="27"/>
  <c r="C46" i="76" s="1"/>
  <c r="C46" i="38656"/>
  <c r="F46" i="20"/>
  <c r="I46" i="18"/>
  <c r="C46"/>
  <c r="C46" i="38655"/>
  <c r="C46" i="19"/>
  <c r="F46" i="18"/>
  <c r="E46" i="19"/>
  <c r="H46"/>
  <c r="F33" i="5"/>
  <c r="G33" i="38"/>
  <c r="E33"/>
  <c r="C33"/>
  <c r="I33" i="20"/>
  <c r="C33" i="37"/>
  <c r="E33" i="36"/>
  <c r="G33" i="34"/>
  <c r="C33" i="8"/>
  <c r="C33" i="38656"/>
  <c r="F33" i="11"/>
  <c r="C33" i="26"/>
  <c r="F33" i="9"/>
  <c r="E33" i="82"/>
  <c r="I33" i="9"/>
  <c r="I33" i="11"/>
  <c r="C33" i="82"/>
  <c r="F33" i="26"/>
  <c r="F33" i="38656"/>
  <c r="C33" i="11"/>
  <c r="G33" i="25"/>
  <c r="F33" i="10"/>
  <c r="E33" i="37"/>
  <c r="C33" i="25"/>
  <c r="C33" i="9"/>
  <c r="F33" i="38655"/>
  <c r="C33" i="36"/>
  <c r="I33" i="38655"/>
  <c r="C33" i="35"/>
  <c r="C33" i="34"/>
  <c r="F33" i="8"/>
  <c r="I33" i="25"/>
  <c r="G33" i="36"/>
  <c r="E33" i="25"/>
  <c r="C33" i="10"/>
  <c r="I33"/>
  <c r="C33" i="7"/>
  <c r="I33" i="26"/>
  <c r="E33" i="35"/>
  <c r="E33" i="34"/>
  <c r="F33" i="20"/>
  <c r="C33" i="27"/>
  <c r="C33" i="76" s="1"/>
  <c r="E33" i="19"/>
  <c r="C33"/>
  <c r="C33" i="18"/>
  <c r="I33"/>
  <c r="F33"/>
  <c r="C33" i="20"/>
  <c r="C33" i="38655"/>
  <c r="H33" i="19"/>
  <c r="F21" i="5"/>
  <c r="E21" i="38"/>
  <c r="C21"/>
  <c r="G21"/>
  <c r="I21" i="20"/>
  <c r="E21" i="36"/>
  <c r="E21" i="37"/>
  <c r="C21" i="27"/>
  <c r="C21" i="76" s="1"/>
  <c r="I21" i="25"/>
  <c r="C21" i="26"/>
  <c r="G21" i="34"/>
  <c r="C21" i="11"/>
  <c r="F21" i="38655"/>
  <c r="C21" i="38656"/>
  <c r="F21"/>
  <c r="C21" i="35"/>
  <c r="C21" i="9"/>
  <c r="F21" i="26"/>
  <c r="E21" i="82"/>
  <c r="F21" i="10"/>
  <c r="I21"/>
  <c r="F21" i="8"/>
  <c r="I21" i="11"/>
  <c r="C21" i="34"/>
  <c r="C21" i="8"/>
  <c r="F21" i="11"/>
  <c r="C21" i="25"/>
  <c r="F21" i="9"/>
  <c r="C21" i="10"/>
  <c r="G21" i="36"/>
  <c r="I21" i="26"/>
  <c r="C21" i="36"/>
  <c r="E21" i="25"/>
  <c r="C21" i="37"/>
  <c r="E21" i="35"/>
  <c r="C21" i="7"/>
  <c r="G21" i="25"/>
  <c r="E21" i="34"/>
  <c r="C21" i="82"/>
  <c r="I21" i="9"/>
  <c r="C21" i="38655"/>
  <c r="C21" i="19"/>
  <c r="I21" i="38655"/>
  <c r="C21" i="18"/>
  <c r="I21"/>
  <c r="E21" i="19"/>
  <c r="F21" i="20"/>
  <c r="F21" i="18"/>
  <c r="C21" i="20"/>
  <c r="H21" i="19"/>
  <c r="K44" i="38659"/>
  <c r="L44"/>
  <c r="F11" i="5"/>
  <c r="D48"/>
  <c r="C11" i="38"/>
  <c r="E11"/>
  <c r="G11"/>
  <c r="I11" i="20"/>
  <c r="I11" i="26"/>
  <c r="C11" i="8"/>
  <c r="F11" i="38655"/>
  <c r="C11" i="37"/>
  <c r="G11" i="34"/>
  <c r="C11" i="10"/>
  <c r="G11" i="25"/>
  <c r="C11" i="38656"/>
  <c r="C11" i="9"/>
  <c r="I11" i="25"/>
  <c r="E11" i="37"/>
  <c r="E11" i="34"/>
  <c r="F11" i="9"/>
  <c r="F11" i="10"/>
  <c r="C11" i="25"/>
  <c r="I11" i="11"/>
  <c r="C11" i="26"/>
  <c r="E11" i="35"/>
  <c r="F11" i="26"/>
  <c r="C11" i="36"/>
  <c r="C11" i="27"/>
  <c r="C11" i="76" s="1"/>
  <c r="I11" i="10"/>
  <c r="E11" i="25"/>
  <c r="I11" i="9"/>
  <c r="C11" i="11"/>
  <c r="E11" i="36"/>
  <c r="G11"/>
  <c r="C11" i="7"/>
  <c r="F11" i="11"/>
  <c r="F11" i="38656"/>
  <c r="F11" i="8"/>
  <c r="C11" i="82"/>
  <c r="C11" i="35"/>
  <c r="C11" i="34"/>
  <c r="E11" i="82"/>
  <c r="F11" i="20"/>
  <c r="I11" i="38655"/>
  <c r="F11" i="18"/>
  <c r="C11" i="19"/>
  <c r="C11" i="38655"/>
  <c r="I11" i="18"/>
  <c r="C11"/>
  <c r="E11" i="19"/>
  <c r="C11" i="20"/>
  <c r="H11" i="19"/>
  <c r="K26" i="38659"/>
  <c r="L26"/>
  <c r="F40" i="5"/>
  <c r="C40" i="38"/>
  <c r="G40"/>
  <c r="E40"/>
  <c r="C40" i="7"/>
  <c r="I40" i="20"/>
  <c r="C40" i="26"/>
  <c r="F40" i="8"/>
  <c r="G40" i="25"/>
  <c r="E40" i="82"/>
  <c r="F40" i="38655"/>
  <c r="E40" i="34"/>
  <c r="G40" i="36"/>
  <c r="C40" i="11"/>
  <c r="C40" i="35"/>
  <c r="C40" i="9"/>
  <c r="C40" i="8"/>
  <c r="C40" i="82"/>
  <c r="C40" i="34"/>
  <c r="E40" i="37"/>
  <c r="E40" i="35"/>
  <c r="C40" i="37"/>
  <c r="C40" i="10"/>
  <c r="E40" i="25"/>
  <c r="I40" i="9"/>
  <c r="C40" i="36"/>
  <c r="F40" i="10"/>
  <c r="I40" i="25"/>
  <c r="F40" i="11"/>
  <c r="I40"/>
  <c r="I40" i="26"/>
  <c r="E40" i="36"/>
  <c r="I40" i="10"/>
  <c r="F40" i="26"/>
  <c r="I40" i="38655"/>
  <c r="F40" i="9"/>
  <c r="F40" i="38656"/>
  <c r="G40" i="34"/>
  <c r="C40" i="38656"/>
  <c r="C40" i="25"/>
  <c r="I40" i="18"/>
  <c r="C40" i="19"/>
  <c r="C40" i="27"/>
  <c r="C40" i="76" s="1"/>
  <c r="C40" i="20"/>
  <c r="F40"/>
  <c r="C40" i="18"/>
  <c r="F40"/>
  <c r="C40" i="38655"/>
  <c r="H40" i="19"/>
  <c r="E40"/>
  <c r="D32" i="6"/>
  <c r="E32" s="1"/>
  <c r="C32" i="38648" s="1"/>
  <c r="K25" i="38659"/>
  <c r="L25"/>
  <c r="K22"/>
  <c r="L22"/>
  <c r="F25" i="5"/>
  <c r="C25" i="38"/>
  <c r="E25"/>
  <c r="G25"/>
  <c r="E25" i="36"/>
  <c r="E25" i="37"/>
  <c r="C25" i="8"/>
  <c r="I25" i="20"/>
  <c r="E25" i="35"/>
  <c r="E25" i="82"/>
  <c r="C25" i="25"/>
  <c r="F25" i="38655"/>
  <c r="I25" i="9"/>
  <c r="E25" i="34"/>
  <c r="C25" i="36"/>
  <c r="C25" i="7"/>
  <c r="F25" i="10"/>
  <c r="I25" i="25"/>
  <c r="F25" i="26"/>
  <c r="E25" i="25"/>
  <c r="C25" i="37"/>
  <c r="C25" i="27"/>
  <c r="C25" i="76" s="1"/>
  <c r="I25" i="38655"/>
  <c r="F25" i="11"/>
  <c r="G25" i="25"/>
  <c r="F25" i="8"/>
  <c r="C25" i="34"/>
  <c r="I25" i="10"/>
  <c r="C25" i="9"/>
  <c r="I25" i="26"/>
  <c r="C25"/>
  <c r="C25" i="10"/>
  <c r="C25" i="82"/>
  <c r="G25" i="34"/>
  <c r="C25" i="35"/>
  <c r="F25" i="9"/>
  <c r="C25" i="11"/>
  <c r="G25" i="36"/>
  <c r="F25" i="38656"/>
  <c r="C25"/>
  <c r="C25" i="38655"/>
  <c r="C25" i="18"/>
  <c r="C25" i="20"/>
  <c r="F25" i="18"/>
  <c r="F25" i="20"/>
  <c r="C25" i="19"/>
  <c r="I25" i="11"/>
  <c r="I25" i="18"/>
  <c r="E25" i="19"/>
  <c r="H25"/>
  <c r="D26" i="6"/>
  <c r="E26" s="1"/>
  <c r="C26" i="38648" s="1"/>
  <c r="J11" i="42" l="1"/>
  <c r="D11" i="6"/>
  <c r="F48" i="5"/>
  <c r="D21" i="6"/>
  <c r="E21" s="1"/>
  <c r="C21" i="38648" s="1"/>
  <c r="D46" i="6"/>
  <c r="E46" s="1"/>
  <c r="C46" i="38648" s="1"/>
  <c r="D28" i="6"/>
  <c r="E28" s="1"/>
  <c r="C28" i="38648" s="1"/>
  <c r="E50" i="38659"/>
  <c r="G50" s="1"/>
  <c r="K13"/>
  <c r="L13"/>
  <c r="D19" i="6"/>
  <c r="E19" s="1"/>
  <c r="C19" i="38648" s="1"/>
  <c r="D23" i="6"/>
  <c r="E23" s="1"/>
  <c r="C23" i="38648" s="1"/>
  <c r="D44" i="6"/>
  <c r="E44" s="1"/>
  <c r="C44" i="38648" s="1"/>
  <c r="D31" i="6"/>
  <c r="E31" s="1"/>
  <c r="C31" i="38648" s="1"/>
  <c r="D14" i="6"/>
  <c r="E14" s="1"/>
  <c r="C14" i="38648" s="1"/>
  <c r="J54" i="23"/>
  <c r="M25" i="21"/>
  <c r="G48" i="38"/>
  <c r="C48"/>
  <c r="I48" i="20"/>
  <c r="C48" i="10"/>
  <c r="E48" i="35"/>
  <c r="I48" i="26"/>
  <c r="F48" i="11"/>
  <c r="C48" i="37"/>
  <c r="C48" i="11"/>
  <c r="C48" i="26"/>
  <c r="I48" i="10"/>
  <c r="C48" i="25"/>
  <c r="I48"/>
  <c r="F48" i="38655"/>
  <c r="F48" i="26"/>
  <c r="C48" i="82"/>
  <c r="E48" i="36"/>
  <c r="I48" i="11"/>
  <c r="C48" i="38656"/>
  <c r="C48" i="9"/>
  <c r="E48" i="25"/>
  <c r="E48" i="37"/>
  <c r="E48" i="34"/>
  <c r="G48" i="25"/>
  <c r="F48" i="38656"/>
  <c r="E48" i="82"/>
  <c r="C48" i="34"/>
  <c r="F48" i="10"/>
  <c r="C48" i="35"/>
  <c r="I48" i="9"/>
  <c r="G48" i="34"/>
  <c r="C48" i="36"/>
  <c r="G48"/>
  <c r="C48" i="19"/>
  <c r="I48" i="38655"/>
  <c r="C48" i="27"/>
  <c r="C48" i="76" s="1"/>
  <c r="C48" i="8"/>
  <c r="C48" i="7"/>
  <c r="F48" i="8"/>
  <c r="F48" i="18"/>
  <c r="F48" i="20"/>
  <c r="C48" i="38655"/>
  <c r="C48" i="20"/>
  <c r="I48" i="18"/>
  <c r="F48" i="9"/>
  <c r="E48" i="19"/>
  <c r="C48" i="18"/>
  <c r="H48" i="19"/>
  <c r="D39" i="6"/>
  <c r="E39" s="1"/>
  <c r="C39" i="38648" s="1"/>
  <c r="D20" i="6"/>
  <c r="E20" s="1"/>
  <c r="C20" i="38648" s="1"/>
  <c r="D43" i="6"/>
  <c r="E43" s="1"/>
  <c r="C43" i="38648" s="1"/>
  <c r="D24" i="6"/>
  <c r="E24" s="1"/>
  <c r="C24" i="38648" s="1"/>
  <c r="D15" i="6"/>
  <c r="E15" s="1"/>
  <c r="C15" i="38648" s="1"/>
  <c r="D38" i="6"/>
  <c r="E38" s="1"/>
  <c r="C38" i="38648" s="1"/>
  <c r="D42" i="6"/>
  <c r="E42" s="1"/>
  <c r="C42" i="38648" s="1"/>
  <c r="D12" i="6"/>
  <c r="E12" s="1"/>
  <c r="C12" i="38648" s="1"/>
  <c r="D16" i="6"/>
  <c r="E16" s="1"/>
  <c r="C16" i="38648" s="1"/>
  <c r="D41" i="6"/>
  <c r="E41" s="1"/>
  <c r="C41" i="38648" s="1"/>
  <c r="D18" i="6"/>
  <c r="E18" s="1"/>
  <c r="C18" i="38648" s="1"/>
  <c r="D13" i="6"/>
  <c r="E13" s="1"/>
  <c r="C13" i="38648" s="1"/>
  <c r="D33" i="6"/>
  <c r="E33" s="1"/>
  <c r="C33" i="38648" s="1"/>
  <c r="D25" i="6"/>
  <c r="E25" s="1"/>
  <c r="C25" i="38648" s="1"/>
  <c r="D40" i="6"/>
  <c r="E40" s="1"/>
  <c r="C40" i="38648" s="1"/>
  <c r="D36" i="6"/>
  <c r="E36" s="1"/>
  <c r="C36" i="38648" s="1"/>
  <c r="D45" i="6"/>
  <c r="E45" s="1"/>
  <c r="C45" i="38648" s="1"/>
  <c r="D22" i="6"/>
  <c r="E22" s="1"/>
  <c r="C22" i="38648" s="1"/>
  <c r="D17" i="6"/>
  <c r="E17" s="1"/>
  <c r="C17" i="38648" s="1"/>
  <c r="D37" i="6"/>
  <c r="E37" s="1"/>
  <c r="C37" i="38648" s="1"/>
  <c r="I48" i="43"/>
  <c r="B48" i="42" s="1"/>
  <c r="C48" i="45"/>
  <c r="G48" i="42" s="1"/>
  <c r="L16" s="1"/>
  <c r="I48" i="44"/>
  <c r="F48" i="42" s="1"/>
  <c r="L15" s="1"/>
  <c r="E48" i="44"/>
  <c r="D48" i="42" s="1"/>
  <c r="L13" s="1"/>
  <c r="C48" i="44"/>
  <c r="C48" i="42" s="1"/>
  <c r="L12" s="1"/>
  <c r="G48" i="45"/>
  <c r="G48" i="44"/>
  <c r="E48" i="42" s="1"/>
  <c r="L14" s="1"/>
  <c r="E48" i="45"/>
  <c r="H48" i="42" s="1"/>
  <c r="L17" s="1"/>
  <c r="A62" i="43" l="1"/>
  <c r="A53" i="42"/>
  <c r="L11"/>
  <c r="L19" s="1"/>
  <c r="J48"/>
  <c r="E11" i="6"/>
  <c r="C11" i="38648" s="1"/>
  <c r="D48" i="6"/>
  <c r="E48" s="1"/>
  <c r="C48" i="38648" s="1"/>
  <c r="K50" i="38659"/>
  <c r="E48" i="38"/>
  <c r="G29" i="38663" l="1"/>
  <c r="D29" i="32" l="1"/>
  <c r="E29" i="38648" l="1"/>
  <c r="G29" i="38667" l="1"/>
  <c r="I29"/>
  <c r="E29"/>
  <c r="G30" i="38663" l="1"/>
  <c r="D48" l="1"/>
  <c r="E48"/>
  <c r="D30" i="32"/>
  <c r="F27" i="39"/>
  <c r="E48"/>
  <c r="F48" s="1"/>
  <c r="G13" i="38663"/>
  <c r="F48"/>
  <c r="G17"/>
  <c r="G21"/>
  <c r="G25"/>
  <c r="G31"/>
  <c r="G35"/>
  <c r="G50"/>
  <c r="G12"/>
  <c r="G16"/>
  <c r="G24"/>
  <c r="G42"/>
  <c r="G46"/>
  <c r="C48" i="39"/>
  <c r="D48" s="1"/>
  <c r="D27"/>
  <c r="G19" i="38663"/>
  <c r="G23"/>
  <c r="G27"/>
  <c r="G33"/>
  <c r="G41"/>
  <c r="G45"/>
  <c r="H27" i="39"/>
  <c r="G48"/>
  <c r="H48" s="1"/>
  <c r="G14" i="38663"/>
  <c r="G18"/>
  <c r="G20"/>
  <c r="G22"/>
  <c r="G26"/>
  <c r="G28"/>
  <c r="G32"/>
  <c r="G36"/>
  <c r="G38"/>
  <c r="G40"/>
  <c r="G44"/>
  <c r="G51"/>
  <c r="D42" i="32"/>
  <c r="D51" l="1"/>
  <c r="G37" i="38663"/>
  <c r="G39"/>
  <c r="G29" i="54"/>
  <c r="F29"/>
  <c r="D22" i="32"/>
  <c r="D43"/>
  <c r="D41"/>
  <c r="D21"/>
  <c r="D26"/>
  <c r="G34" i="38663"/>
  <c r="G15"/>
  <c r="B48"/>
  <c r="D45" i="32"/>
  <c r="D34"/>
  <c r="D25"/>
  <c r="D16"/>
  <c r="D13"/>
  <c r="D35"/>
  <c r="D32"/>
  <c r="D15"/>
  <c r="D14"/>
  <c r="D24"/>
  <c r="J29" i="54"/>
  <c r="I29"/>
  <c r="G30"/>
  <c r="F30"/>
  <c r="B48" i="32"/>
  <c r="D46"/>
  <c r="D37"/>
  <c r="D28"/>
  <c r="D17"/>
  <c r="D39"/>
  <c r="D36"/>
  <c r="D33"/>
  <c r="J30" i="54"/>
  <c r="I30"/>
  <c r="E29" i="76"/>
  <c r="D29" i="54"/>
  <c r="C29"/>
  <c r="D30"/>
  <c r="E30" i="76"/>
  <c r="C30" i="54"/>
  <c r="G11" i="38663"/>
  <c r="C48"/>
  <c r="D12" i="32"/>
  <c r="D31"/>
  <c r="D38"/>
  <c r="D20"/>
  <c r="D27"/>
  <c r="D50"/>
  <c r="D44"/>
  <c r="D40"/>
  <c r="D23"/>
  <c r="D19"/>
  <c r="G43" i="38663"/>
  <c r="D18" i="32"/>
  <c r="E16" i="38648"/>
  <c r="E35"/>
  <c r="E28"/>
  <c r="E23"/>
  <c r="E12"/>
  <c r="E41"/>
  <c r="E32"/>
  <c r="E13"/>
  <c r="E19"/>
  <c r="E31"/>
  <c r="E36"/>
  <c r="E14"/>
  <c r="E44"/>
  <c r="E34"/>
  <c r="E17"/>
  <c r="E46"/>
  <c r="E42"/>
  <c r="E38"/>
  <c r="E20"/>
  <c r="E26"/>
  <c r="E15"/>
  <c r="E45"/>
  <c r="E21"/>
  <c r="E50"/>
  <c r="E43"/>
  <c r="E22"/>
  <c r="E33"/>
  <c r="E27"/>
  <c r="E18"/>
  <c r="E51"/>
  <c r="E40"/>
  <c r="E25"/>
  <c r="C48" i="32"/>
  <c r="E11" i="38648"/>
  <c r="E39"/>
  <c r="E30"/>
  <c r="E24"/>
  <c r="E37"/>
  <c r="G13" i="54" l="1"/>
  <c r="F13"/>
  <c r="J27"/>
  <c r="I27"/>
  <c r="D20"/>
  <c r="E20" i="76"/>
  <c r="C20" i="54"/>
  <c r="J35"/>
  <c r="I35"/>
  <c r="J18"/>
  <c r="I18"/>
  <c r="D38"/>
  <c r="E38" i="76"/>
  <c r="C38" i="54"/>
  <c r="D25"/>
  <c r="E25" i="76"/>
  <c r="C25" i="54"/>
  <c r="G17"/>
  <c r="F17"/>
  <c r="D21"/>
  <c r="C21"/>
  <c r="G14"/>
  <c r="F14"/>
  <c r="J14"/>
  <c r="I14"/>
  <c r="J32"/>
  <c r="I32"/>
  <c r="D23"/>
  <c r="E23" i="76"/>
  <c r="C23" i="54"/>
  <c r="J23"/>
  <c r="I23"/>
  <c r="G44"/>
  <c r="F44"/>
  <c r="G22"/>
  <c r="F22"/>
  <c r="G33"/>
  <c r="F33"/>
  <c r="G50"/>
  <c r="F50"/>
  <c r="J41"/>
  <c r="I41"/>
  <c r="G37"/>
  <c r="F37"/>
  <c r="D40"/>
  <c r="E40" i="76"/>
  <c r="C40" i="54"/>
  <c r="G40"/>
  <c r="F40"/>
  <c r="G24"/>
  <c r="F24"/>
  <c r="G42"/>
  <c r="F42"/>
  <c r="D22"/>
  <c r="E22" i="76"/>
  <c r="C22" i="54"/>
  <c r="J51"/>
  <c r="I51"/>
  <c r="D24"/>
  <c r="E24" i="76"/>
  <c r="C24" i="54"/>
  <c r="G21"/>
  <c r="F21"/>
  <c r="D11"/>
  <c r="C11"/>
  <c r="G19"/>
  <c r="F19"/>
  <c r="G51"/>
  <c r="F51"/>
  <c r="G36"/>
  <c r="F36"/>
  <c r="D50"/>
  <c r="E50" i="76"/>
  <c r="C50" i="54"/>
  <c r="G16"/>
  <c r="F16"/>
  <c r="D44"/>
  <c r="E44" i="76"/>
  <c r="C44" i="54"/>
  <c r="J40"/>
  <c r="I40"/>
  <c r="J34"/>
  <c r="I34"/>
  <c r="G39"/>
  <c r="F39"/>
  <c r="D51"/>
  <c r="E51" i="76"/>
  <c r="C51" i="54"/>
  <c r="D13"/>
  <c r="E13" i="76"/>
  <c r="C13" i="54"/>
  <c r="G25"/>
  <c r="F25"/>
  <c r="J13"/>
  <c r="I13"/>
  <c r="G15"/>
  <c r="F15"/>
  <c r="G35"/>
  <c r="F35"/>
  <c r="G45"/>
  <c r="F45"/>
  <c r="D31"/>
  <c r="E31" i="76"/>
  <c r="C31" i="54"/>
  <c r="D41"/>
  <c r="E41" i="76"/>
  <c r="C41" i="54"/>
  <c r="J39"/>
  <c r="I39"/>
  <c r="D14"/>
  <c r="E14" i="76"/>
  <c r="C14" i="54"/>
  <c r="G30" i="76"/>
  <c r="F30"/>
  <c r="G29"/>
  <c r="F29"/>
  <c r="D43" i="54"/>
  <c r="C43"/>
  <c r="J20"/>
  <c r="I20"/>
  <c r="J24"/>
  <c r="I24"/>
  <c r="G41"/>
  <c r="F41"/>
  <c r="J15"/>
  <c r="I15"/>
  <c r="G32"/>
  <c r="F32"/>
  <c r="J22"/>
  <c r="I22"/>
  <c r="D28"/>
  <c r="E28" i="76"/>
  <c r="C28" i="54"/>
  <c r="D46"/>
  <c r="E46" i="76"/>
  <c r="C46" i="54"/>
  <c r="G28"/>
  <c r="F28"/>
  <c r="J31"/>
  <c r="I31"/>
  <c r="D35"/>
  <c r="E35" i="76"/>
  <c r="C35" i="54"/>
  <c r="J50"/>
  <c r="I50"/>
  <c r="J45"/>
  <c r="I45"/>
  <c r="D33"/>
  <c r="E33" i="76"/>
  <c r="C33" i="54"/>
  <c r="J42"/>
  <c r="I42"/>
  <c r="G23"/>
  <c r="F23"/>
  <c r="G34"/>
  <c r="F34"/>
  <c r="G46"/>
  <c r="F46"/>
  <c r="D42"/>
  <c r="E42" i="76"/>
  <c r="C42" i="54"/>
  <c r="G38"/>
  <c r="F38"/>
  <c r="D45"/>
  <c r="E45" i="76"/>
  <c r="C45" i="54"/>
  <c r="J46"/>
  <c r="I46"/>
  <c r="D15"/>
  <c r="E15" i="76"/>
  <c r="C15" i="54"/>
  <c r="G31"/>
  <c r="F31"/>
  <c r="J44"/>
  <c r="I44"/>
  <c r="J17"/>
  <c r="I17"/>
  <c r="G11"/>
  <c r="F11"/>
  <c r="J25"/>
  <c r="I25"/>
  <c r="J16"/>
  <c r="I16"/>
  <c r="J37"/>
  <c r="I37"/>
  <c r="D39"/>
  <c r="E39" i="76"/>
  <c r="C39" i="54"/>
  <c r="D34"/>
  <c r="E34" i="76"/>
  <c r="C34" i="54"/>
  <c r="G12"/>
  <c r="F12"/>
  <c r="J26"/>
  <c r="I26"/>
  <c r="D26"/>
  <c r="C26"/>
  <c r="D12"/>
  <c r="C12"/>
  <c r="G27"/>
  <c r="F27"/>
  <c r="E17" i="76"/>
  <c r="D17" i="54"/>
  <c r="C17"/>
  <c r="J36"/>
  <c r="I36"/>
  <c r="J38"/>
  <c r="I38"/>
  <c r="D18"/>
  <c r="C18"/>
  <c r="D37"/>
  <c r="E37" i="76"/>
  <c r="C37" i="54"/>
  <c r="J28"/>
  <c r="I28"/>
  <c r="G20"/>
  <c r="F20"/>
  <c r="J33"/>
  <c r="I33"/>
  <c r="D19"/>
  <c r="E19" i="76"/>
  <c r="C19" i="54"/>
  <c r="D32"/>
  <c r="E32" i="76"/>
  <c r="C32" i="54"/>
  <c r="D16"/>
  <c r="E16" i="76"/>
  <c r="C16" i="54"/>
  <c r="J19"/>
  <c r="I19"/>
  <c r="D27"/>
  <c r="E27" i="76"/>
  <c r="C27" i="54"/>
  <c r="G48" i="38663"/>
  <c r="D11" i="32"/>
  <c r="D48" s="1"/>
  <c r="E11" i="76"/>
  <c r="E26"/>
  <c r="E21"/>
  <c r="G21" l="1"/>
  <c r="F21"/>
  <c r="G26"/>
  <c r="F26"/>
  <c r="G11"/>
  <c r="F11"/>
  <c r="D36" i="54"/>
  <c r="E36" i="76"/>
  <c r="C36" i="54"/>
  <c r="G43"/>
  <c r="F43"/>
  <c r="G30" i="38667"/>
  <c r="I30"/>
  <c r="E30"/>
  <c r="G45" i="76"/>
  <c r="F45"/>
  <c r="G33"/>
  <c r="F33"/>
  <c r="G41"/>
  <c r="F41"/>
  <c r="G13"/>
  <c r="F13"/>
  <c r="G44"/>
  <c r="F44"/>
  <c r="G24"/>
  <c r="F24"/>
  <c r="G38"/>
  <c r="F38"/>
  <c r="E43"/>
  <c r="G26" i="54"/>
  <c r="F26"/>
  <c r="J12"/>
  <c r="I12"/>
  <c r="G16" i="76"/>
  <c r="F16"/>
  <c r="G34"/>
  <c r="F34"/>
  <c r="G15"/>
  <c r="F15"/>
  <c r="G35"/>
  <c r="F35"/>
  <c r="G14"/>
  <c r="F14"/>
  <c r="G31"/>
  <c r="F31"/>
  <c r="G51"/>
  <c r="F51"/>
  <c r="G23"/>
  <c r="F23"/>
  <c r="G20"/>
  <c r="F20"/>
  <c r="J43" i="54"/>
  <c r="I43"/>
  <c r="J11"/>
  <c r="I11"/>
  <c r="G27" i="76"/>
  <c r="F27"/>
  <c r="G32"/>
  <c r="F32"/>
  <c r="G37"/>
  <c r="F37"/>
  <c r="G39"/>
  <c r="F39"/>
  <c r="G46"/>
  <c r="F46"/>
  <c r="G40"/>
  <c r="F40"/>
  <c r="B48" i="54"/>
  <c r="J21"/>
  <c r="I21"/>
  <c r="G44" i="38667"/>
  <c r="I44"/>
  <c r="E44"/>
  <c r="G18" i="54"/>
  <c r="F18"/>
  <c r="G19" i="76"/>
  <c r="F19"/>
  <c r="G17"/>
  <c r="F17"/>
  <c r="G42"/>
  <c r="F42"/>
  <c r="G28"/>
  <c r="F28"/>
  <c r="G50"/>
  <c r="F50"/>
  <c r="G22"/>
  <c r="F22"/>
  <c r="G25"/>
  <c r="F25"/>
  <c r="E18"/>
  <c r="E12"/>
  <c r="E48" i="38648"/>
  <c r="C72" i="3188" l="1"/>
  <c r="G23" i="38667"/>
  <c r="I23"/>
  <c r="E23"/>
  <c r="G14"/>
  <c r="I14"/>
  <c r="E14"/>
  <c r="G15"/>
  <c r="I15"/>
  <c r="E15"/>
  <c r="G35"/>
  <c r="I35"/>
  <c r="E35"/>
  <c r="G45"/>
  <c r="I45"/>
  <c r="E45"/>
  <c r="G21"/>
  <c r="I21"/>
  <c r="E21"/>
  <c r="G40"/>
  <c r="I40"/>
  <c r="E40"/>
  <c r="G16"/>
  <c r="I16"/>
  <c r="E16"/>
  <c r="G48" i="54"/>
  <c r="F48"/>
  <c r="G22" i="38667"/>
  <c r="I22"/>
  <c r="E22"/>
  <c r="D48" i="54"/>
  <c r="E48" i="76"/>
  <c r="C48" i="54"/>
  <c r="G24" i="38667"/>
  <c r="I24"/>
  <c r="E24"/>
  <c r="G34"/>
  <c r="I34"/>
  <c r="E34"/>
  <c r="G25"/>
  <c r="I25"/>
  <c r="E25"/>
  <c r="I32"/>
  <c r="G32"/>
  <c r="E32"/>
  <c r="I13"/>
  <c r="G13"/>
  <c r="E13"/>
  <c r="G43" i="76"/>
  <c r="F43"/>
  <c r="G41" i="38667"/>
  <c r="I41"/>
  <c r="E41"/>
  <c r="G46"/>
  <c r="I46"/>
  <c r="E46"/>
  <c r="G36"/>
  <c r="I36"/>
  <c r="E36"/>
  <c r="G28"/>
  <c r="I28"/>
  <c r="E28"/>
  <c r="G38"/>
  <c r="I38"/>
  <c r="E38"/>
  <c r="G18" i="76"/>
  <c r="F18"/>
  <c r="J48" i="54"/>
  <c r="I48"/>
  <c r="G26" i="38667"/>
  <c r="I26"/>
  <c r="E26"/>
  <c r="G12" i="76"/>
  <c r="F12"/>
  <c r="G36"/>
  <c r="F36"/>
  <c r="G20" i="38667" l="1"/>
  <c r="I20"/>
  <c r="E20"/>
  <c r="G31"/>
  <c r="I31"/>
  <c r="E31"/>
  <c r="G27"/>
  <c r="I27"/>
  <c r="E27"/>
  <c r="G42"/>
  <c r="I42"/>
  <c r="E42"/>
  <c r="G18"/>
  <c r="I18"/>
  <c r="E18"/>
  <c r="G11"/>
  <c r="I11"/>
  <c r="D48"/>
  <c r="E11"/>
  <c r="I17"/>
  <c r="G17"/>
  <c r="E17"/>
  <c r="G37"/>
  <c r="I37"/>
  <c r="E37"/>
  <c r="G19"/>
  <c r="I19"/>
  <c r="E19"/>
  <c r="I43"/>
  <c r="G43"/>
  <c r="E43"/>
  <c r="G48" i="76"/>
  <c r="F48"/>
  <c r="I12" i="38667"/>
  <c r="G12"/>
  <c r="E12"/>
  <c r="G39"/>
  <c r="I39"/>
  <c r="E39"/>
  <c r="G33"/>
  <c r="I33"/>
  <c r="E33"/>
  <c r="G48" l="1"/>
  <c r="I48"/>
  <c r="E48"/>
</calcChain>
</file>

<file path=xl/comments1.xml><?xml version="1.0" encoding="utf-8"?>
<comments xmlns="http://schemas.openxmlformats.org/spreadsheetml/2006/main">
  <authors>
    <author>GPizzaro</author>
  </authors>
  <commentList>
    <comment ref="J8" authorId="0">
      <text>
        <r>
          <rPr>
            <sz val="8"/>
            <color indexed="81"/>
            <rFont val="Tahoma"/>
            <family val="2"/>
          </rPr>
          <t>Portioned assessment come from W:\Edusfb\Total School Assessment\YYYY F assessment.</t>
        </r>
      </text>
    </comment>
    <comment ref="H16" authorId="0">
      <text>
        <r>
          <rPr>
            <sz val="8"/>
            <color indexed="81"/>
            <rFont val="Tahoma"/>
            <family val="2"/>
          </rPr>
          <t xml:space="preserve">
Take it from the folder</t>
        </r>
      </text>
    </comment>
  </commentList>
</comments>
</file>

<file path=xl/sharedStrings.xml><?xml version="1.0" encoding="utf-8"?>
<sst xmlns="http://schemas.openxmlformats.org/spreadsheetml/2006/main" count="3222" uniqueCount="656">
  <si>
    <t>REVENUE AND TRANSFERS</t>
  </si>
  <si>
    <t xml:space="preserve"> EXPENSE BY CATEGORY</t>
  </si>
  <si>
    <t xml:space="preserve">  REVENUE BY CATEGORY</t>
  </si>
  <si>
    <t>TANGIBLE CAPITAL ASSETS</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</si>
  <si>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</si>
  <si>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</si>
  <si>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</si>
  <si>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</si>
  <si>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</si>
  <si>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</si>
  <si>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</si>
  <si>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</si>
  <si>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</si>
  <si>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</si>
  <si>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</si>
  <si>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</si>
  <si>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</si>
  <si>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</si>
  <si>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</si>
  <si>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</si>
  <si>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</si>
  <si>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</si>
  <si>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</si>
  <si>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</si>
  <si>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</si>
  <si>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</si>
  <si>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</si>
  <si>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</si>
  <si>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</si>
  <si>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</si>
  <si>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</si>
  <si>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</si>
  <si>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</si>
  <si>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</si>
  <si>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</si>
  <si>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</si>
  <si>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</si>
  <si>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</si>
  <si>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</si>
  <si>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</si>
  <si>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</si>
  <si>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</si>
  <si>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</si>
  <si>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</si>
  <si>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</si>
  <si>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</si>
  <si>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</si>
  <si>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</si>
  <si>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</si>
  <si>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</si>
  <si>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</si>
  <si>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</si>
  <si>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</si>
  <si>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</si>
  <si>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</si>
  <si>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</si>
  <si>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</si>
  <si>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</si>
  <si>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</si>
  <si>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</si>
  <si>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</si>
  <si>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</si>
  <si>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</si>
  <si>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</si>
  <si>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</si>
  <si>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</si>
  <si>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</si>
  <si>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</si>
  <si>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</si>
  <si>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</si>
  <si>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</si>
  <si>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</si>
  <si>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</si>
  <si>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</si>
  <si>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</si>
  <si>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</si>
  <si>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</si>
  <si>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</si>
  <si>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</si>
  <si>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</si>
  <si>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</si>
  <si>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</si>
  <si>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</si>
  <si>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</si>
  <si>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</si>
  <si>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</si>
  <si>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</si>
  <si>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</si>
  <si>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</si>
  <si>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</si>
  <si>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</si>
  <si>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</si>
  <si>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</si>
  <si>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</si>
  <si>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</si>
  <si>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</si>
  <si>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</si>
  <si>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</si>
  <si>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</si>
  <si>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</si>
  <si>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</si>
  <si>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</si>
  <si>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</si>
  <si>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</si>
  <si>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</si>
  <si>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</si>
  <si>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</si>
  <si>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</si>
  <si>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</si>
  <si>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</si>
  <si>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</si>
  <si>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</si>
  <si>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</si>
  <si>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</si>
  <si>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</si>
  <si>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</si>
  <si>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</si>
  <si>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</si>
  <si>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</si>
  <si>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</si>
  <si>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</si>
  <si>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</si>
  <si>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</si>
  <si>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</si>
  <si>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</si>
  <si>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</si>
  <si>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</si>
  <si>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</si>
  <si>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</si>
  <si>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</si>
  <si>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</si>
  <si>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</si>
  <si>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</si>
  <si>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</si>
  <si>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</si>
  <si>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</si>
  <si>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</si>
  <si>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</si>
  <si>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</si>
  <si>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</si>
  <si>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</si>
  <si>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</si>
  <si>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</si>
  <si>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</si>
  <si>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</si>
  <si>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</si>
  <si>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</si>
  <si>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</si>
  <si>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</si>
  <si>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</si>
  <si>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</si>
  <si>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</si>
  <si>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</si>
  <si>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</si>
  <si>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</si>
  <si>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</si>
  <si>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</si>
  <si>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</si>
  <si>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</si>
  <si>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</si>
  <si>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</si>
  <si>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</si>
  <si>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</si>
  <si>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</si>
  <si>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</si>
  <si>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</si>
  <si>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</si>
  <si>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</si>
  <si>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</si>
  <si>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</si>
  <si>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</si>
  <si>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</si>
  <si>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</si>
  <si>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</si>
  <si>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</si>
  <si>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</si>
  <si>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</si>
  <si>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</si>
  <si>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</si>
  <si>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</si>
  <si>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</si>
  <si>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</si>
  <si>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</si>
  <si>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</si>
  <si>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</si>
  <si>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</si>
  <si>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</si>
  <si>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</si>
  <si>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</si>
  <si>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</si>
  <si>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</si>
  <si>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</si>
  <si>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</si>
  <si>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</si>
  <si>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</si>
  <si>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</si>
  <si>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</si>
  <si>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</si>
  <si>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</si>
  <si>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</si>
  <si>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</si>
  <si>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</si>
  <si>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</si>
  <si>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</si>
  <si>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</si>
  <si>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</si>
  <si>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</si>
  <si>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</si>
  <si>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</si>
  <si>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</si>
  <si>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</si>
  <si>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</si>
  <si>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</si>
  <si>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</si>
  <si>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</si>
  <si>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</si>
  <si>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</si>
  <si>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</si>
  <si>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</si>
  <si>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</si>
  <si>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</si>
  <si>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</si>
  <si>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</si>
  <si>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</si>
  <si>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</si>
  <si>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</si>
  <si>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</si>
  <si>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</si>
  <si>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</si>
  <si>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</si>
  <si>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</si>
  <si>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</si>
  <si>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</si>
  <si>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</si>
  <si>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</si>
  <si>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</si>
  <si>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</si>
  <si>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</si>
  <si>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</si>
  <si>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</si>
  <si>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</si>
  <si>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</si>
  <si>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</si>
  <si>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</si>
  <si>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</si>
  <si>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</si>
  <si>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</si>
  <si>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</si>
  <si>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</si>
  <si>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</si>
  <si>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</si>
  <si>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</si>
  <si>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</si>
  <si>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</si>
  <si>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</si>
  <si>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</si>
  <si>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</si>
  <si>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</si>
  <si>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</si>
  <si>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</si>
  <si>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</si>
  <si>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</si>
  <si>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</si>
  <si>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</si>
  <si>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</si>
  <si>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</si>
  <si>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</si>
  <si>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</si>
  <si>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</si>
  <si>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</si>
  <si>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</si>
  <si>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</si>
  <si>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</si>
  <si>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</si>
  <si>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</si>
  <si>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</si>
  <si>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</si>
  <si>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</si>
  <si>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</si>
  <si>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</si>
  <si>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</si>
  <si>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</si>
  <si>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</si>
  <si>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</si>
  <si>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</si>
  <si>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</si>
  <si>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</si>
  <si>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</si>
  <si>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</si>
  <si>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</si>
  <si>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</si>
  <si>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</si>
  <si>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</si>
  <si>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</si>
  <si>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</si>
  <si>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</si>
  <si>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</si>
  <si>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</si>
  <si>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</si>
  <si>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</si>
  <si>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</si>
  <si>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</si>
  <si>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</si>
  <si>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</si>
  <si>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</si>
  <si>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</si>
  <si>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</si>
  <si>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</si>
  <si>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</si>
  <si>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</si>
  <si>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</si>
  <si>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</si>
  <si>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</si>
  <si>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</si>
  <si>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</si>
  <si>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</si>
  <si>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</si>
  <si>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</si>
  <si>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</si>
  <si>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</si>
  <si>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</si>
  <si>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</si>
  <si>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</si>
  <si>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</si>
  <si>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</si>
  <si>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</si>
  <si>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</si>
  <si>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</si>
  <si>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</si>
  <si>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</si>
  <si>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</si>
  <si>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</si>
  <si>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</si>
  <si>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</si>
  <si>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</si>
  <si>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</si>
  <si>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</si>
  <si>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</si>
  <si>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</si>
  <si>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</si>
  <si>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</si>
  <si>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</si>
  <si>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</si>
  <si>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</si>
  <si>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</si>
  <si>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</si>
  <si>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</si>
  <si>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</si>
  <si>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</si>
  <si>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</si>
  <si>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</si>
  <si>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</si>
  <si>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(2)  Includes other governments, investment income, donations and gain/(loss) on disposal of capital assets. .</t>
  </si>
  <si>
    <t>(2)  Internally restricted and held for future capital expense purposes.</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</si>
  <si>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</si>
  <si>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</si>
  <si>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</si>
  <si>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</si>
  <si>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</si>
  <si>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</si>
  <si>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</si>
  <si>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</si>
  <si>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</si>
  <si>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</si>
  <si>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</si>
  <si>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</si>
  <si>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</si>
  <si>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</si>
  <si>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</si>
  <si>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</si>
  <si>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</si>
  <si>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</si>
  <si>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</si>
  <si>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</si>
  <si>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</si>
  <si>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</si>
  <si>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</si>
  <si>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</si>
  <si>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</si>
  <si>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</si>
  <si>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</si>
  <si>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</si>
  <si>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</si>
  <si>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t>W:\Edusfb\Age and Area</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</si>
  <si>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</si>
  <si>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</si>
  <si>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</si>
  <si>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</si>
  <si>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</si>
  <si>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</si>
  <si>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</si>
  <si>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SEPT. 30, 2013</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</si>
  <si>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</si>
  <si>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</si>
  <si>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</si>
  <si>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</si>
  <si>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</si>
  <si>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</si>
  <si>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</si>
  <si>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2014/15</t>
  </si>
  <si>
    <t>2014/2015 ACTUAL</t>
  </si>
  <si>
    <t>SEPT. 30, 2014</t>
  </si>
  <si>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</si>
  <si>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</si>
  <si>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</si>
  <si>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</si>
  <si>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</si>
  <si>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</si>
  <si>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</si>
  <si>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</si>
  <si>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</si>
  <si>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</si>
  <si>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</si>
  <si>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</si>
  <si>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</si>
  <si>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</si>
  <si>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</si>
  <si>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</si>
  <si>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(2)  Capitalized Information Technology equipment is reported on page 48.</t>
  </si>
  <si>
    <t>(2)  Total Management Information Services expenses in Function 500 (from page 26).</t>
  </si>
  <si>
    <t>(3)  For information technology equipment purchased in Operating Fund, see page 37.</t>
  </si>
  <si>
    <t>(3)  From page 55 (for more information, see page 55).</t>
  </si>
  <si>
    <t xml:space="preserve">(4)  From page 53 (for more information, see page 53). </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</si>
  <si>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</si>
  <si>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</si>
  <si>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</si>
  <si>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</si>
  <si>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</si>
  <si>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</si>
  <si>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</si>
  <si>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</si>
  <si>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</si>
  <si>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</si>
  <si>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</si>
  <si>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</si>
  <si>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</si>
  <si>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</si>
  <si>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</si>
  <si>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</si>
  <si>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</si>
  <si>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</si>
  <si>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</si>
  <si>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</si>
  <si>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</si>
  <si>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</si>
  <si>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</si>
  <si>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</si>
  <si>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</si>
  <si>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</si>
  <si>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</si>
  <si>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</si>
  <si>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</si>
  <si>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</si>
  <si>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</si>
  <si>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</si>
  <si>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</si>
  <si>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</si>
  <si>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</si>
  <si>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</si>
  <si>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</si>
  <si>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</si>
  <si>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</si>
  <si>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</si>
  <si>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t>(2)  The total number of pupils enrolled in schools adjusted for full time equivalence (F.T.E.).  Full time equivalent means pupils are counted on the
        basis of time attending school - eg. Kindergarten as 1/2.  This total is the same as reported on page 7.</t>
  </si>
  <si>
    <r>
      <t xml:space="preserve">REGULAR 
 INSTRUCTION </t>
    </r>
    <r>
      <rPr>
        <b/>
        <vertAlign val="superscript"/>
        <sz val="9"/>
        <rFont val="Arial"/>
        <family val="2"/>
      </rPr>
      <t>(1)</t>
    </r>
  </si>
  <si>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</si>
  <si>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</si>
  <si>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</si>
  <si>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</si>
  <si>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</si>
  <si>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</si>
  <si>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</si>
  <si>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</si>
  <si>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</si>
  <si>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</si>
  <si>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</si>
  <si>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</si>
  <si>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</si>
  <si>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</si>
  <si>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</si>
  <si>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</si>
  <si>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</si>
  <si>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</si>
  <si>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</si>
  <si>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</si>
  <si>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</si>
  <si>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</si>
  <si>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</si>
  <si>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</si>
  <si>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</si>
  <si>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</si>
  <si>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</si>
  <si>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</si>
  <si>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</si>
  <si>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</si>
  <si>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</si>
  <si>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</si>
  <si>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</si>
  <si>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</si>
  <si>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</si>
  <si>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</si>
  <si>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</si>
  <si>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</si>
  <si>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</si>
  <si>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</si>
  <si>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</si>
  <si>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</si>
  <si>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</si>
  <si>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</si>
  <si>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</si>
  <si>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</si>
  <si>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</si>
  <si>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</si>
  <si>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</si>
  <si>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</si>
  <si>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</si>
  <si>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</si>
  <si>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</si>
  <si>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</si>
  <si>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</si>
  <si>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</si>
  <si>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</si>
  <si>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</si>
  <si>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</si>
  <si>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</si>
  <si>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</si>
  <si>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</si>
  <si>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</si>
  <si>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</si>
  <si>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</si>
  <si>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</si>
  <si>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(3)  Although the Tax Incentive Grant was discontinued in 2012, the funding provided in 2011 continues to be provided. Amounts shown here are the portions  
       by division after the allocation to the DSFM.</t>
  </si>
  <si>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</si>
  <si>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</si>
  <si>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</si>
  <si>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</si>
  <si>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</si>
  <si>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</si>
  <si>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</si>
  <si>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</si>
  <si>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</si>
  <si>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</si>
  <si>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</si>
  <si>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</si>
  <si>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</si>
  <si>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</si>
  <si>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</si>
  <si>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(1)  Residual interest (accounting value) in all tangible capital assets (i.e. land, buildings, vehicles and equipment) net of accumulated amortization
      and liabilities.</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</si>
  <si>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</si>
  <si>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</si>
  <si>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</si>
  <si>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</si>
  <si>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</si>
  <si>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</si>
  <si>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</si>
  <si>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</si>
  <si>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</si>
  <si>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</si>
  <si>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</si>
  <si>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</si>
  <si>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</si>
  <si>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</si>
  <si>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</si>
  <si>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</si>
  <si>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</si>
  <si>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</si>
  <si>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</si>
  <si>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</si>
  <si>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</si>
  <si>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EDUCATION
 SUPPORT 
LEVY</t>
  </si>
  <si>
    <r>
      <t>ASSESSMENT
 PER
 RESIDENT PUPIL</t>
    </r>
    <r>
      <rPr>
        <b/>
        <vertAlign val="superscript"/>
        <sz val="9"/>
        <rFont val="Arial"/>
        <family val="2"/>
      </rPr>
      <t xml:space="preserve"> (1)</t>
    </r>
  </si>
  <si>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</si>
  <si>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</si>
  <si>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</si>
  <si>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</si>
  <si>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</si>
  <si>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</si>
  <si>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</si>
  <si>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</si>
  <si>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</si>
  <si>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</si>
  <si>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</si>
  <si>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</si>
  <si>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</si>
  <si>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</si>
  <si>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</si>
  <si>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</si>
  <si>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</si>
  <si>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</si>
  <si>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</si>
  <si>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</si>
  <si>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</si>
  <si>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</si>
  <si>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</si>
  <si>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</si>
  <si>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</si>
  <si>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(2)  Additional Equalization is provided to specifically assist school divisions or districts that have both higher than average tax effort and
        lower than average assessment per pupil.</t>
  </si>
  <si>
    <t>(1)  Equalization is provided to recognize the varying ability of school divisions to meet the cost of unsupported program requirements
        through the property tax base of the school division.</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</si>
  <si>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</si>
  <si>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</si>
  <si>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</si>
  <si>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</si>
  <si>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</si>
  <si>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</si>
  <si>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</si>
  <si>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</si>
  <si>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</si>
  <si>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</si>
  <si>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</si>
  <si>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</si>
  <si>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</si>
  <si>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</si>
  <si>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</si>
  <si>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</si>
  <si>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</si>
  <si>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</si>
  <si>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</si>
  <si>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</si>
  <si>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</si>
  <si>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MITT</t>
  </si>
  <si>
    <t>2015/16</t>
  </si>
  <si>
    <t>2015/2016 ACTUAL</t>
  </si>
  <si>
    <t>SEPT. 30, 2015</t>
  </si>
  <si>
    <t>(1)  Based on area (square footage) of active school buildings as at September 30, 2015. Includes rented and leased space.</t>
  </si>
  <si>
    <t>FOR THE 2015 TAXATION YEAR</t>
  </si>
  <si>
    <t>(1) The mill rate for other property in 2015 is 11.61.</t>
  </si>
  <si>
    <t>(1)  Special levy net of the Tax Incentive Grant (page 54) requisitioned by school divisions for the 2015 tax year. Actual remittance to
       school divisions by municipalities is reduced by the Education Property Tax Credit. See pages 41 and 42 for more detail.</t>
  </si>
  <si>
    <t>(1)  The Tax Incentive Grant was offered to school divisions that maintained their prior year Special Levy amount adjusted for real growth in
        property assessment. The 2015 grant is unchanged from the amount provided in 2011. Amounts shown here are the portions by
        division before the allocation to the DSFM.</t>
  </si>
  <si>
    <r>
      <t xml:space="preserve">2015/16 </t>
    </r>
    <r>
      <rPr>
        <b/>
        <vertAlign val="superscript"/>
        <sz val="10"/>
        <rFont val="Arial"/>
        <family val="2"/>
      </rPr>
      <t>(2)</t>
    </r>
  </si>
  <si>
    <r>
      <t xml:space="preserve">2015 </t>
    </r>
    <r>
      <rPr>
        <b/>
        <vertAlign val="superscript"/>
        <sz val="10"/>
        <rFont val="Arial"/>
        <family val="2"/>
      </rPr>
      <t>(3)</t>
    </r>
  </si>
  <si>
    <r>
      <t xml:space="preserve">2015 </t>
    </r>
    <r>
      <rPr>
        <b/>
        <vertAlign val="superscript"/>
        <sz val="10"/>
        <rFont val="Arial"/>
        <family val="2"/>
      </rPr>
      <t>(4)</t>
    </r>
  </si>
  <si>
    <t>Sept. 30 / 15</t>
  </si>
  <si>
    <t>2015 TSA</t>
  </si>
  <si>
    <t>W:\Edusfb\Frame.fin\[Final16.xls]Scdatabase - Column AB</t>
  </si>
  <si>
    <t>Coming from Budget. Pg 48</t>
  </si>
  <si>
    <t>(3)  Provincially supported pupils (actual September 30, 2014 for 2015/16 and actual September 30, 2013 for 2014/15). The Whiteshell Special 
       Revenue District includes out-of-district pupils.</t>
  </si>
  <si>
    <r>
      <t>DIVISIONAL ADMINISTRATION FUNCTION 500</t>
    </r>
    <r>
      <rPr>
        <b/>
        <vertAlign val="superscript"/>
        <sz val="9"/>
        <rFont val="Arial"/>
        <family val="2"/>
      </rPr>
      <t xml:space="preserve"> (2)</t>
    </r>
  </si>
  <si>
    <t>LESS:   LIABILITY INSURANCE, ADMIN. PORTION OF SELF-FUNDED EXPENSES &amp; TRUSTEE ELECTION COSTS</t>
  </si>
  <si>
    <t>DEFINED
ADMINISTRATION
EXPENSES</t>
  </si>
  <si>
    <t>Incremental administration costs related to Waywayseecappo</t>
  </si>
  <si>
    <t>TRUSTEE</t>
  </si>
  <si>
    <t>ELECTION</t>
  </si>
  <si>
    <t>PA_WAYWAY</t>
  </si>
  <si>
    <t>N/A</t>
  </si>
  <si>
    <t xml:space="preserve">
 ADMIN. 
LIMIT</t>
  </si>
  <si>
    <t>ADMIN</t>
  </si>
  <si>
    <t>Limit</t>
  </si>
  <si>
    <t>(1)  Comprised of principal and interest payments for long term debt issued to finance asset additions.</t>
  </si>
  <si>
    <t>(2)  Comprised of school and other building new construction and betterments financed primarily through long term debt. Includes
        leasehold improvements and assets under construction.</t>
  </si>
  <si>
    <t>(1)  This appendix provides an analysis of divisional administration expenses as a percentage of the adjusted operating expense base. Frontier  School Division, DSFM, Whiteshell and Manitoba Institute of Trades and Technology are exempt from these limits and are not reflected in the above totals.  Expenses shown for Function 500 may differ from corresponding  amounts shown on page 16 owing to the inclusion of operating transfers for the purpose of calculating administration costs. Effective with fiscal year 2015/16, school divisions are required to limit the proportion of their operating expenses spent on divisional administration to 3.5% (for school divisions with F.T.E enrolment of 5,000 of greater), 4.25% (for school divisions with F.T.E enrolment of 1,000 or less) and between 3.5% and 4.25% for school divisions with F.T.E enrolment between 1,000 and 5,000. Northern school divisions are subject  to a 5% limit.</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</si>
  <si>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</si>
  <si>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</si>
  <si>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</si>
  <si>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</si>
  <si>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</si>
  <si>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2015/16 Actual</t>
  </si>
</sst>
</file>

<file path=xl/styles.xml><?xml version="1.0" encoding="utf-8"?>
<styleSheet xmlns="http://schemas.openxmlformats.org/spreadsheetml/2006/main">
  <numFmts count="14">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
    <numFmt numFmtId="173" formatCode="#,##0.0000;\-#,##0.0000"/>
    <numFmt numFmtId="174" formatCode="#,##0.0_ ;\(#,##0.0\)"/>
    <numFmt numFmtId="175" formatCode="#,##0.0_);[Red]\(#,##0.0\)"/>
    <numFmt numFmtId="176" formatCode="#,##0.00_ ;\(#,##0.00\)"/>
    <numFmt numFmtId="177" formatCode="dd\-mmm\-yy_)"/>
  </numFmts>
  <fonts count="29">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s>
  <fills count="1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4" fontId="1"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74">
    <xf numFmtId="37" fontId="0" fillId="0" borderId="0" xfId="0"/>
    <xf numFmtId="37" fontId="0" fillId="0" borderId="0" xfId="0" applyAlignment="1">
      <alignment horizontal="right"/>
    </xf>
    <xf numFmtId="37" fontId="7" fillId="0" borderId="0" xfId="0" applyFont="1"/>
    <xf numFmtId="37" fontId="8" fillId="0" borderId="0" xfId="0" applyFont="1"/>
    <xf numFmtId="37" fontId="7" fillId="0" borderId="0" xfId="0" applyFont="1" applyAlignment="1">
      <alignment horizontal="right"/>
    </xf>
    <xf numFmtId="167" fontId="7" fillId="0" borderId="0" xfId="0" applyNumberFormat="1" applyFont="1"/>
    <xf numFmtId="37" fontId="4" fillId="0" borderId="0" xfId="0" applyFont="1"/>
    <xf numFmtId="165"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0" fontId="7" fillId="0" borderId="1" xfId="0" applyNumberFormat="1" applyFont="1" applyBorder="1" applyAlignment="1">
      <alignment vertical="center"/>
    </xf>
    <xf numFmtId="49" fontId="7" fillId="0" borderId="0" xfId="0" applyNumberFormat="1" applyFont="1" applyAlignment="1">
      <alignment vertical="center"/>
    </xf>
    <xf numFmtId="171"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5"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0"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0" fontId="7" fillId="0" borderId="1" xfId="0" applyNumberFormat="1" applyFont="1" applyBorder="1" applyProtection="1"/>
    <xf numFmtId="170" fontId="7" fillId="0" borderId="6" xfId="0" applyNumberFormat="1" applyFont="1" applyBorder="1" applyProtection="1"/>
    <xf numFmtId="37" fontId="7" fillId="0" borderId="6" xfId="0" applyFont="1" applyBorder="1"/>
    <xf numFmtId="170"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0" fontId="4" fillId="0" borderId="19" xfId="0" applyNumberFormat="1" applyFont="1" applyBorder="1" applyProtection="1"/>
    <xf numFmtId="170" fontId="4" fillId="0" borderId="18" xfId="0" applyNumberFormat="1" applyFont="1" applyBorder="1" applyProtection="1"/>
    <xf numFmtId="170" fontId="7" fillId="0" borderId="13" xfId="0" applyNumberFormat="1" applyFont="1" applyBorder="1"/>
    <xf numFmtId="165" fontId="7" fillId="0" borderId="2" xfId="0" applyNumberFormat="1" applyFont="1" applyBorder="1" applyProtection="1"/>
    <xf numFmtId="37" fontId="7" fillId="3" borderId="2" xfId="0" applyFont="1" applyFill="1" applyBorder="1" applyAlignment="1">
      <alignment horizontal="center"/>
    </xf>
    <xf numFmtId="165"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4" fontId="7" fillId="0" borderId="1" xfId="0" applyNumberFormat="1" applyFont="1" applyBorder="1" applyAlignment="1">
      <alignment vertical="center"/>
    </xf>
    <xf numFmtId="174"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7"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7" fontId="7" fillId="5" borderId="0" xfId="0" applyNumberFormat="1" applyFont="1" applyFill="1" applyBorder="1" applyProtection="1"/>
    <xf numFmtId="167"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69"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4" fontId="7" fillId="0" borderId="22" xfId="0" applyNumberFormat="1" applyFont="1" applyBorder="1" applyAlignment="1">
      <alignment vertical="center"/>
    </xf>
    <xf numFmtId="174"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0" fontId="7" fillId="3" borderId="7" xfId="0" applyNumberFormat="1" applyFont="1" applyFill="1" applyBorder="1" applyProtection="1"/>
    <xf numFmtId="166" fontId="7" fillId="3" borderId="7" xfId="0" applyNumberFormat="1" applyFont="1" applyFill="1" applyBorder="1" applyProtection="1"/>
    <xf numFmtId="37" fontId="7" fillId="3" borderId="24" xfId="0" applyFont="1" applyFill="1" applyBorder="1"/>
    <xf numFmtId="170" fontId="7" fillId="3" borderId="24" xfId="0" applyNumberFormat="1" applyFont="1" applyFill="1" applyBorder="1" applyProtection="1"/>
    <xf numFmtId="37" fontId="7" fillId="0" borderId="24" xfId="0" applyFont="1" applyBorder="1"/>
    <xf numFmtId="170" fontId="7" fillId="0" borderId="24" xfId="0" applyNumberFormat="1" applyFont="1" applyBorder="1" applyProtection="1"/>
    <xf numFmtId="170"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6" fontId="7" fillId="0" borderId="0" xfId="0" applyNumberFormat="1" applyFont="1" applyProtection="1"/>
    <xf numFmtId="49" fontId="7" fillId="0" borderId="0" xfId="0" applyNumberFormat="1" applyFont="1"/>
    <xf numFmtId="166" fontId="7" fillId="0" borderId="0" xfId="8" applyNumberFormat="1" applyFont="1"/>
    <xf numFmtId="49" fontId="8" fillId="0" borderId="0" xfId="0" applyNumberFormat="1" applyFont="1"/>
    <xf numFmtId="37" fontId="7" fillId="0" borderId="0" xfId="0" quotePrefix="1" applyFont="1" applyAlignment="1">
      <alignment horizontal="left"/>
    </xf>
    <xf numFmtId="165"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5"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6" fontId="7" fillId="0" borderId="1" xfId="8" applyNumberFormat="1" applyFont="1" applyBorder="1"/>
    <xf numFmtId="165"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5"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0" fontId="7" fillId="0" borderId="1" xfId="0" applyNumberFormat="1" applyFont="1" applyBorder="1"/>
    <xf numFmtId="170"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5"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0" fontId="7" fillId="0" borderId="16" xfId="0" applyNumberFormat="1" applyFont="1" applyBorder="1" applyAlignment="1">
      <alignment vertical="center"/>
    </xf>
    <xf numFmtId="175" fontId="7" fillId="0" borderId="28" xfId="0" applyNumberFormat="1" applyFont="1" applyBorder="1" applyAlignment="1">
      <alignment vertical="center"/>
    </xf>
    <xf numFmtId="175"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5" fontId="7" fillId="0" borderId="0" xfId="0" applyNumberFormat="1" applyFont="1" applyBorder="1" applyProtection="1"/>
    <xf numFmtId="37" fontId="4" fillId="3" borderId="17" xfId="0" applyFont="1" applyFill="1" applyBorder="1" applyAlignment="1">
      <alignment horizontal="centerContinuous"/>
    </xf>
    <xf numFmtId="165"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5"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5"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5"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4" fontId="7" fillId="0" borderId="1" xfId="0" applyNumberFormat="1" applyFont="1" applyBorder="1"/>
    <xf numFmtId="173" fontId="7" fillId="0" borderId="0" xfId="0" applyNumberFormat="1" applyFont="1"/>
    <xf numFmtId="174" fontId="7" fillId="0" borderId="0" xfId="0" applyNumberFormat="1" applyFont="1"/>
    <xf numFmtId="170" fontId="7" fillId="0" borderId="0" xfId="0" applyNumberFormat="1" applyFont="1" applyProtection="1"/>
    <xf numFmtId="37" fontId="4" fillId="0" borderId="24" xfId="0" applyFont="1" applyBorder="1" applyAlignment="1">
      <alignment horizontal="center" vertical="center"/>
    </xf>
    <xf numFmtId="164"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5" fontId="7" fillId="0" borderId="13" xfId="0" applyNumberFormat="1" applyFont="1" applyBorder="1" applyProtection="1"/>
    <xf numFmtId="37" fontId="7" fillId="0" borderId="13" xfId="0" applyFont="1" applyBorder="1" applyAlignment="1">
      <alignment horizontal="centerContinuous" vertical="center"/>
    </xf>
    <xf numFmtId="165" fontId="7" fillId="0" borderId="0" xfId="0" applyNumberFormat="1" applyFont="1" applyAlignment="1" applyProtection="1">
      <alignment horizontal="centerContinuous"/>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165"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10" fontId="7" fillId="0" borderId="0" xfId="8" applyNumberFormat="1" applyFont="1"/>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0"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0"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4" fontId="7" fillId="6" borderId="1" xfId="0" applyNumberFormat="1" applyFont="1" applyFill="1" applyBorder="1" applyAlignment="1">
      <alignment vertical="center"/>
    </xf>
    <xf numFmtId="174" fontId="7" fillId="6" borderId="22" xfId="0" applyNumberFormat="1" applyFont="1" applyFill="1" applyBorder="1" applyAlignment="1">
      <alignment vertical="center"/>
    </xf>
    <xf numFmtId="174" fontId="7" fillId="6" borderId="6" xfId="0" applyNumberFormat="1" applyFont="1" applyFill="1" applyBorder="1" applyAlignment="1">
      <alignment vertical="center"/>
    </xf>
    <xf numFmtId="174" fontId="4" fillId="6" borderId="19" xfId="0" applyNumberFormat="1" applyFont="1" applyFill="1" applyBorder="1" applyAlignment="1">
      <alignment vertical="center"/>
    </xf>
    <xf numFmtId="174" fontId="4" fillId="6" borderId="33" xfId="0" applyNumberFormat="1" applyFont="1" applyFill="1" applyBorder="1" applyAlignment="1">
      <alignment vertical="center"/>
    </xf>
    <xf numFmtId="174"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0" fontId="7" fillId="9" borderId="16" xfId="0" applyNumberFormat="1" applyFont="1" applyFill="1" applyBorder="1" applyAlignment="1">
      <alignment vertical="center"/>
    </xf>
    <xf numFmtId="175" fontId="7" fillId="9" borderId="28" xfId="0" applyNumberFormat="1" applyFont="1" applyFill="1" applyBorder="1" applyAlignment="1">
      <alignment vertical="center"/>
    </xf>
    <xf numFmtId="170" fontId="4" fillId="6" borderId="17" xfId="0" applyNumberFormat="1" applyFont="1" applyFill="1" applyBorder="1" applyAlignment="1">
      <alignment vertical="center"/>
    </xf>
    <xf numFmtId="175"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8" fontId="7" fillId="3" borderId="24" xfId="0" applyNumberFormat="1" applyFont="1" applyFill="1" applyBorder="1" applyProtection="1"/>
    <xf numFmtId="168" fontId="7" fillId="0" borderId="24" xfId="0" applyNumberFormat="1" applyFont="1" applyBorder="1" applyProtection="1"/>
    <xf numFmtId="168" fontId="4" fillId="0" borderId="7" xfId="8" applyNumberFormat="1" applyFont="1" applyFill="1" applyBorder="1"/>
    <xf numFmtId="170" fontId="4" fillId="0" borderId="23" xfId="0" applyNumberFormat="1" applyFont="1" applyBorder="1" applyProtection="1"/>
    <xf numFmtId="168" fontId="4" fillId="0" borderId="23" xfId="0" applyNumberFormat="1" applyFont="1" applyBorder="1" applyProtection="1"/>
    <xf numFmtId="170" fontId="4" fillId="8" borderId="23" xfId="0" applyNumberFormat="1" applyFont="1" applyFill="1" applyBorder="1" applyProtection="1"/>
    <xf numFmtId="168"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0" fontId="7" fillId="6" borderId="1" xfId="0" applyNumberFormat="1" applyFont="1" applyFill="1" applyBorder="1"/>
    <xf numFmtId="174"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0" fontId="4" fillId="6" borderId="19" xfId="0" applyNumberFormat="1" applyFont="1" applyFill="1" applyBorder="1"/>
    <xf numFmtId="174"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6" fontId="7" fillId="6" borderId="1" xfId="0" applyNumberFormat="1" applyFont="1" applyFill="1" applyBorder="1" applyAlignment="1">
      <alignment vertical="center"/>
    </xf>
    <xf numFmtId="176" fontId="7" fillId="0" borderId="1" xfId="0" applyNumberFormat="1" applyFont="1" applyBorder="1" applyAlignment="1">
      <alignment vertical="center"/>
    </xf>
    <xf numFmtId="176" fontId="7" fillId="6" borderId="1" xfId="0" applyNumberFormat="1" applyFont="1" applyFill="1" applyBorder="1" applyAlignment="1">
      <alignment horizontal="right" vertical="center"/>
    </xf>
    <xf numFmtId="176" fontId="0" fillId="0" borderId="0" xfId="0" applyNumberFormat="1"/>
    <xf numFmtId="176" fontId="4" fillId="6" borderId="19" xfId="0" applyNumberFormat="1" applyFont="1" applyFill="1" applyBorder="1" applyAlignment="1">
      <alignment vertical="center"/>
    </xf>
    <xf numFmtId="170" fontId="7" fillId="6" borderId="1" xfId="0" applyNumberFormat="1" applyFont="1" applyFill="1" applyBorder="1" applyAlignment="1">
      <alignment horizontal="right" vertical="center"/>
    </xf>
    <xf numFmtId="170"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4" fontId="7" fillId="0" borderId="1" xfId="0" applyNumberFormat="1" applyFont="1" applyBorder="1" applyAlignment="1">
      <alignment horizontal="right" vertical="center"/>
    </xf>
    <xf numFmtId="37" fontId="4" fillId="7" borderId="5" xfId="0" applyFont="1" applyFill="1" applyBorder="1" applyAlignment="1"/>
    <xf numFmtId="174" fontId="0" fillId="0" borderId="0" xfId="0" applyNumberFormat="1"/>
    <xf numFmtId="174"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0" fontId="4" fillId="10" borderId="19" xfId="0" applyNumberFormat="1" applyFont="1" applyFill="1" applyBorder="1" applyAlignment="1">
      <alignment vertical="center"/>
    </xf>
    <xf numFmtId="0" fontId="4" fillId="0" borderId="3" xfId="0" applyNumberFormat="1" applyFont="1" applyBorder="1" applyAlignment="1">
      <alignment vertical="center"/>
    </xf>
    <xf numFmtId="165" fontId="7" fillId="0" borderId="2" xfId="0" applyNumberFormat="1" applyFont="1" applyBorder="1" applyAlignment="1" applyProtection="1">
      <alignment horizontal="left"/>
    </xf>
    <xf numFmtId="166" fontId="7" fillId="6" borderId="1" xfId="8" applyNumberFormat="1" applyFont="1" applyFill="1" applyBorder="1"/>
    <xf numFmtId="166"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0" fontId="7" fillId="6" borderId="6" xfId="0" applyNumberFormat="1" applyFont="1" applyFill="1" applyBorder="1" applyAlignment="1">
      <alignment vertical="center"/>
    </xf>
    <xf numFmtId="170" fontId="7" fillId="0" borderId="6" xfId="0" applyNumberFormat="1" applyFont="1" applyBorder="1" applyAlignment="1">
      <alignment vertical="center"/>
    </xf>
    <xf numFmtId="170" fontId="7" fillId="6" borderId="22" xfId="0" applyNumberFormat="1" applyFont="1" applyFill="1" applyBorder="1" applyAlignment="1">
      <alignment vertical="center"/>
    </xf>
    <xf numFmtId="170" fontId="7" fillId="0" borderId="22" xfId="0" applyNumberFormat="1" applyFont="1" applyBorder="1" applyAlignment="1">
      <alignment vertical="center"/>
    </xf>
    <xf numFmtId="170" fontId="4" fillId="6" borderId="18" xfId="0" applyNumberFormat="1" applyFont="1" applyFill="1" applyBorder="1" applyAlignment="1">
      <alignment vertical="center"/>
    </xf>
    <xf numFmtId="170"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8"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4"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5"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5" fontId="10" fillId="0" borderId="0" xfId="6" applyNumberFormat="1" applyFont="1" applyProtection="1">
      <protection locked="0"/>
    </xf>
    <xf numFmtId="170" fontId="7" fillId="0" borderId="0" xfId="6" applyNumberFormat="1" applyFont="1"/>
    <xf numFmtId="49" fontId="7" fillId="0" borderId="1" xfId="6" applyNumberFormat="1" applyFont="1" applyBorder="1" applyAlignment="1">
      <alignment vertical="center"/>
    </xf>
    <xf numFmtId="170" fontId="7" fillId="0" borderId="1" xfId="6" applyNumberFormat="1" applyFont="1" applyBorder="1" applyAlignment="1">
      <alignment vertical="center"/>
    </xf>
    <xf numFmtId="174" fontId="7" fillId="0" borderId="1" xfId="6" applyNumberFormat="1" applyFont="1" applyBorder="1" applyAlignment="1">
      <alignment vertical="center"/>
    </xf>
    <xf numFmtId="0" fontId="7" fillId="0" borderId="11" xfId="6" applyFont="1" applyBorder="1"/>
    <xf numFmtId="170"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0" fontId="7" fillId="10" borderId="1" xfId="6" applyNumberFormat="1" applyFont="1" applyFill="1" applyBorder="1" applyAlignment="1">
      <alignment vertical="center"/>
    </xf>
    <xf numFmtId="174"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0" fontId="4" fillId="10" borderId="23" xfId="6" applyNumberFormat="1" applyFont="1" applyFill="1" applyBorder="1"/>
    <xf numFmtId="174"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5"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6"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0" fontId="26" fillId="0" borderId="0" xfId="6" applyNumberFormat="1" applyFont="1"/>
    <xf numFmtId="176" fontId="26" fillId="0" borderId="0" xfId="6" applyNumberFormat="1" applyFont="1"/>
    <xf numFmtId="172"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5" fontId="7" fillId="0" borderId="11" xfId="0" applyNumberFormat="1" applyFont="1" applyBorder="1" applyProtection="1"/>
    <xf numFmtId="37" fontId="27" fillId="0" borderId="0" xfId="0" applyFont="1"/>
    <xf numFmtId="177"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5" fontId="7" fillId="0" borderId="2" xfId="7" applyNumberFormat="1" applyFont="1" applyBorder="1" applyAlignment="1" applyProtection="1">
      <alignment horizontal="left"/>
    </xf>
    <xf numFmtId="165"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7" fontId="7" fillId="10" borderId="1" xfId="7" applyNumberFormat="1" applyFont="1" applyFill="1" applyBorder="1"/>
    <xf numFmtId="167" fontId="7" fillId="3" borderId="1" xfId="7" applyNumberFormat="1" applyFont="1" applyFill="1" applyBorder="1"/>
    <xf numFmtId="167" fontId="4" fillId="10" borderId="19" xfId="7" applyNumberFormat="1" applyFont="1" applyFill="1" applyBorder="1"/>
    <xf numFmtId="167" fontId="7" fillId="0" borderId="0" xfId="7" applyNumberFormat="1" applyFont="1"/>
    <xf numFmtId="39" fontId="7" fillId="0" borderId="1" xfId="7" applyFont="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5"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5" fontId="15" fillId="0" borderId="11"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4" fontId="26" fillId="0" borderId="0" xfId="2" applyFont="1"/>
    <xf numFmtId="37" fontId="28" fillId="0" borderId="0" xfId="0" applyFont="1" applyAlignment="1">
      <alignment horizontal="right"/>
    </xf>
    <xf numFmtId="170" fontId="7" fillId="6" borderId="62" xfId="0" applyNumberFormat="1" applyFont="1" applyFill="1" applyBorder="1" applyAlignment="1">
      <alignment vertical="center"/>
    </xf>
    <xf numFmtId="170"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49" fontId="7" fillId="6" borderId="1" xfId="0" quotePrefix="1" applyNumberFormat="1" applyFont="1" applyFill="1" applyBorder="1" applyAlignment="1">
      <alignment horizontal="left"/>
    </xf>
    <xf numFmtId="37" fontId="4" fillId="3" borderId="13" xfId="0" applyFont="1" applyFill="1" applyBorder="1" applyAlignment="1">
      <alignment horizontal="right" vertical="center"/>
    </xf>
    <xf numFmtId="49" fontId="7" fillId="0" borderId="0" xfId="0" applyNumberFormat="1" applyFont="1" applyBorder="1" applyAlignment="1">
      <alignment horizontal="left"/>
    </xf>
    <xf numFmtId="37" fontId="7" fillId="0" borderId="0" xfId="0" applyFont="1" applyAlignment="1">
      <alignment horizontal="center" wrapText="1"/>
    </xf>
    <xf numFmtId="174" fontId="7" fillId="0" borderId="1" xfId="0" quotePrefix="1" applyNumberFormat="1" applyFont="1" applyBorder="1" applyAlignment="1">
      <alignment horizontal="right" vertical="center"/>
    </xf>
    <xf numFmtId="37" fontId="0" fillId="0" borderId="0" xfId="0"/>
    <xf numFmtId="174" fontId="7" fillId="6" borderId="1" xfId="0" applyNumberFormat="1" applyFont="1" applyFill="1" applyBorder="1" applyAlignment="1">
      <alignment horizontal="right" vertical="center"/>
    </xf>
    <xf numFmtId="174" fontId="4" fillId="6" borderId="19" xfId="0" applyNumberFormat="1" applyFont="1" applyFill="1" applyBorder="1" applyAlignment="1">
      <alignment horizontal="right" vertical="center"/>
    </xf>
    <xf numFmtId="172" fontId="7" fillId="0" borderId="0" xfId="0" applyNumberFormat="1" applyFont="1" applyProtection="1"/>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wrapText="1"/>
    </xf>
    <xf numFmtId="37" fontId="7" fillId="0" borderId="0" xfId="0" applyFont="1" applyAlignment="1">
      <alignment horizontal="left"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62" xfId="0" applyFont="1" applyBorder="1" applyAlignment="1">
      <alignment horizontal="center"/>
    </xf>
    <xf numFmtId="37" fontId="4" fillId="0" borderId="63" xfId="0" applyFont="1" applyBorder="1" applyAlignment="1">
      <alignment horizontal="center"/>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12" xfId="0" quotePrefix="1" applyNumberFormat="1" applyFont="1" applyBorder="1" applyAlignment="1">
      <alignment horizontal="left" vertical="center" wrapText="1"/>
    </xf>
    <xf numFmtId="0" fontId="7" fillId="0" borderId="0" xfId="0" quotePrefix="1" applyNumberFormat="1" applyFont="1" applyBorder="1" applyAlignment="1">
      <alignment horizontal="left" vertical="center" wrapText="1"/>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0" fontId="7" fillId="0" borderId="0" xfId="0" quotePrefix="1" applyNumberFormat="1" applyFont="1" applyBorder="1" applyAlignment="1">
      <alignment horizontal="left"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 xfId="0" applyFont="1" applyFill="1" applyBorder="1" applyAlignment="1">
      <alignment horizontal="center" wrapText="1"/>
    </xf>
    <xf numFmtId="37" fontId="4" fillId="8" borderId="9" xfId="0" applyFont="1" applyFill="1" applyBorder="1" applyAlignment="1">
      <alignment horizont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5" xfId="0" applyFont="1" applyFill="1" applyBorder="1" applyAlignment="1">
      <alignment horizontal="center" wrapText="1"/>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7" fillId="0" borderId="0" xfId="0" applyFont="1" applyAlignment="1">
      <alignment horizontal="center"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9-10%20FRAME%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08-09%20FRAME%20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WVK19"/>
  <sheetViews>
    <sheetView showRowColHeaders="0" tabSelected="1" workbookViewId="0"/>
  </sheetViews>
  <sheetFormatPr defaultColWidth="0" defaultRowHeight="12" customHeight="1" zeroHeight="1"/>
  <cols>
    <col min="1" max="1" width="9.33203125" style="588" customWidth="1"/>
    <col min="2" max="2" width="133.5" style="588" customWidth="1"/>
    <col min="3" max="3" width="9.33203125" style="588" customWidth="1"/>
    <col min="4" max="256" width="0" style="588" hidden="1"/>
    <col min="257" max="257" width="9.33203125" style="588" hidden="1" customWidth="1"/>
    <col min="258" max="258" width="133.5" style="588" hidden="1" customWidth="1"/>
    <col min="259" max="259" width="9.33203125" style="588" hidden="1" customWidth="1"/>
    <col min="260" max="512" width="0" style="588" hidden="1"/>
    <col min="513" max="513" width="9.33203125" style="588" hidden="1" customWidth="1"/>
    <col min="514" max="514" width="133.5" style="588" hidden="1" customWidth="1"/>
    <col min="515" max="515" width="9.33203125" style="588" hidden="1" customWidth="1"/>
    <col min="516" max="768" width="0" style="588" hidden="1"/>
    <col min="769" max="769" width="9.33203125" style="588" hidden="1" customWidth="1"/>
    <col min="770" max="770" width="133.5" style="588" hidden="1" customWidth="1"/>
    <col min="771" max="771" width="9.33203125" style="588" hidden="1" customWidth="1"/>
    <col min="772" max="1024" width="0" style="588" hidden="1"/>
    <col min="1025" max="1025" width="9.33203125" style="588" hidden="1" customWidth="1"/>
    <col min="1026" max="1026" width="133.5" style="588" hidden="1" customWidth="1"/>
    <col min="1027" max="1027" width="9.33203125" style="588" hidden="1" customWidth="1"/>
    <col min="1028" max="1280" width="0" style="588" hidden="1"/>
    <col min="1281" max="1281" width="9.33203125" style="588" hidden="1" customWidth="1"/>
    <col min="1282" max="1282" width="133.5" style="588" hidden="1" customWidth="1"/>
    <col min="1283" max="1283" width="9.33203125" style="588" hidden="1" customWidth="1"/>
    <col min="1284" max="1536" width="0" style="588" hidden="1"/>
    <col min="1537" max="1537" width="9.33203125" style="588" hidden="1" customWidth="1"/>
    <col min="1538" max="1538" width="133.5" style="588" hidden="1" customWidth="1"/>
    <col min="1539" max="1539" width="9.33203125" style="588" hidden="1" customWidth="1"/>
    <col min="1540" max="1792" width="0" style="588" hidden="1"/>
    <col min="1793" max="1793" width="9.33203125" style="588" hidden="1" customWidth="1"/>
    <col min="1794" max="1794" width="133.5" style="588" hidden="1" customWidth="1"/>
    <col min="1795" max="1795" width="9.33203125" style="588" hidden="1" customWidth="1"/>
    <col min="1796" max="2048" width="0" style="588" hidden="1"/>
    <col min="2049" max="2049" width="9.33203125" style="588" hidden="1" customWidth="1"/>
    <col min="2050" max="2050" width="133.5" style="588" hidden="1" customWidth="1"/>
    <col min="2051" max="2051" width="9.33203125" style="588" hidden="1" customWidth="1"/>
    <col min="2052" max="2304" width="0" style="588" hidden="1"/>
    <col min="2305" max="2305" width="9.33203125" style="588" hidden="1" customWidth="1"/>
    <col min="2306" max="2306" width="133.5" style="588" hidden="1" customWidth="1"/>
    <col min="2307" max="2307" width="9.33203125" style="588" hidden="1" customWidth="1"/>
    <col min="2308" max="2560" width="0" style="588" hidden="1"/>
    <col min="2561" max="2561" width="9.33203125" style="588" hidden="1" customWidth="1"/>
    <col min="2562" max="2562" width="133.5" style="588" hidden="1" customWidth="1"/>
    <col min="2563" max="2563" width="9.33203125" style="588" hidden="1" customWidth="1"/>
    <col min="2564" max="2816" width="0" style="588" hidden="1"/>
    <col min="2817" max="2817" width="9.33203125" style="588" hidden="1" customWidth="1"/>
    <col min="2818" max="2818" width="133.5" style="588" hidden="1" customWidth="1"/>
    <col min="2819" max="2819" width="9.33203125" style="588" hidden="1" customWidth="1"/>
    <col min="2820" max="3072" width="0" style="588" hidden="1"/>
    <col min="3073" max="3073" width="9.33203125" style="588" hidden="1" customWidth="1"/>
    <col min="3074" max="3074" width="133.5" style="588" hidden="1" customWidth="1"/>
    <col min="3075" max="3075" width="9.33203125" style="588" hidden="1" customWidth="1"/>
    <col min="3076" max="3328" width="0" style="588" hidden="1"/>
    <col min="3329" max="3329" width="9.33203125" style="588" hidden="1" customWidth="1"/>
    <col min="3330" max="3330" width="133.5" style="588" hidden="1" customWidth="1"/>
    <col min="3331" max="3331" width="9.33203125" style="588" hidden="1" customWidth="1"/>
    <col min="3332" max="3584" width="0" style="588" hidden="1"/>
    <col min="3585" max="3585" width="9.33203125" style="588" hidden="1" customWidth="1"/>
    <col min="3586" max="3586" width="133.5" style="588" hidden="1" customWidth="1"/>
    <col min="3587" max="3587" width="9.33203125" style="588" hidden="1" customWidth="1"/>
    <col min="3588" max="3840" width="0" style="588" hidden="1"/>
    <col min="3841" max="3841" width="9.33203125" style="588" hidden="1" customWidth="1"/>
    <col min="3842" max="3842" width="133.5" style="588" hidden="1" customWidth="1"/>
    <col min="3843" max="3843" width="9.33203125" style="588" hidden="1" customWidth="1"/>
    <col min="3844" max="4096" width="0" style="588" hidden="1"/>
    <col min="4097" max="4097" width="9.33203125" style="588" hidden="1" customWidth="1"/>
    <col min="4098" max="4098" width="133.5" style="588" hidden="1" customWidth="1"/>
    <col min="4099" max="4099" width="9.33203125" style="588" hidden="1" customWidth="1"/>
    <col min="4100" max="4352" width="0" style="588" hidden="1"/>
    <col min="4353" max="4353" width="9.33203125" style="588" hidden="1" customWidth="1"/>
    <col min="4354" max="4354" width="133.5" style="588" hidden="1" customWidth="1"/>
    <col min="4355" max="4355" width="9.33203125" style="588" hidden="1" customWidth="1"/>
    <col min="4356" max="4608" width="0" style="588" hidden="1"/>
    <col min="4609" max="4609" width="9.33203125" style="588" hidden="1" customWidth="1"/>
    <col min="4610" max="4610" width="133.5" style="588" hidden="1" customWidth="1"/>
    <col min="4611" max="4611" width="9.33203125" style="588" hidden="1" customWidth="1"/>
    <col min="4612" max="4864" width="0" style="588" hidden="1"/>
    <col min="4865" max="4865" width="9.33203125" style="588" hidden="1" customWidth="1"/>
    <col min="4866" max="4866" width="133.5" style="588" hidden="1" customWidth="1"/>
    <col min="4867" max="4867" width="9.33203125" style="588" hidden="1" customWidth="1"/>
    <col min="4868" max="5120" width="0" style="588" hidden="1"/>
    <col min="5121" max="5121" width="9.33203125" style="588" hidden="1" customWidth="1"/>
    <col min="5122" max="5122" width="133.5" style="588" hidden="1" customWidth="1"/>
    <col min="5123" max="5123" width="9.33203125" style="588" hidden="1" customWidth="1"/>
    <col min="5124" max="5376" width="0" style="588" hidden="1"/>
    <col min="5377" max="5377" width="9.33203125" style="588" hidden="1" customWidth="1"/>
    <col min="5378" max="5378" width="133.5" style="588" hidden="1" customWidth="1"/>
    <col min="5379" max="5379" width="9.33203125" style="588" hidden="1" customWidth="1"/>
    <col min="5380" max="5632" width="0" style="588" hidden="1"/>
    <col min="5633" max="5633" width="9.33203125" style="588" hidden="1" customWidth="1"/>
    <col min="5634" max="5634" width="133.5" style="588" hidden="1" customWidth="1"/>
    <col min="5635" max="5635" width="9.33203125" style="588" hidden="1" customWidth="1"/>
    <col min="5636" max="5888" width="0" style="588" hidden="1"/>
    <col min="5889" max="5889" width="9.33203125" style="588" hidden="1" customWidth="1"/>
    <col min="5890" max="5890" width="133.5" style="588" hidden="1" customWidth="1"/>
    <col min="5891" max="5891" width="9.33203125" style="588" hidden="1" customWidth="1"/>
    <col min="5892" max="6144" width="0" style="588" hidden="1"/>
    <col min="6145" max="6145" width="9.33203125" style="588" hidden="1" customWidth="1"/>
    <col min="6146" max="6146" width="133.5" style="588" hidden="1" customWidth="1"/>
    <col min="6147" max="6147" width="9.33203125" style="588" hidden="1" customWidth="1"/>
    <col min="6148" max="6400" width="0" style="588" hidden="1"/>
    <col min="6401" max="6401" width="9.33203125" style="588" hidden="1" customWidth="1"/>
    <col min="6402" max="6402" width="133.5" style="588" hidden="1" customWidth="1"/>
    <col min="6403" max="6403" width="9.33203125" style="588" hidden="1" customWidth="1"/>
    <col min="6404" max="6656" width="0" style="588" hidden="1"/>
    <col min="6657" max="6657" width="9.33203125" style="588" hidden="1" customWidth="1"/>
    <col min="6658" max="6658" width="133.5" style="588" hidden="1" customWidth="1"/>
    <col min="6659" max="6659" width="9.33203125" style="588" hidden="1" customWidth="1"/>
    <col min="6660" max="6912" width="0" style="588" hidden="1"/>
    <col min="6913" max="6913" width="9.33203125" style="588" hidden="1" customWidth="1"/>
    <col min="6914" max="6914" width="133.5" style="588" hidden="1" customWidth="1"/>
    <col min="6915" max="6915" width="9.33203125" style="588" hidden="1" customWidth="1"/>
    <col min="6916" max="7168" width="0" style="588" hidden="1"/>
    <col min="7169" max="7169" width="9.33203125" style="588" hidden="1" customWidth="1"/>
    <col min="7170" max="7170" width="133.5" style="588" hidden="1" customWidth="1"/>
    <col min="7171" max="7171" width="9.33203125" style="588" hidden="1" customWidth="1"/>
    <col min="7172" max="7424" width="0" style="588" hidden="1"/>
    <col min="7425" max="7425" width="9.33203125" style="588" hidden="1" customWidth="1"/>
    <col min="7426" max="7426" width="133.5" style="588" hidden="1" customWidth="1"/>
    <col min="7427" max="7427" width="9.33203125" style="588" hidden="1" customWidth="1"/>
    <col min="7428" max="7680" width="0" style="588" hidden="1"/>
    <col min="7681" max="7681" width="9.33203125" style="588" hidden="1" customWidth="1"/>
    <col min="7682" max="7682" width="133.5" style="588" hidden="1" customWidth="1"/>
    <col min="7683" max="7683" width="9.33203125" style="588" hidden="1" customWidth="1"/>
    <col min="7684" max="7936" width="0" style="588" hidden="1"/>
    <col min="7937" max="7937" width="9.33203125" style="588" hidden="1" customWidth="1"/>
    <col min="7938" max="7938" width="133.5" style="588" hidden="1" customWidth="1"/>
    <col min="7939" max="7939" width="9.33203125" style="588" hidden="1" customWidth="1"/>
    <col min="7940" max="8192" width="0" style="588" hidden="1"/>
    <col min="8193" max="8193" width="9.33203125" style="588" hidden="1" customWidth="1"/>
    <col min="8194" max="8194" width="133.5" style="588" hidden="1" customWidth="1"/>
    <col min="8195" max="8195" width="9.33203125" style="588" hidden="1" customWidth="1"/>
    <col min="8196" max="8448" width="0" style="588" hidden="1"/>
    <col min="8449" max="8449" width="9.33203125" style="588" hidden="1" customWidth="1"/>
    <col min="8450" max="8450" width="133.5" style="588" hidden="1" customWidth="1"/>
    <col min="8451" max="8451" width="9.33203125" style="588" hidden="1" customWidth="1"/>
    <col min="8452" max="8704" width="0" style="588" hidden="1"/>
    <col min="8705" max="8705" width="9.33203125" style="588" hidden="1" customWidth="1"/>
    <col min="8706" max="8706" width="133.5" style="588" hidden="1" customWidth="1"/>
    <col min="8707" max="8707" width="9.33203125" style="588" hidden="1" customWidth="1"/>
    <col min="8708" max="8960" width="0" style="588" hidden="1"/>
    <col min="8961" max="8961" width="9.33203125" style="588" hidden="1" customWidth="1"/>
    <col min="8962" max="8962" width="133.5" style="588" hidden="1" customWidth="1"/>
    <col min="8963" max="8963" width="9.33203125" style="588" hidden="1" customWidth="1"/>
    <col min="8964" max="9216" width="0" style="588" hidden="1"/>
    <col min="9217" max="9217" width="9.33203125" style="588" hidden="1" customWidth="1"/>
    <col min="9218" max="9218" width="133.5" style="588" hidden="1" customWidth="1"/>
    <col min="9219" max="9219" width="9.33203125" style="588" hidden="1" customWidth="1"/>
    <col min="9220" max="9472" width="0" style="588" hidden="1"/>
    <col min="9473" max="9473" width="9.33203125" style="588" hidden="1" customWidth="1"/>
    <col min="9474" max="9474" width="133.5" style="588" hidden="1" customWidth="1"/>
    <col min="9475" max="9475" width="9.33203125" style="588" hidden="1" customWidth="1"/>
    <col min="9476" max="9728" width="0" style="588" hidden="1"/>
    <col min="9729" max="9729" width="9.33203125" style="588" hidden="1" customWidth="1"/>
    <col min="9730" max="9730" width="133.5" style="588" hidden="1" customWidth="1"/>
    <col min="9731" max="9731" width="9.33203125" style="588" hidden="1" customWidth="1"/>
    <col min="9732" max="9984" width="0" style="588" hidden="1"/>
    <col min="9985" max="9985" width="9.33203125" style="588" hidden="1" customWidth="1"/>
    <col min="9986" max="9986" width="133.5" style="588" hidden="1" customWidth="1"/>
    <col min="9987" max="9987" width="9.33203125" style="588" hidden="1" customWidth="1"/>
    <col min="9988" max="10240" width="0" style="588" hidden="1"/>
    <col min="10241" max="10241" width="9.33203125" style="588" hidden="1" customWidth="1"/>
    <col min="10242" max="10242" width="133.5" style="588" hidden="1" customWidth="1"/>
    <col min="10243" max="10243" width="9.33203125" style="588" hidden="1" customWidth="1"/>
    <col min="10244" max="10496" width="0" style="588" hidden="1"/>
    <col min="10497" max="10497" width="9.33203125" style="588" hidden="1" customWidth="1"/>
    <col min="10498" max="10498" width="133.5" style="588" hidden="1" customWidth="1"/>
    <col min="10499" max="10499" width="9.33203125" style="588" hidden="1" customWidth="1"/>
    <col min="10500" max="10752" width="0" style="588" hidden="1"/>
    <col min="10753" max="10753" width="9.33203125" style="588" hidden="1" customWidth="1"/>
    <col min="10754" max="10754" width="133.5" style="588" hidden="1" customWidth="1"/>
    <col min="10755" max="10755" width="9.33203125" style="588" hidden="1" customWidth="1"/>
    <col min="10756" max="11008" width="0" style="588" hidden="1"/>
    <col min="11009" max="11009" width="9.33203125" style="588" hidden="1" customWidth="1"/>
    <col min="11010" max="11010" width="133.5" style="588" hidden="1" customWidth="1"/>
    <col min="11011" max="11011" width="9.33203125" style="588" hidden="1" customWidth="1"/>
    <col min="11012" max="11264" width="0" style="588" hidden="1"/>
    <col min="11265" max="11265" width="9.33203125" style="588" hidden="1" customWidth="1"/>
    <col min="11266" max="11266" width="133.5" style="588" hidden="1" customWidth="1"/>
    <col min="11267" max="11267" width="9.33203125" style="588" hidden="1" customWidth="1"/>
    <col min="11268" max="11520" width="0" style="588" hidden="1"/>
    <col min="11521" max="11521" width="9.33203125" style="588" hidden="1" customWidth="1"/>
    <col min="11522" max="11522" width="133.5" style="588" hidden="1" customWidth="1"/>
    <col min="11523" max="11523" width="9.33203125" style="588" hidden="1" customWidth="1"/>
    <col min="11524" max="11776" width="0" style="588" hidden="1"/>
    <col min="11777" max="11777" width="9.33203125" style="588" hidden="1" customWidth="1"/>
    <col min="11778" max="11778" width="133.5" style="588" hidden="1" customWidth="1"/>
    <col min="11779" max="11779" width="9.33203125" style="588" hidden="1" customWidth="1"/>
    <col min="11780" max="12032" width="0" style="588" hidden="1"/>
    <col min="12033" max="12033" width="9.33203125" style="588" hidden="1" customWidth="1"/>
    <col min="12034" max="12034" width="133.5" style="588" hidden="1" customWidth="1"/>
    <col min="12035" max="12035" width="9.33203125" style="588" hidden="1" customWidth="1"/>
    <col min="12036" max="12288" width="0" style="588" hidden="1"/>
    <col min="12289" max="12289" width="9.33203125" style="588" hidden="1" customWidth="1"/>
    <col min="12290" max="12290" width="133.5" style="588" hidden="1" customWidth="1"/>
    <col min="12291" max="12291" width="9.33203125" style="588" hidden="1" customWidth="1"/>
    <col min="12292" max="12544" width="0" style="588" hidden="1"/>
    <col min="12545" max="12545" width="9.33203125" style="588" hidden="1" customWidth="1"/>
    <col min="12546" max="12546" width="133.5" style="588" hidden="1" customWidth="1"/>
    <col min="12547" max="12547" width="9.33203125" style="588" hidden="1" customWidth="1"/>
    <col min="12548" max="12800" width="0" style="588" hidden="1"/>
    <col min="12801" max="12801" width="9.33203125" style="588" hidden="1" customWidth="1"/>
    <col min="12802" max="12802" width="133.5" style="588" hidden="1" customWidth="1"/>
    <col min="12803" max="12803" width="9.33203125" style="588" hidden="1" customWidth="1"/>
    <col min="12804" max="13056" width="0" style="588" hidden="1"/>
    <col min="13057" max="13057" width="9.33203125" style="588" hidden="1" customWidth="1"/>
    <col min="13058" max="13058" width="133.5" style="588" hidden="1" customWidth="1"/>
    <col min="13059" max="13059" width="9.33203125" style="588" hidden="1" customWidth="1"/>
    <col min="13060" max="13312" width="0" style="588" hidden="1"/>
    <col min="13313" max="13313" width="9.33203125" style="588" hidden="1" customWidth="1"/>
    <col min="13314" max="13314" width="133.5" style="588" hidden="1" customWidth="1"/>
    <col min="13315" max="13315" width="9.33203125" style="588" hidden="1" customWidth="1"/>
    <col min="13316" max="13568" width="0" style="588" hidden="1"/>
    <col min="13569" max="13569" width="9.33203125" style="588" hidden="1" customWidth="1"/>
    <col min="13570" max="13570" width="133.5" style="588" hidden="1" customWidth="1"/>
    <col min="13571" max="13571" width="9.33203125" style="588" hidden="1" customWidth="1"/>
    <col min="13572" max="13824" width="0" style="588" hidden="1"/>
    <col min="13825" max="13825" width="9.33203125" style="588" hidden="1" customWidth="1"/>
    <col min="13826" max="13826" width="133.5" style="588" hidden="1" customWidth="1"/>
    <col min="13827" max="13827" width="9.33203125" style="588" hidden="1" customWidth="1"/>
    <col min="13828" max="14080" width="0" style="588" hidden="1"/>
    <col min="14081" max="14081" width="9.33203125" style="588" hidden="1" customWidth="1"/>
    <col min="14082" max="14082" width="133.5" style="588" hidden="1" customWidth="1"/>
    <col min="14083" max="14083" width="9.33203125" style="588" hidden="1" customWidth="1"/>
    <col min="14084" max="14336" width="0" style="588" hidden="1"/>
    <col min="14337" max="14337" width="9.33203125" style="588" hidden="1" customWidth="1"/>
    <col min="14338" max="14338" width="133.5" style="588" hidden="1" customWidth="1"/>
    <col min="14339" max="14339" width="9.33203125" style="588" hidden="1" customWidth="1"/>
    <col min="14340" max="14592" width="0" style="588" hidden="1"/>
    <col min="14593" max="14593" width="9.33203125" style="588" hidden="1" customWidth="1"/>
    <col min="14594" max="14594" width="133.5" style="588" hidden="1" customWidth="1"/>
    <col min="14595" max="14595" width="9.33203125" style="588" hidden="1" customWidth="1"/>
    <col min="14596" max="14848" width="0" style="588" hidden="1"/>
    <col min="14849" max="14849" width="9.33203125" style="588" hidden="1" customWidth="1"/>
    <col min="14850" max="14850" width="133.5" style="588" hidden="1" customWidth="1"/>
    <col min="14851" max="14851" width="9.33203125" style="588" hidden="1" customWidth="1"/>
    <col min="14852" max="15104" width="0" style="588" hidden="1"/>
    <col min="15105" max="15105" width="9.33203125" style="588" hidden="1" customWidth="1"/>
    <col min="15106" max="15106" width="133.5" style="588" hidden="1" customWidth="1"/>
    <col min="15107" max="15107" width="9.33203125" style="588" hidden="1" customWidth="1"/>
    <col min="15108" max="15360" width="0" style="588" hidden="1"/>
    <col min="15361" max="15361" width="9.33203125" style="588" hidden="1" customWidth="1"/>
    <col min="15362" max="15362" width="133.5" style="588" hidden="1" customWidth="1"/>
    <col min="15363" max="15363" width="9.33203125" style="588" hidden="1" customWidth="1"/>
    <col min="15364" max="15616" width="0" style="588" hidden="1"/>
    <col min="15617" max="15617" width="9.33203125" style="588" hidden="1" customWidth="1"/>
    <col min="15618" max="15618" width="133.5" style="588" hidden="1" customWidth="1"/>
    <col min="15619" max="15619" width="9.33203125" style="588" hidden="1" customWidth="1"/>
    <col min="15620" max="15872" width="0" style="588" hidden="1"/>
    <col min="15873" max="15873" width="9.33203125" style="588" hidden="1" customWidth="1"/>
    <col min="15874" max="15874" width="133.5" style="588" hidden="1" customWidth="1"/>
    <col min="15875" max="15875" width="9.33203125" style="588" hidden="1" customWidth="1"/>
    <col min="15876" max="16128" width="0" style="588" hidden="1"/>
    <col min="16129" max="16129" width="9.33203125" style="588" hidden="1" customWidth="1"/>
    <col min="16130" max="16130" width="133.5" style="588" hidden="1" customWidth="1"/>
    <col min="16131" max="16131" width="9.33203125" style="588" hidden="1" customWidth="1"/>
    <col min="16132" max="16384" width="0" style="588" hidden="1"/>
  </cols>
  <sheetData>
    <row r="1" spans="1:3" ht="14.25">
      <c r="A1" s="587"/>
      <c r="B1" s="587"/>
      <c r="C1" s="587"/>
    </row>
    <row r="2" spans="1:3" ht="15">
      <c r="A2" s="587"/>
      <c r="B2" s="589" t="s">
        <v>655</v>
      </c>
      <c r="C2" s="587"/>
    </row>
    <row r="3" spans="1:3" ht="14.25">
      <c r="A3" s="587"/>
      <c r="B3" s="587"/>
      <c r="C3" s="587"/>
    </row>
    <row r="4" spans="1:3" ht="14.25">
      <c r="A4" s="587"/>
      <c r="B4" s="590" t="s">
        <v>650</v>
      </c>
      <c r="C4" s="590"/>
    </row>
    <row r="5" spans="1:3" ht="14.25">
      <c r="A5" s="587"/>
      <c r="B5" s="587"/>
      <c r="C5" s="587"/>
    </row>
    <row r="6" spans="1:3" ht="14.25">
      <c r="A6" s="587"/>
      <c r="B6" s="591" t="s">
        <v>651</v>
      </c>
      <c r="C6" s="587"/>
    </row>
    <row r="7" spans="1:3" ht="14.25">
      <c r="A7" s="587"/>
      <c r="B7" s="591"/>
      <c r="C7" s="587"/>
    </row>
    <row r="8" spans="1:3" ht="14.25">
      <c r="A8" s="587"/>
      <c r="B8" s="592" t="s">
        <v>652</v>
      </c>
      <c r="C8" s="587"/>
    </row>
    <row r="9" spans="1:3" ht="14.25">
      <c r="A9" s="587"/>
      <c r="B9" s="592"/>
      <c r="C9" s="587"/>
    </row>
    <row r="10" spans="1:3" ht="14.25">
      <c r="A10" s="587"/>
      <c r="B10" s="592"/>
      <c r="C10" s="587"/>
    </row>
    <row r="11" spans="1:3" ht="14.25">
      <c r="A11" s="587"/>
      <c r="B11" s="587"/>
      <c r="C11" s="587"/>
    </row>
    <row r="12" spans="1:3" ht="14.25">
      <c r="A12" s="587"/>
      <c r="B12" s="592" t="s">
        <v>653</v>
      </c>
      <c r="C12" s="587"/>
    </row>
    <row r="13" spans="1:3" ht="14.25">
      <c r="A13" s="587"/>
      <c r="B13" s="592"/>
      <c r="C13" s="587"/>
    </row>
    <row r="14" spans="1:3" ht="14.25">
      <c r="A14" s="587"/>
      <c r="B14" s="587"/>
      <c r="C14" s="587"/>
    </row>
    <row r="15" spans="1:3" ht="14.25">
      <c r="A15" s="587"/>
      <c r="B15" s="592" t="s">
        <v>654</v>
      </c>
      <c r="C15" s="587"/>
    </row>
    <row r="16" spans="1:3" ht="14.25">
      <c r="A16" s="587"/>
      <c r="B16" s="592"/>
      <c r="C16" s="587"/>
    </row>
    <row r="17" spans="1:3" ht="14.25">
      <c r="A17" s="587"/>
      <c r="B17" s="592"/>
      <c r="C17" s="587"/>
    </row>
    <row r="18" spans="1:3" ht="40.5" customHeight="1">
      <c r="A18" s="587"/>
      <c r="B18" s="590"/>
      <c r="C18" s="587"/>
    </row>
    <row r="19" spans="1:3" hidden="1"/>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9">
    <pageSetUpPr autoPageBreaks="0" fitToPage="1"/>
  </sheetPr>
  <dimension ref="A2:O54"/>
  <sheetViews>
    <sheetView showGridLines="0" showZeros="0" workbookViewId="0"/>
  </sheetViews>
  <sheetFormatPr defaultColWidth="14.83203125" defaultRowHeight="12"/>
  <cols>
    <col min="1" max="1" width="48.83203125" style="2" customWidth="1"/>
    <col min="2" max="2" width="22.83203125" style="2" customWidth="1"/>
    <col min="3" max="3" width="7.83203125" style="2" customWidth="1"/>
    <col min="4" max="4" width="15.83203125" style="2" customWidth="1"/>
    <col min="5" max="5" width="7.83203125" style="2" customWidth="1"/>
    <col min="6" max="6" width="15.83203125" style="2" customWidth="1"/>
    <col min="7" max="7" width="7.83203125" style="2" customWidth="1"/>
    <col min="8" max="8" width="12.83203125" style="2" customWidth="1"/>
    <col min="9" max="9" width="7.83203125" style="2" customWidth="1"/>
    <col min="10" max="10" width="15.83203125" style="2" customWidth="1"/>
    <col min="11" max="11" width="8.83203125" style="2" customWidth="1"/>
    <col min="12" max="12" width="5.83203125" style="2" customWidth="1"/>
    <col min="13" max="13" width="45.6640625" style="2" hidden="1" customWidth="1"/>
    <col min="14" max="17" width="0" style="2" hidden="1" customWidth="1"/>
    <col min="18" max="16384" width="14.83203125" style="2"/>
  </cols>
  <sheetData>
    <row r="2" spans="1:14">
      <c r="A2" s="39"/>
      <c r="B2" s="39"/>
      <c r="C2" s="40" t="str">
        <f>OPYEAR</f>
        <v>OPERATING FUND 2015/2016 ACTUAL</v>
      </c>
      <c r="D2" s="40"/>
      <c r="E2" s="40"/>
      <c r="F2" s="41"/>
      <c r="G2" s="41"/>
      <c r="H2" s="41"/>
      <c r="I2" s="41"/>
      <c r="J2" s="42"/>
      <c r="K2" s="111" t="s">
        <v>77</v>
      </c>
    </row>
    <row r="3" spans="1:14" ht="11.1" customHeight="1">
      <c r="A3" s="540"/>
      <c r="J3" s="80"/>
      <c r="K3" s="80"/>
    </row>
    <row r="4" spans="1:14" ht="15.75">
      <c r="B4" s="281" t="s">
        <v>258</v>
      </c>
      <c r="C4" s="80"/>
      <c r="D4" s="80"/>
      <c r="E4" s="80"/>
      <c r="F4" s="80"/>
      <c r="G4" s="80"/>
      <c r="H4" s="80"/>
      <c r="I4" s="80"/>
      <c r="J4" s="80"/>
      <c r="K4" s="80"/>
    </row>
    <row r="5" spans="1:14" ht="15.75">
      <c r="B5" s="281" t="s">
        <v>259</v>
      </c>
      <c r="C5" s="80"/>
      <c r="D5" s="80"/>
      <c r="E5" s="80"/>
      <c r="F5" s="80"/>
      <c r="G5" s="80"/>
      <c r="H5" s="80"/>
      <c r="I5" s="80"/>
      <c r="J5" s="80"/>
      <c r="K5" s="80"/>
    </row>
    <row r="6" spans="1:14" ht="11.1" customHeight="1"/>
    <row r="7" spans="1:14">
      <c r="B7" s="112" t="s">
        <v>78</v>
      </c>
      <c r="C7" s="41"/>
      <c r="D7" s="41"/>
      <c r="E7" s="41"/>
      <c r="F7" s="41"/>
      <c r="G7" s="41"/>
      <c r="H7" s="41"/>
      <c r="I7" s="113"/>
    </row>
    <row r="8" spans="1:14">
      <c r="A8" s="8"/>
      <c r="B8" s="647" t="s">
        <v>472</v>
      </c>
      <c r="C8" s="644"/>
      <c r="D8" s="647" t="s">
        <v>75</v>
      </c>
      <c r="E8" s="644"/>
      <c r="F8" s="647" t="s">
        <v>76</v>
      </c>
      <c r="G8" s="644"/>
      <c r="H8" s="312"/>
      <c r="I8" s="307"/>
      <c r="J8" s="317"/>
      <c r="K8" s="307"/>
    </row>
    <row r="9" spans="1:14">
      <c r="A9" s="8"/>
      <c r="B9" s="645"/>
      <c r="C9" s="646"/>
      <c r="D9" s="645"/>
      <c r="E9" s="646"/>
      <c r="F9" s="645"/>
      <c r="G9" s="646"/>
      <c r="H9" s="648" t="s">
        <v>30</v>
      </c>
      <c r="I9" s="649"/>
      <c r="J9" s="648" t="s">
        <v>31</v>
      </c>
      <c r="K9" s="649"/>
    </row>
    <row r="10" spans="1:14">
      <c r="A10" s="114" t="s">
        <v>71</v>
      </c>
      <c r="B10" s="115" t="s">
        <v>43</v>
      </c>
      <c r="C10" s="115" t="s">
        <v>44</v>
      </c>
      <c r="D10" s="115" t="s">
        <v>43</v>
      </c>
      <c r="E10" s="115" t="s">
        <v>44</v>
      </c>
      <c r="F10" s="115" t="s">
        <v>43</v>
      </c>
      <c r="G10" s="115" t="s">
        <v>44</v>
      </c>
      <c r="H10" s="115" t="s">
        <v>43</v>
      </c>
      <c r="I10" s="46" t="s">
        <v>44</v>
      </c>
      <c r="J10" s="115" t="s">
        <v>43</v>
      </c>
      <c r="K10" s="46" t="s">
        <v>44</v>
      </c>
    </row>
    <row r="11" spans="1:14" ht="5.0999999999999996" customHeight="1"/>
    <row r="12" spans="1:14">
      <c r="A12" s="314" t="s">
        <v>72</v>
      </c>
      <c r="B12" s="117"/>
      <c r="C12" s="118"/>
      <c r="D12" s="117"/>
      <c r="E12" s="118"/>
      <c r="F12" s="117"/>
      <c r="G12" s="118"/>
      <c r="H12" s="117"/>
      <c r="I12" s="118"/>
      <c r="J12" s="117"/>
      <c r="K12" s="118"/>
      <c r="M12" s="2" t="s">
        <v>72</v>
      </c>
      <c r="N12" s="131">
        <f>K21/100</f>
        <v>0.76563304870061277</v>
      </c>
    </row>
    <row r="13" spans="1:14">
      <c r="A13" s="119" t="s">
        <v>190</v>
      </c>
      <c r="B13" s="120"/>
      <c r="C13" s="340"/>
      <c r="D13" s="120"/>
      <c r="E13" s="340"/>
      <c r="F13" s="120"/>
      <c r="G13" s="340"/>
      <c r="H13" s="120"/>
      <c r="I13" s="340"/>
      <c r="J13" s="120">
        <f>SUM(F13,D13,B13,'- 12 -'!J13,'- 12 -'!H13,'- 12 -'!F13,'- 12 -'!D13,'- 12 -'!B13)</f>
        <v>4023450</v>
      </c>
      <c r="K13" s="340">
        <f t="shared" ref="K13:K22" si="0">J13/$J$53*100</f>
        <v>0.18160434252482585</v>
      </c>
      <c r="M13" s="2" t="s">
        <v>89</v>
      </c>
      <c r="N13" s="131">
        <f>K22/100</f>
        <v>6.493950616470992E-2</v>
      </c>
    </row>
    <row r="14" spans="1:14">
      <c r="A14" s="119" t="s">
        <v>226</v>
      </c>
      <c r="B14" s="120">
        <v>3196994</v>
      </c>
      <c r="C14" s="340">
        <f>B14/$J$53*100</f>
        <v>0.14430103354728233</v>
      </c>
      <c r="D14" s="120">
        <v>2928952</v>
      </c>
      <c r="E14" s="340">
        <f>D14/$J$53*100</f>
        <v>0.1322025630358955</v>
      </c>
      <c r="F14" s="120">
        <v>4785372</v>
      </c>
      <c r="G14" s="340">
        <f>F14/$J$53*100</f>
        <v>0.21599481435005058</v>
      </c>
      <c r="H14" s="120"/>
      <c r="I14" s="340"/>
      <c r="J14" s="120">
        <f>SUM(F14,D14,B14,'- 12 -'!J14,'- 12 -'!H14,'- 12 -'!F14,'- 12 -'!D14,'- 12 -'!B14)</f>
        <v>131326020</v>
      </c>
      <c r="K14" s="340">
        <f t="shared" si="0"/>
        <v>5.9275933635318276</v>
      </c>
      <c r="M14" s="2" t="s">
        <v>67</v>
      </c>
      <c r="N14" s="131">
        <f>K39/100</f>
        <v>8.9886502077158592E-2</v>
      </c>
    </row>
    <row r="15" spans="1:14">
      <c r="A15" s="119" t="s">
        <v>191</v>
      </c>
      <c r="B15" s="120">
        <v>25416842</v>
      </c>
      <c r="C15" s="340">
        <f>B15/$J$53*100</f>
        <v>1.1472266041500156</v>
      </c>
      <c r="D15" s="120"/>
      <c r="E15" s="340">
        <f>D15/$J$53*100</f>
        <v>0</v>
      </c>
      <c r="F15" s="120"/>
      <c r="G15" s="340">
        <f>F15/$J$53*100</f>
        <v>0</v>
      </c>
      <c r="H15" s="120"/>
      <c r="I15" s="340"/>
      <c r="J15" s="120">
        <f>SUM(F15,D15,B15,'- 12 -'!J15,'- 12 -'!H15,'- 12 -'!F15,'- 12 -'!D15,'- 12 -'!B15)</f>
        <v>1082821583</v>
      </c>
      <c r="K15" s="340">
        <f t="shared" si="0"/>
        <v>48.874747207597004</v>
      </c>
      <c r="M15" s="2" t="s">
        <v>90</v>
      </c>
      <c r="N15" s="131">
        <f>K45/100</f>
        <v>6.2555331307176013E-2</v>
      </c>
    </row>
    <row r="16" spans="1:14">
      <c r="A16" s="119" t="s">
        <v>192</v>
      </c>
      <c r="B16" s="120">
        <v>14654989</v>
      </c>
      <c r="C16" s="340">
        <f>B16/$J$53*100</f>
        <v>0.66147451616238684</v>
      </c>
      <c r="D16" s="120">
        <v>310036</v>
      </c>
      <c r="E16" s="340">
        <f>D16/$J$53*100</f>
        <v>1.3993931560980478E-2</v>
      </c>
      <c r="F16" s="120"/>
      <c r="G16" s="340">
        <f>F16/$J$53*100</f>
        <v>0</v>
      </c>
      <c r="H16" s="120"/>
      <c r="I16" s="340"/>
      <c r="J16" s="120">
        <f>SUM(F16,D16,B16,'- 12 -'!J16,'- 12 -'!H16,'- 12 -'!F16,'- 12 -'!D16,'- 12 -'!B16)</f>
        <v>198184543</v>
      </c>
      <c r="K16" s="340">
        <f t="shared" si="0"/>
        <v>8.9453512856126149</v>
      </c>
      <c r="M16" s="2" t="s">
        <v>37</v>
      </c>
      <c r="N16" s="131">
        <f>K48/100</f>
        <v>8.1399521740882497E-4</v>
      </c>
    </row>
    <row r="17" spans="1:15">
      <c r="A17" s="119" t="s">
        <v>193</v>
      </c>
      <c r="B17" s="120">
        <v>3868887</v>
      </c>
      <c r="C17" s="340">
        <f>B17/$J$53*100</f>
        <v>0.17462791383957696</v>
      </c>
      <c r="D17" s="120">
        <v>40970413</v>
      </c>
      <c r="E17" s="340">
        <f>D17/$J$53*100</f>
        <v>1.8492599425457203</v>
      </c>
      <c r="F17" s="120">
        <v>105822131</v>
      </c>
      <c r="G17" s="340">
        <f>F17/$J$53*100</f>
        <v>4.7764377648115408</v>
      </c>
      <c r="H17" s="120"/>
      <c r="I17" s="340"/>
      <c r="J17" s="120">
        <f>SUM(F17,D17,B17,'- 12 -'!J17,'- 12 -'!H17,'- 12 -'!F17,'- 12 -'!D17,'- 12 -'!B17)</f>
        <v>166548707</v>
      </c>
      <c r="K17" s="340">
        <f t="shared" si="0"/>
        <v>7.5174212263343314</v>
      </c>
      <c r="M17" s="2" t="s">
        <v>47</v>
      </c>
      <c r="N17" s="131">
        <f>K51/100-N16</f>
        <v>1.6171616532933818E-2</v>
      </c>
    </row>
    <row r="18" spans="1:15">
      <c r="A18" s="121" t="s">
        <v>194</v>
      </c>
      <c r="B18" s="120">
        <v>2059133</v>
      </c>
      <c r="C18" s="340">
        <f>B18/$J$53*100</f>
        <v>9.2942001177142061E-2</v>
      </c>
      <c r="D18" s="120">
        <v>1651322</v>
      </c>
      <c r="E18" s="340">
        <f>D18/$J$53*100</f>
        <v>7.4534850962924976E-2</v>
      </c>
      <c r="F18" s="120">
        <v>1740661</v>
      </c>
      <c r="G18" s="340">
        <f>F18/$J$53*100</f>
        <v>7.8567298329445104E-2</v>
      </c>
      <c r="H18" s="120"/>
      <c r="I18" s="340"/>
      <c r="J18" s="120">
        <f>SUM(F18,D18,B18,'- 12 -'!J18,'- 12 -'!H18,'- 12 -'!F18,'- 12 -'!D18,'- 12 -'!B18)</f>
        <v>61938052</v>
      </c>
      <c r="K18" s="340">
        <f t="shared" si="0"/>
        <v>2.7956652153570882</v>
      </c>
      <c r="N18" s="131"/>
    </row>
    <row r="19" spans="1:15">
      <c r="A19" s="121" t="s">
        <v>195</v>
      </c>
      <c r="B19" s="122"/>
      <c r="C19" s="341"/>
      <c r="D19" s="122"/>
      <c r="E19" s="341"/>
      <c r="F19" s="122"/>
      <c r="G19" s="341"/>
      <c r="H19" s="122"/>
      <c r="I19" s="341"/>
      <c r="J19" s="122">
        <f>SUM(F19,D19,B19,'- 12 -'!J19,'- 12 -'!H19,'- 12 -'!F19,'- 12 -'!D19,'- 12 -'!B19)</f>
        <v>35543245</v>
      </c>
      <c r="K19" s="341">
        <f t="shared" si="0"/>
        <v>1.6042967203329987</v>
      </c>
      <c r="N19" s="131">
        <f>SUM(N12:N17)</f>
        <v>1</v>
      </c>
    </row>
    <row r="20" spans="1:15">
      <c r="A20" s="124" t="s">
        <v>196</v>
      </c>
      <c r="B20" s="123">
        <v>397568</v>
      </c>
      <c r="C20" s="341">
        <f>B20/'- 13 -'!$J$53*100</f>
        <v>1.7944817320684977E-2</v>
      </c>
      <c r="D20" s="123">
        <v>0</v>
      </c>
      <c r="E20" s="341">
        <f>D20/'- 13 -'!$J$53*100</f>
        <v>0</v>
      </c>
      <c r="F20" s="123">
        <v>0</v>
      </c>
      <c r="G20" s="341">
        <f>F20/'- 13 -'!$J$53*100</f>
        <v>0</v>
      </c>
      <c r="H20" s="123"/>
      <c r="I20" s="341"/>
      <c r="J20" s="123">
        <f>SUM(F20,D20,B20,'- 12 -'!J20,'- 12 -'!H20,'- 12 -'!F20,'- 12 -'!D20,'- 12 -'!B20)</f>
        <v>15876861</v>
      </c>
      <c r="K20" s="341">
        <f t="shared" si="0"/>
        <v>0.71662550877059461</v>
      </c>
      <c r="N20" s="131"/>
    </row>
    <row r="21" spans="1:15">
      <c r="A21" s="125" t="s">
        <v>197</v>
      </c>
      <c r="B21" s="343">
        <f>SUM(B13:B20)</f>
        <v>49594413</v>
      </c>
      <c r="C21" s="344">
        <f>B21/$J$53*100</f>
        <v>2.2385168861970888</v>
      </c>
      <c r="D21" s="343">
        <f>SUM(D13:D20)</f>
        <v>45860723</v>
      </c>
      <c r="E21" s="344">
        <f>D21/$J$53*100</f>
        <v>2.0699912881055211</v>
      </c>
      <c r="F21" s="343">
        <f>SUM(F13:F20)</f>
        <v>112348164</v>
      </c>
      <c r="G21" s="344">
        <f>F21/$J$53*100</f>
        <v>5.0709998774910368</v>
      </c>
      <c r="H21" s="343"/>
      <c r="I21" s="344"/>
      <c r="J21" s="343">
        <f>SUM(F21,D21,B21,'- 12 -'!J21,'- 12 -'!H21,'- 12 -'!F21,'- 12 -'!D21,'- 12 -'!B21)</f>
        <v>1696262461</v>
      </c>
      <c r="K21" s="344">
        <f t="shared" si="0"/>
        <v>76.563304870061273</v>
      </c>
      <c r="N21" s="131"/>
    </row>
    <row r="22" spans="1:15">
      <c r="A22" s="314" t="s">
        <v>80</v>
      </c>
      <c r="B22" s="343">
        <v>4861414</v>
      </c>
      <c r="C22" s="344">
        <f>B22/$J$53*100</f>
        <v>0.21942708203431974</v>
      </c>
      <c r="D22" s="343">
        <v>6893380</v>
      </c>
      <c r="E22" s="344">
        <f>D22/$J$53*100</f>
        <v>0.3111428606478977</v>
      </c>
      <c r="F22" s="343">
        <v>19076386</v>
      </c>
      <c r="G22" s="344">
        <f>F22/$J$53*100</f>
        <v>0.86104078273118656</v>
      </c>
      <c r="H22" s="343"/>
      <c r="I22" s="344"/>
      <c r="J22" s="343">
        <f>SUM(F22,D22,B22,'- 12 -'!J22,'- 12 -'!H22,'- 12 -'!F22,'- 12 -'!D22,'- 12 -'!B22)</f>
        <v>143873683</v>
      </c>
      <c r="K22" s="344">
        <f t="shared" si="0"/>
        <v>6.4939506164709924</v>
      </c>
    </row>
    <row r="23" spans="1:15">
      <c r="A23" s="314" t="s">
        <v>67</v>
      </c>
      <c r="B23" s="128"/>
      <c r="C23" s="342"/>
      <c r="D23" s="128"/>
      <c r="E23" s="342"/>
      <c r="F23" s="128"/>
      <c r="G23" s="342"/>
      <c r="H23" s="128"/>
      <c r="I23" s="342"/>
      <c r="J23" s="128"/>
      <c r="K23" s="342"/>
      <c r="M23" s="2" t="s">
        <v>26</v>
      </c>
      <c r="N23" s="131">
        <f>'- 12 -'!C50/100</f>
        <v>0.55765669899922676</v>
      </c>
      <c r="O23" s="2" t="s">
        <v>26</v>
      </c>
    </row>
    <row r="24" spans="1:15">
      <c r="A24" s="121" t="s">
        <v>198</v>
      </c>
      <c r="B24" s="120">
        <v>1917119</v>
      </c>
      <c r="C24" s="340">
        <f t="shared" ref="C24:C34" si="1">B24/$J$53*100</f>
        <v>8.6531990092296826E-2</v>
      </c>
      <c r="D24" s="120">
        <v>455556</v>
      </c>
      <c r="E24" s="340">
        <f t="shared" ref="E24:E34" si="2">D24/$J$53*100</f>
        <v>2.0562191120366741E-2</v>
      </c>
      <c r="F24" s="120">
        <v>5532734</v>
      </c>
      <c r="G24" s="340">
        <f t="shared" ref="G24:G34" si="3">F24/$J$53*100</f>
        <v>0.2497280991275522</v>
      </c>
      <c r="H24" s="120"/>
      <c r="I24" s="340"/>
      <c r="J24" s="120">
        <f>SUM(F24,D24,B24,'- 12 -'!J24,'- 12 -'!H24,'- 12 -'!F24,'- 12 -'!D24,'- 12 -'!B24)</f>
        <v>27255454</v>
      </c>
      <c r="K24" s="340">
        <f t="shared" ref="K24:K39" si="4">J24/$J$53*100</f>
        <v>1.2302150651519554</v>
      </c>
      <c r="M24" s="2" t="s">
        <v>27</v>
      </c>
      <c r="N24" s="131">
        <f>'- 12 -'!E50/100</f>
        <v>0.18436048660546522</v>
      </c>
      <c r="O24" s="2" t="s">
        <v>260</v>
      </c>
    </row>
    <row r="25" spans="1:15">
      <c r="A25" s="121" t="s">
        <v>199</v>
      </c>
      <c r="B25" s="122">
        <v>141522</v>
      </c>
      <c r="C25" s="341">
        <f t="shared" si="1"/>
        <v>6.3878039401007603E-3</v>
      </c>
      <c r="D25" s="122">
        <v>305545</v>
      </c>
      <c r="E25" s="341">
        <f t="shared" si="2"/>
        <v>1.3791223660477431E-2</v>
      </c>
      <c r="F25" s="122">
        <v>619704</v>
      </c>
      <c r="G25" s="341">
        <f t="shared" si="3"/>
        <v>2.7971252899875652E-2</v>
      </c>
      <c r="H25" s="122"/>
      <c r="I25" s="341"/>
      <c r="J25" s="122">
        <f>SUM(F25,D25,B25,'- 12 -'!J25,'- 12 -'!H25,'- 12 -'!F25,'- 12 -'!D25,'- 12 -'!B25)</f>
        <v>6931444</v>
      </c>
      <c r="K25" s="341">
        <f t="shared" si="4"/>
        <v>0.31286093535837378</v>
      </c>
      <c r="M25" s="2" t="s">
        <v>106</v>
      </c>
      <c r="N25" s="131">
        <f>'- 12 -'!G50/100</f>
        <v>4.6318732696710189E-3</v>
      </c>
      <c r="O25" s="2" t="s">
        <v>106</v>
      </c>
    </row>
    <row r="26" spans="1:15">
      <c r="A26" s="121" t="s">
        <v>200</v>
      </c>
      <c r="B26" s="122"/>
      <c r="C26" s="341">
        <f t="shared" si="1"/>
        <v>0</v>
      </c>
      <c r="D26" s="122"/>
      <c r="E26" s="341">
        <f t="shared" si="2"/>
        <v>0</v>
      </c>
      <c r="F26" s="122">
        <v>41057644</v>
      </c>
      <c r="G26" s="341">
        <f t="shared" si="3"/>
        <v>1.8531972422270344</v>
      </c>
      <c r="H26" s="122"/>
      <c r="I26" s="341"/>
      <c r="J26" s="122">
        <f>SUM(F26,D26,B26,'- 12 -'!J26,'- 12 -'!H26,'- 12 -'!F26,'- 12 -'!D26,'- 12 -'!B26)</f>
        <v>41105576</v>
      </c>
      <c r="K26" s="341">
        <f t="shared" si="4"/>
        <v>1.8553607236536456</v>
      </c>
      <c r="L26" s="641" t="s">
        <v>107</v>
      </c>
      <c r="M26" s="2" t="s">
        <v>28</v>
      </c>
      <c r="N26" s="131">
        <f>'- 12 -'!I50/100</f>
        <v>1.0736332548786054E-2</v>
      </c>
      <c r="O26" s="2" t="s">
        <v>28</v>
      </c>
    </row>
    <row r="27" spans="1:15" ht="12.75" customHeight="1">
      <c r="A27" s="121" t="s">
        <v>222</v>
      </c>
      <c r="B27" s="122">
        <v>988259</v>
      </c>
      <c r="C27" s="341">
        <f t="shared" si="1"/>
        <v>4.460652572773164E-2</v>
      </c>
      <c r="D27" s="122">
        <v>1231801</v>
      </c>
      <c r="E27" s="341">
        <f t="shared" si="2"/>
        <v>5.5599152649199825E-2</v>
      </c>
      <c r="F27" s="122">
        <v>787078</v>
      </c>
      <c r="G27" s="341">
        <f t="shared" si="3"/>
        <v>3.5525924941469354E-2</v>
      </c>
      <c r="H27" s="122"/>
      <c r="I27" s="341"/>
      <c r="J27" s="122">
        <f>SUM(F27,D27,B27,'- 12 -'!J27,'- 12 -'!H27,'- 12 -'!F27,'- 12 -'!D27,'- 12 -'!B27)</f>
        <v>11336233</v>
      </c>
      <c r="K27" s="341">
        <f t="shared" si="4"/>
        <v>0.51167757538262792</v>
      </c>
      <c r="L27" s="642"/>
      <c r="M27" s="2" t="s">
        <v>93</v>
      </c>
      <c r="N27" s="131">
        <f>'- 12 -'!K50/100</f>
        <v>3.4712741729210843E-2</v>
      </c>
      <c r="O27" s="2" t="s">
        <v>93</v>
      </c>
    </row>
    <row r="28" spans="1:15" ht="12.75" customHeight="1">
      <c r="A28" s="121" t="s">
        <v>201</v>
      </c>
      <c r="B28" s="122"/>
      <c r="C28" s="341">
        <f t="shared" si="1"/>
        <v>0</v>
      </c>
      <c r="D28" s="122">
        <v>17941712</v>
      </c>
      <c r="E28" s="341">
        <f t="shared" si="2"/>
        <v>0.80982560030068185</v>
      </c>
      <c r="F28" s="122"/>
      <c r="G28" s="341">
        <f t="shared" si="3"/>
        <v>0</v>
      </c>
      <c r="H28" s="122"/>
      <c r="I28" s="341"/>
      <c r="J28" s="122">
        <f>SUM(F28,D28,B28,'- 12 -'!J28,'- 12 -'!H28,'- 12 -'!F28,'- 12 -'!D28,'- 12 -'!B28)</f>
        <v>17941712</v>
      </c>
      <c r="K28" s="341">
        <f t="shared" si="4"/>
        <v>0.80982560030068185</v>
      </c>
      <c r="L28" s="642"/>
      <c r="M28" s="2" t="s">
        <v>92</v>
      </c>
      <c r="N28" s="131">
        <f>C53/100</f>
        <v>3.3766451509269303E-2</v>
      </c>
      <c r="O28" s="2" t="s">
        <v>92</v>
      </c>
    </row>
    <row r="29" spans="1:15" ht="12.75" customHeight="1">
      <c r="A29" s="121" t="s">
        <v>202</v>
      </c>
      <c r="B29" s="122">
        <v>8090</v>
      </c>
      <c r="C29" s="341">
        <f t="shared" si="1"/>
        <v>3.6515406703844741E-4</v>
      </c>
      <c r="D29" s="122"/>
      <c r="E29" s="341">
        <f t="shared" si="2"/>
        <v>0</v>
      </c>
      <c r="F29" s="122"/>
      <c r="G29" s="341">
        <f t="shared" si="3"/>
        <v>0</v>
      </c>
      <c r="H29" s="122"/>
      <c r="I29" s="341"/>
      <c r="J29" s="122">
        <f>SUM(F29,D29,B29,'- 12 -'!J29,'- 12 -'!H29,'- 12 -'!F29,'- 12 -'!D29,'- 12 -'!B29)</f>
        <v>1703255</v>
      </c>
      <c r="K29" s="341">
        <f t="shared" si="4"/>
        <v>7.6878923418241124E-2</v>
      </c>
      <c r="M29" s="2" t="s">
        <v>75</v>
      </c>
      <c r="N29" s="131">
        <f>E53/100</f>
        <v>4.2734274303949105E-2</v>
      </c>
      <c r="O29" s="2" t="s">
        <v>75</v>
      </c>
    </row>
    <row r="30" spans="1:15" ht="12.75" customHeight="1">
      <c r="A30" s="121" t="s">
        <v>203</v>
      </c>
      <c r="B30" s="122">
        <v>36973</v>
      </c>
      <c r="C30" s="341">
        <f t="shared" si="1"/>
        <v>1.6688308183699029E-3</v>
      </c>
      <c r="D30" s="122">
        <v>5029</v>
      </c>
      <c r="E30" s="341">
        <f t="shared" si="2"/>
        <v>2.2699132300820174E-4</v>
      </c>
      <c r="F30" s="122">
        <v>6222</v>
      </c>
      <c r="G30" s="341">
        <f t="shared" si="3"/>
        <v>2.8083913536628178E-4</v>
      </c>
      <c r="H30" s="122"/>
      <c r="I30" s="341"/>
      <c r="J30" s="122">
        <f>SUM(F30,D30,B30,'- 12 -'!J30,'- 12 -'!H30,'- 12 -'!F30,'- 12 -'!D30,'- 12 -'!B30)</f>
        <v>815381</v>
      </c>
      <c r="K30" s="341">
        <f t="shared" si="4"/>
        <v>3.6803422538427229E-2</v>
      </c>
      <c r="M30" s="2" t="s">
        <v>91</v>
      </c>
      <c r="N30" s="131">
        <f>G53/100</f>
        <v>0.11441552928407903</v>
      </c>
      <c r="O30" s="2" t="s">
        <v>91</v>
      </c>
    </row>
    <row r="31" spans="1:15" ht="12.75" customHeight="1">
      <c r="A31" s="121" t="s">
        <v>204</v>
      </c>
      <c r="B31" s="122">
        <v>84032</v>
      </c>
      <c r="C31" s="341">
        <f t="shared" si="1"/>
        <v>3.7929081040018308E-3</v>
      </c>
      <c r="D31" s="122">
        <v>1090694</v>
      </c>
      <c r="E31" s="341">
        <f t="shared" si="2"/>
        <v>4.9230080345418085E-2</v>
      </c>
      <c r="F31" s="122">
        <v>8354820</v>
      </c>
      <c r="G31" s="341">
        <f t="shared" si="3"/>
        <v>0.37710710783364165</v>
      </c>
      <c r="H31" s="122"/>
      <c r="I31" s="341"/>
      <c r="J31" s="122">
        <f>SUM(F31,D31,B31,'- 12 -'!J31,'- 12 -'!H31,'- 12 -'!F31,'- 12 -'!D31,'- 12 -'!B31)</f>
        <v>11256407</v>
      </c>
      <c r="K31" s="341">
        <f t="shared" si="4"/>
        <v>0.50807451128430758</v>
      </c>
      <c r="M31" s="2" t="s">
        <v>30</v>
      </c>
      <c r="N31" s="131">
        <f>I53/100</f>
        <v>1.6985611750342643E-2</v>
      </c>
      <c r="O31" s="2" t="s">
        <v>30</v>
      </c>
    </row>
    <row r="32" spans="1:15">
      <c r="A32" s="121" t="s">
        <v>205</v>
      </c>
      <c r="B32" s="122">
        <v>113121</v>
      </c>
      <c r="C32" s="341">
        <f t="shared" si="1"/>
        <v>5.1058829687832151E-3</v>
      </c>
      <c r="D32" s="122">
        <v>2793067</v>
      </c>
      <c r="E32" s="341">
        <f t="shared" si="2"/>
        <v>0.12606919339442213</v>
      </c>
      <c r="F32" s="122">
        <v>31378897</v>
      </c>
      <c r="G32" s="341">
        <f t="shared" si="3"/>
        <v>1.4163327390272604</v>
      </c>
      <c r="H32" s="122"/>
      <c r="I32" s="341"/>
      <c r="J32" s="122">
        <f>SUM(F32,D32,B32,'- 12 -'!J32,'- 12 -'!H32,'- 12 -'!F32,'- 12 -'!D32,'- 12 -'!B32)</f>
        <v>37472948</v>
      </c>
      <c r="K32" s="341">
        <f t="shared" si="4"/>
        <v>1.6913967078022563</v>
      </c>
      <c r="N32" s="131"/>
    </row>
    <row r="33" spans="1:14">
      <c r="A33" s="121" t="s">
        <v>206</v>
      </c>
      <c r="B33" s="122">
        <v>260446</v>
      </c>
      <c r="C33" s="341">
        <f t="shared" si="1"/>
        <v>1.1755613862038996E-2</v>
      </c>
      <c r="D33" s="122">
        <v>930000</v>
      </c>
      <c r="E33" s="341">
        <f t="shared" si="2"/>
        <v>4.1976919943851186E-2</v>
      </c>
      <c r="F33" s="122">
        <v>2536331</v>
      </c>
      <c r="G33" s="341">
        <f t="shared" si="3"/>
        <v>0.11448103584742798</v>
      </c>
      <c r="H33" s="122"/>
      <c r="I33" s="341"/>
      <c r="J33" s="122">
        <f>SUM(F33,D33,B33,'- 12 -'!J33,'- 12 -'!H33,'- 12 -'!F33,'- 12 -'!D33,'- 12 -'!B33)</f>
        <v>7848973</v>
      </c>
      <c r="K33" s="341">
        <f t="shared" si="4"/>
        <v>0.35427495834671985</v>
      </c>
      <c r="N33" s="131">
        <f>SUM(N23:N31)</f>
        <v>0.99999999999999989</v>
      </c>
    </row>
    <row r="34" spans="1:14">
      <c r="A34" s="393" t="s">
        <v>247</v>
      </c>
      <c r="B34" s="122"/>
      <c r="C34" s="341">
        <f t="shared" si="1"/>
        <v>0</v>
      </c>
      <c r="D34" s="122"/>
      <c r="E34" s="341">
        <f t="shared" si="2"/>
        <v>0</v>
      </c>
      <c r="F34" s="122">
        <v>5346697</v>
      </c>
      <c r="G34" s="341">
        <f t="shared" si="3"/>
        <v>0.2413310450892788</v>
      </c>
      <c r="H34" s="122"/>
      <c r="I34" s="341"/>
      <c r="J34" s="122">
        <f>SUM(F34,D34,B34,'- 12 -'!J34,'- 12 -'!H34,'- 12 -'!F34,'- 12 -'!D34,'- 12 -'!B34)</f>
        <v>5350089</v>
      </c>
      <c r="K34" s="341">
        <f t="shared" si="4"/>
        <v>0.24148414800589124</v>
      </c>
    </row>
    <row r="35" spans="1:14">
      <c r="A35" s="121" t="s">
        <v>207</v>
      </c>
      <c r="B35" s="122">
        <v>24413</v>
      </c>
      <c r="C35" s="341">
        <f>B35/J53</f>
        <v>1.1019167167626225E-5</v>
      </c>
      <c r="D35" s="122">
        <v>35681</v>
      </c>
      <c r="E35" s="341">
        <f>D35/J53</f>
        <v>1.6105144951790905E-5</v>
      </c>
      <c r="F35" s="122">
        <v>52826</v>
      </c>
      <c r="G35" s="341">
        <f>F35/J53</f>
        <v>2.3843793257568629E-5</v>
      </c>
      <c r="H35" s="122"/>
      <c r="I35" s="341"/>
      <c r="J35" s="122">
        <f>SUM(F35,D35,B35,'- 12 -'!J35,'- 12 -'!H35,'- 12 -'!F35,'- 12 -'!D35,'- 12 -'!B35)</f>
        <v>1370824</v>
      </c>
      <c r="K35" s="341">
        <f t="shared" si="4"/>
        <v>6.187416054312888E-2</v>
      </c>
    </row>
    <row r="36" spans="1:14">
      <c r="A36" s="121" t="s">
        <v>208</v>
      </c>
      <c r="B36" s="122">
        <v>218493</v>
      </c>
      <c r="C36" s="341">
        <f>B36/$J$53*100</f>
        <v>9.8620034078407276E-3</v>
      </c>
      <c r="D36" s="122">
        <v>49610</v>
      </c>
      <c r="E36" s="341">
        <f>D36/$J$53*100</f>
        <v>2.2392204284026425E-3</v>
      </c>
      <c r="F36" s="122">
        <v>82828</v>
      </c>
      <c r="G36" s="341">
        <f>F36/$J$53*100</f>
        <v>3.7385637904401138E-3</v>
      </c>
      <c r="H36" s="122"/>
      <c r="I36" s="341"/>
      <c r="J36" s="122">
        <f>SUM(F36,D36,B36,'- 12 -'!J36,'- 12 -'!H36,'- 12 -'!F36,'- 12 -'!D36,'- 12 -'!B36)</f>
        <v>4248888</v>
      </c>
      <c r="K36" s="341">
        <f t="shared" si="4"/>
        <v>0.19177981873805375</v>
      </c>
    </row>
    <row r="37" spans="1:14">
      <c r="A37" s="126" t="s">
        <v>209</v>
      </c>
      <c r="B37" s="122">
        <v>8514447</v>
      </c>
      <c r="C37" s="341">
        <f>B37/'- 13 -'!$J$53*100</f>
        <v>0.3843121076184558</v>
      </c>
      <c r="D37" s="122">
        <v>209754</v>
      </c>
      <c r="E37" s="341">
        <f>D37/'- 13 -'!$J$53*100</f>
        <v>9.4675557697876996E-3</v>
      </c>
      <c r="F37" s="122">
        <v>207199</v>
      </c>
      <c r="G37" s="341">
        <f>F37/'- 13 -'!$J$53*100</f>
        <v>9.3522320811247547E-3</v>
      </c>
      <c r="H37" s="122"/>
      <c r="I37" s="341"/>
      <c r="J37" s="122">
        <f>SUM(F37,D37,B37,'- 12 -'!J37,'- 12 -'!H37,'- 12 -'!F37,'- 12 -'!D37,'- 12 -'!B37)</f>
        <v>11000403</v>
      </c>
      <c r="K37" s="341">
        <f t="shared" si="4"/>
        <v>0.49651939363559189</v>
      </c>
    </row>
    <row r="38" spans="1:14">
      <c r="A38" s="127" t="s">
        <v>210</v>
      </c>
      <c r="B38" s="122">
        <v>558367</v>
      </c>
      <c r="C38" s="341">
        <f>B38/$J$53*100</f>
        <v>2.5202717051922965E-2</v>
      </c>
      <c r="D38" s="122">
        <v>350392</v>
      </c>
      <c r="E38" s="341">
        <f>D38/$J$53*100</f>
        <v>1.5815459067705272E-2</v>
      </c>
      <c r="F38" s="122">
        <v>262733</v>
      </c>
      <c r="G38" s="341">
        <f>F38/$J$53*100</f>
        <v>1.1858840975922423E-2</v>
      </c>
      <c r="H38" s="122"/>
      <c r="I38" s="341"/>
      <c r="J38" s="122">
        <f>SUM(F38,D38,B38,'- 12 -'!J38,'- 12 -'!H38,'- 12 -'!F38,'- 12 -'!D38,'- 12 -'!B38)</f>
        <v>13506245</v>
      </c>
      <c r="K38" s="341">
        <f t="shared" si="4"/>
        <v>0.60962426355595734</v>
      </c>
    </row>
    <row r="39" spans="1:14">
      <c r="A39" s="125" t="s">
        <v>211</v>
      </c>
      <c r="B39" s="343">
        <f>SUM(B24:B38)</f>
        <v>12865282</v>
      </c>
      <c r="C39" s="344">
        <f>B39/$J$53*100</f>
        <v>0.5806934543753437</v>
      </c>
      <c r="D39" s="343">
        <f>SUM(D24:D38)</f>
        <v>25398841</v>
      </c>
      <c r="E39" s="344">
        <f>D39/$J$53*100</f>
        <v>1.1464141024985002</v>
      </c>
      <c r="F39" s="343">
        <f>SUM(F24:F38)</f>
        <v>96225713</v>
      </c>
      <c r="G39" s="344">
        <f>F39/$J$53*100</f>
        <v>4.3432893023021508</v>
      </c>
      <c r="H39" s="343"/>
      <c r="I39" s="344"/>
      <c r="J39" s="343">
        <f>SUM(F39,D39,B39,'- 12 -'!J39,'- 12 -'!H39,'- 12 -'!F39,'- 12 -'!D39,'- 12 -'!B39)</f>
        <v>199143832</v>
      </c>
      <c r="K39" s="344">
        <f t="shared" si="4"/>
        <v>8.9886502077158585</v>
      </c>
    </row>
    <row r="40" spans="1:14">
      <c r="A40" s="315" t="s">
        <v>212</v>
      </c>
      <c r="B40" s="128"/>
      <c r="C40" s="342"/>
      <c r="D40" s="128"/>
      <c r="E40" s="342"/>
      <c r="F40" s="128"/>
      <c r="G40" s="342"/>
      <c r="H40" s="128"/>
      <c r="I40" s="342"/>
      <c r="J40" s="128"/>
      <c r="K40" s="342"/>
    </row>
    <row r="41" spans="1:14">
      <c r="A41" s="121" t="s">
        <v>213</v>
      </c>
      <c r="B41" s="122">
        <v>3999970</v>
      </c>
      <c r="C41" s="341">
        <f>B41/$J$53*100</f>
        <v>0.18054453813742627</v>
      </c>
      <c r="D41" s="122">
        <v>15786902</v>
      </c>
      <c r="E41" s="341">
        <f>D41/$J$53*100</f>
        <v>0.71256507679077863</v>
      </c>
      <c r="F41" s="122">
        <v>22422919</v>
      </c>
      <c r="G41" s="341">
        <f>F41/$J$53*100</f>
        <v>1.0120914793230749</v>
      </c>
      <c r="H41" s="122"/>
      <c r="I41" s="341"/>
      <c r="J41" s="122">
        <f>SUM(F41,D41,B41,'- 12 -'!J41,'- 12 -'!H41,'- 12 -'!F41,'- 12 -'!D41,'- 12 -'!B41)</f>
        <v>79580739</v>
      </c>
      <c r="K41" s="341">
        <f>J41/$J$53*100</f>
        <v>3.5919938818016299</v>
      </c>
    </row>
    <row r="42" spans="1:14">
      <c r="A42" s="121" t="s">
        <v>214</v>
      </c>
      <c r="B42" s="122">
        <v>2784970</v>
      </c>
      <c r="C42" s="341">
        <f>B42/$J$53*100</f>
        <v>0.12570372337207231</v>
      </c>
      <c r="D42" s="122">
        <v>29095</v>
      </c>
      <c r="E42" s="341">
        <f>D42/$J$53*100</f>
        <v>1.3132456836197313E-3</v>
      </c>
      <c r="F42" s="122">
        <v>39193</v>
      </c>
      <c r="G42" s="341">
        <f>F42/$J$53*100</f>
        <v>1.7690337885584511E-3</v>
      </c>
      <c r="H42" s="122"/>
      <c r="I42" s="341"/>
      <c r="J42" s="122">
        <f>SUM(F42,D42,B42,'- 12 -'!J42,'- 12 -'!H42,'- 12 -'!F42,'- 12 -'!D42,'- 12 -'!B42)</f>
        <v>14610842</v>
      </c>
      <c r="K42" s="341">
        <f>J42/$J$53*100</f>
        <v>0.65948187628629951</v>
      </c>
    </row>
    <row r="43" spans="1:14">
      <c r="A43" s="121" t="s">
        <v>215</v>
      </c>
      <c r="B43" s="122">
        <v>270874</v>
      </c>
      <c r="C43" s="341">
        <f>B43/$J$53*100</f>
        <v>1.2226297003086823E-2</v>
      </c>
      <c r="D43" s="122">
        <v>578097</v>
      </c>
      <c r="E43" s="341">
        <f>D43/$J$53*100</f>
        <v>2.6093259665355417E-2</v>
      </c>
      <c r="F43" s="122">
        <v>3209602</v>
      </c>
      <c r="G43" s="341">
        <f>F43/$J$53*100</f>
        <v>0.14487011419959639</v>
      </c>
      <c r="H43" s="122"/>
      <c r="I43" s="341"/>
      <c r="J43" s="122">
        <f>SUM(F43,D43,B43,'- 12 -'!J43,'- 12 -'!H43,'- 12 -'!F43,'- 12 -'!D43,'- 12 -'!B43)</f>
        <v>19374317</v>
      </c>
      <c r="K43" s="341">
        <f>J43/$J$53*100</f>
        <v>0.87448833728580122</v>
      </c>
    </row>
    <row r="44" spans="1:14">
      <c r="A44" s="127" t="s">
        <v>216</v>
      </c>
      <c r="B44" s="122">
        <v>432758</v>
      </c>
      <c r="C44" s="341">
        <f>B44/$J$53*100</f>
        <v>1.9533169807592635E-2</v>
      </c>
      <c r="D44" s="122">
        <v>130883</v>
      </c>
      <c r="E44" s="341">
        <f>D44/$J$53*100</f>
        <v>5.9075970032377145E-3</v>
      </c>
      <c r="F44" s="122">
        <v>165993</v>
      </c>
      <c r="G44" s="341">
        <f>F44/$J$53*100</f>
        <v>7.4923385723007409E-3</v>
      </c>
      <c r="H44" s="122"/>
      <c r="I44" s="341"/>
      <c r="J44" s="122">
        <f>SUM(F44,D44,B44,'- 12 -'!J44,'- 12 -'!H44,'- 12 -'!F44,'- 12 -'!D44,'- 12 -'!B44)</f>
        <v>25025638</v>
      </c>
      <c r="K44" s="341">
        <f>J44/$J$53*100</f>
        <v>1.1295690353438712</v>
      </c>
    </row>
    <row r="45" spans="1:14">
      <c r="A45" s="125" t="s">
        <v>217</v>
      </c>
      <c r="B45" s="343">
        <f>SUM(B41:B44)</f>
        <v>7488572</v>
      </c>
      <c r="C45" s="344">
        <f>B45/$J$53*100</f>
        <v>0.338007728320178</v>
      </c>
      <c r="D45" s="343">
        <f>SUM(D41:D44)</f>
        <v>16524977</v>
      </c>
      <c r="E45" s="344">
        <f>D45/$J$53*100</f>
        <v>0.74587917914299151</v>
      </c>
      <c r="F45" s="343">
        <f>SUM(F41:F44)</f>
        <v>25837707</v>
      </c>
      <c r="G45" s="344">
        <f>F45/$J$53*100</f>
        <v>1.1662229658835306</v>
      </c>
      <c r="H45" s="343"/>
      <c r="I45" s="344"/>
      <c r="J45" s="343">
        <f>SUM(F45,D45,B45,'- 12 -'!J45,'- 12 -'!H45,'- 12 -'!F45,'- 12 -'!D45,'- 12 -'!B45)</f>
        <v>138591536</v>
      </c>
      <c r="K45" s="344">
        <f>J45/$J$53*100</f>
        <v>6.255533130717601</v>
      </c>
    </row>
    <row r="46" spans="1:14">
      <c r="A46" s="314" t="s">
        <v>47</v>
      </c>
      <c r="B46" s="128"/>
      <c r="C46" s="342"/>
      <c r="D46" s="128"/>
      <c r="E46" s="342"/>
      <c r="F46" s="128"/>
      <c r="G46" s="342"/>
      <c r="H46" s="128"/>
      <c r="I46" s="342"/>
      <c r="J46" s="128"/>
      <c r="K46" s="342"/>
    </row>
    <row r="47" spans="1:14" ht="13.5">
      <c r="A47" s="256" t="s">
        <v>269</v>
      </c>
      <c r="B47" s="122"/>
      <c r="C47" s="427"/>
      <c r="D47" s="122">
        <v>0</v>
      </c>
      <c r="E47" s="427"/>
      <c r="F47" s="122">
        <v>0</v>
      </c>
      <c r="G47" s="427"/>
      <c r="H47" s="122">
        <f>'- 10 -'!G21</f>
        <v>0</v>
      </c>
      <c r="I47" s="427"/>
      <c r="J47" s="122"/>
      <c r="K47" s="427"/>
    </row>
    <row r="48" spans="1:14">
      <c r="A48" s="121" t="s">
        <v>218</v>
      </c>
      <c r="B48" s="122"/>
      <c r="C48" s="341"/>
      <c r="D48" s="122"/>
      <c r="E48" s="341"/>
      <c r="F48" s="122"/>
      <c r="G48" s="341"/>
      <c r="H48" s="122">
        <f>'- 10 -'!G22</f>
        <v>1803409</v>
      </c>
      <c r="I48" s="341">
        <f>H48/$J$53*100</f>
        <v>8.1399521740882497E-2</v>
      </c>
      <c r="J48" s="122">
        <f>H48</f>
        <v>1803409</v>
      </c>
      <c r="K48" s="341">
        <f>J48/$J$53*100</f>
        <v>8.1399521740882497E-2</v>
      </c>
    </row>
    <row r="49" spans="1:11">
      <c r="A49" s="126" t="s">
        <v>270</v>
      </c>
      <c r="B49" s="122"/>
      <c r="C49" s="341"/>
      <c r="D49" s="122"/>
      <c r="E49" s="341"/>
      <c r="F49" s="122"/>
      <c r="G49" s="341"/>
      <c r="H49" s="122">
        <f>'- 10 -'!H22</f>
        <v>-21387</v>
      </c>
      <c r="I49" s="341">
        <f>H49/$J$53*100</f>
        <v>-9.653337492894036E-4</v>
      </c>
      <c r="J49" s="122">
        <f>H49</f>
        <v>-21387</v>
      </c>
      <c r="K49" s="341">
        <f>J49/$J$53*100</f>
        <v>-9.653337492894036E-4</v>
      </c>
    </row>
    <row r="50" spans="1:11">
      <c r="A50" s="121" t="s">
        <v>219</v>
      </c>
      <c r="B50" s="122"/>
      <c r="C50" s="341"/>
      <c r="D50" s="122"/>
      <c r="E50" s="341"/>
      <c r="F50" s="122"/>
      <c r="G50" s="341"/>
      <c r="H50" s="122">
        <f>'- 10 -'!I22</f>
        <v>35849655</v>
      </c>
      <c r="I50" s="341">
        <f>H50/$J$53*100</f>
        <v>1.6181269870426715</v>
      </c>
      <c r="J50" s="122">
        <f>H50</f>
        <v>35849655</v>
      </c>
      <c r="K50" s="341">
        <f>J50/$J$53*100</f>
        <v>1.6181269870426715</v>
      </c>
    </row>
    <row r="51" spans="1:11">
      <c r="A51" s="125" t="s">
        <v>220</v>
      </c>
      <c r="B51" s="343"/>
      <c r="C51" s="344"/>
      <c r="D51" s="343"/>
      <c r="E51" s="344"/>
      <c r="F51" s="343">
        <f>SUM(F47:F50)</f>
        <v>0</v>
      </c>
      <c r="G51" s="344"/>
      <c r="H51" s="343">
        <f>SUM(H48:H50)</f>
        <v>37631677</v>
      </c>
      <c r="I51" s="344">
        <f>H51/$J$53*100</f>
        <v>1.6985611750342644</v>
      </c>
      <c r="J51" s="343">
        <f>SUM(J47:J50)</f>
        <v>37631677</v>
      </c>
      <c r="K51" s="344">
        <f>J51/$J$53*100</f>
        <v>1.6985611750342644</v>
      </c>
    </row>
    <row r="52" spans="1:11" ht="5.0999999999999996" customHeight="1">
      <c r="A52" s="23"/>
      <c r="B52" s="32"/>
      <c r="C52" s="129"/>
      <c r="D52" s="57"/>
      <c r="E52" s="129"/>
      <c r="F52" s="57"/>
      <c r="G52" s="129"/>
      <c r="H52" s="57"/>
      <c r="I52" s="129"/>
      <c r="J52" s="57"/>
      <c r="K52" s="129"/>
    </row>
    <row r="53" spans="1:11">
      <c r="A53" s="316" t="s">
        <v>221</v>
      </c>
      <c r="B53" s="345">
        <f>SUM(B51,B45,B39,B22,B21)</f>
        <v>74809681</v>
      </c>
      <c r="C53" s="346">
        <f>B53/$J$53*100</f>
        <v>3.3766451509269304</v>
      </c>
      <c r="D53" s="345">
        <f>SUM(D51,D45,D39,D22,D21)</f>
        <v>94677921</v>
      </c>
      <c r="E53" s="346">
        <f>D53/$J$53*100</f>
        <v>4.2734274303949107</v>
      </c>
      <c r="F53" s="345">
        <f>SUM(F51,F45,F39,F22,F21)</f>
        <v>253487970</v>
      </c>
      <c r="G53" s="346">
        <f>F53/$J$53*100</f>
        <v>11.441552928407903</v>
      </c>
      <c r="H53" s="345">
        <f>SUM(H51,H45,H39,H22,H21)</f>
        <v>37631677</v>
      </c>
      <c r="I53" s="346">
        <f>H53/$J$53*100</f>
        <v>1.6985611750342644</v>
      </c>
      <c r="J53" s="345">
        <f>SUM(J51,J45,J39,J22,J21)</f>
        <v>2215503189</v>
      </c>
      <c r="K53" s="346">
        <f>J53/$J$53*100</f>
        <v>100</v>
      </c>
    </row>
    <row r="54" spans="1:11" ht="20.100000000000001" customHeight="1">
      <c r="A54" s="132"/>
      <c r="B54" s="2">
        <f>+B53-'- 16 -'!G48</f>
        <v>0</v>
      </c>
      <c r="D54" s="2">
        <f>+D53-'- 17 -'!B48</f>
        <v>0</v>
      </c>
      <c r="F54" s="2">
        <f>+F53-'- 17 -'!E48</f>
        <v>0</v>
      </c>
      <c r="H54" s="2">
        <f>+H53-'- 17 -'!H48</f>
        <v>0</v>
      </c>
      <c r="J54" s="2">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pageSetUpPr fitToPage="1"/>
  </sheetPr>
  <dimension ref="A1:I52"/>
  <sheetViews>
    <sheetView showGridLines="0" showZeros="0" workbookViewId="0"/>
  </sheetViews>
  <sheetFormatPr defaultColWidth="15.83203125" defaultRowHeight="12"/>
  <cols>
    <col min="1" max="1" width="32.83203125" style="2" customWidth="1"/>
    <col min="2" max="2" width="17.83203125" style="2" customWidth="1"/>
    <col min="3" max="3" width="8.83203125" style="2" customWidth="1"/>
    <col min="4" max="4" width="9.83203125" style="2" customWidth="1"/>
    <col min="5" max="5" width="17.83203125" style="2" customWidth="1"/>
    <col min="6" max="6" width="8.83203125" style="2" customWidth="1"/>
    <col min="7" max="7" width="9.83203125" style="2" customWidth="1"/>
    <col min="8" max="8" width="17.83203125" style="2" customWidth="1"/>
    <col min="9" max="9" width="8.83203125" style="2" customWidth="1"/>
    <col min="10" max="16384" width="15.83203125" style="2"/>
  </cols>
  <sheetData>
    <row r="1" spans="1:9" ht="6.95" customHeight="1">
      <c r="A1" s="7"/>
      <c r="B1" s="8"/>
      <c r="C1" s="8"/>
      <c r="D1" s="8"/>
      <c r="E1" s="8"/>
      <c r="F1" s="8"/>
      <c r="G1" s="8"/>
      <c r="H1" s="8"/>
      <c r="I1" s="8"/>
    </row>
    <row r="2" spans="1:9" ht="15.95" customHeight="1">
      <c r="A2" s="134"/>
      <c r="B2" s="9" t="s">
        <v>261</v>
      </c>
      <c r="C2" s="10"/>
      <c r="D2" s="10"/>
      <c r="E2" s="10"/>
      <c r="F2" s="10"/>
      <c r="G2" s="10"/>
      <c r="H2" s="73"/>
      <c r="I2" s="135" t="s">
        <v>6</v>
      </c>
    </row>
    <row r="3" spans="1:9" ht="15.95" customHeight="1">
      <c r="A3" s="543"/>
      <c r="B3" s="11" t="str">
        <f>OPYEAR</f>
        <v>OPERATING FUND 2015/2016 ACTUAL</v>
      </c>
      <c r="C3" s="12"/>
      <c r="D3" s="12"/>
      <c r="E3" s="12"/>
      <c r="F3" s="12"/>
      <c r="G3" s="12"/>
      <c r="H3" s="75"/>
      <c r="I3" s="66"/>
    </row>
    <row r="4" spans="1:9" ht="15.95" customHeight="1">
      <c r="B4" s="8"/>
      <c r="C4" s="8"/>
      <c r="D4" s="8"/>
      <c r="E4" s="8"/>
      <c r="F4" s="8"/>
      <c r="G4" s="8"/>
      <c r="H4" s="8"/>
      <c r="I4" s="8"/>
    </row>
    <row r="5" spans="1:9" ht="15.95" customHeight="1">
      <c r="B5" s="8"/>
      <c r="C5" s="8"/>
      <c r="D5" s="8"/>
      <c r="E5" s="8"/>
      <c r="F5" s="8"/>
      <c r="G5" s="8"/>
      <c r="H5" s="8"/>
      <c r="I5" s="8"/>
    </row>
    <row r="6" spans="1:9" ht="15.95" customHeight="1">
      <c r="B6" s="319"/>
      <c r="C6" s="313"/>
      <c r="D6" s="311"/>
      <c r="E6" s="643" t="s">
        <v>473</v>
      </c>
      <c r="F6" s="651"/>
      <c r="G6" s="644"/>
      <c r="H6" s="643" t="s">
        <v>474</v>
      </c>
      <c r="I6" s="644"/>
    </row>
    <row r="7" spans="1:9" ht="15.95" customHeight="1">
      <c r="B7" s="648" t="s">
        <v>26</v>
      </c>
      <c r="C7" s="650"/>
      <c r="D7" s="649"/>
      <c r="E7" s="645"/>
      <c r="F7" s="652"/>
      <c r="G7" s="646"/>
      <c r="H7" s="645"/>
      <c r="I7" s="646"/>
    </row>
    <row r="8" spans="1:9" ht="15.95" customHeight="1">
      <c r="A8" s="67"/>
      <c r="B8" s="137" t="s">
        <v>7</v>
      </c>
      <c r="C8" s="138"/>
      <c r="D8" s="617" t="s">
        <v>327</v>
      </c>
      <c r="E8" s="137"/>
      <c r="F8" s="139"/>
      <c r="G8" s="617" t="s">
        <v>327</v>
      </c>
      <c r="H8" s="137"/>
      <c r="I8" s="139"/>
    </row>
    <row r="9" spans="1:9" ht="15.95" customHeight="1">
      <c r="A9" s="35" t="s">
        <v>42</v>
      </c>
      <c r="B9" s="77" t="s">
        <v>43</v>
      </c>
      <c r="C9" s="77" t="s">
        <v>44</v>
      </c>
      <c r="D9" s="598"/>
      <c r="E9" s="77" t="s">
        <v>43</v>
      </c>
      <c r="F9" s="77" t="s">
        <v>44</v>
      </c>
      <c r="G9" s="598"/>
      <c r="H9" s="77" t="s">
        <v>43</v>
      </c>
      <c r="I9" s="77" t="s">
        <v>44</v>
      </c>
    </row>
    <row r="10" spans="1:9" ht="5.0999999999999996" customHeight="1">
      <c r="A10" s="6"/>
    </row>
    <row r="11" spans="1:9" ht="14.1" customHeight="1">
      <c r="A11" s="285" t="s">
        <v>110</v>
      </c>
      <c r="B11" s="286">
        <f>SUM('- 18 -'!B11,'- 18 -'!E11,'- 19 -'!B11,'- 19 -'!E11,'- 19 -'!H11,'- 20 -'!B11)</f>
        <v>11279150</v>
      </c>
      <c r="C11" s="292">
        <f>B11/'- 3 -'!D11*100</f>
        <v>62.874758035182978</v>
      </c>
      <c r="D11" s="286">
        <f>B11/'- 7 -'!C11</f>
        <v>6729.8031026252984</v>
      </c>
      <c r="E11" s="286">
        <f>SUM('- 21 -'!B11,'- 21 -'!E11,'- 21 -'!H11,'- 22 -'!B11,'- 22 -'!E11,'- 22 -'!H11)</f>
        <v>2262986</v>
      </c>
      <c r="F11" s="292">
        <f>E11/'- 3 -'!D11*100</f>
        <v>12.614842181104654</v>
      </c>
      <c r="G11" s="286">
        <f>E11/'- 7 -'!E11</f>
        <v>1350.2303102625299</v>
      </c>
      <c r="H11" s="286">
        <f>SUM('- 23 -'!D11,'- 23 -'!B11)</f>
        <v>0</v>
      </c>
      <c r="I11" s="292">
        <f>H11/'- 3 -'!D11*100</f>
        <v>0</v>
      </c>
    </row>
    <row r="12" spans="1:9" ht="14.1" customHeight="1">
      <c r="A12" s="19" t="s">
        <v>111</v>
      </c>
      <c r="B12" s="20">
        <f>SUM('- 18 -'!B12,'- 18 -'!E12,'- 19 -'!B12,'- 19 -'!E12,'- 19 -'!H12,'- 20 -'!B12)</f>
        <v>18930909</v>
      </c>
      <c r="C12" s="70">
        <f>B12/'- 3 -'!D12*100</f>
        <v>58.614612165765678</v>
      </c>
      <c r="D12" s="20">
        <f>B12/'- 7 -'!C12</f>
        <v>8909.0823097557532</v>
      </c>
      <c r="E12" s="20">
        <f>SUM('- 21 -'!B12,'- 21 -'!E12,'- 21 -'!H12,'- 22 -'!B12,'- 22 -'!E12,'- 22 -'!H12)</f>
        <v>4679456</v>
      </c>
      <c r="F12" s="70">
        <f>E12/'- 3 -'!D12*100</f>
        <v>14.488712538144114</v>
      </c>
      <c r="G12" s="20">
        <f>E12/'- 7 -'!E12</f>
        <v>2202.2005741446656</v>
      </c>
      <c r="H12" s="20">
        <f>SUM('- 23 -'!D12,'- 23 -'!B12)</f>
        <v>567944</v>
      </c>
      <c r="I12" s="70">
        <f>H12/'- 3 -'!D12*100</f>
        <v>1.7584901650456206</v>
      </c>
    </row>
    <row r="13" spans="1:9" ht="14.1" customHeight="1">
      <c r="A13" s="285" t="s">
        <v>112</v>
      </c>
      <c r="B13" s="286">
        <f>SUM('- 18 -'!B13,'- 18 -'!E13,'- 19 -'!B13,'- 19 -'!E13,'- 19 -'!H13,'- 20 -'!B13)</f>
        <v>54309711</v>
      </c>
      <c r="C13" s="292">
        <f>B13/'- 3 -'!D13*100</f>
        <v>59.837021859326299</v>
      </c>
      <c r="D13" s="286">
        <f>B13/'- 7 -'!C13</f>
        <v>6582.995272727273</v>
      </c>
      <c r="E13" s="286">
        <f>SUM('- 21 -'!B13,'- 21 -'!E13,'- 21 -'!H13,'- 22 -'!B13,'- 22 -'!E13,'- 22 -'!H13)</f>
        <v>19264763</v>
      </c>
      <c r="F13" s="292">
        <f>E13/'- 3 -'!D13*100</f>
        <v>21.225412979011075</v>
      </c>
      <c r="G13" s="286">
        <f>E13/'- 7 -'!E13</f>
        <v>2335.1227878787877</v>
      </c>
      <c r="H13" s="286">
        <f>SUM('- 23 -'!D13,'- 23 -'!B13)</f>
        <v>0</v>
      </c>
      <c r="I13" s="292">
        <f>H13/'- 3 -'!D13*100</f>
        <v>0</v>
      </c>
    </row>
    <row r="14" spans="1:9" ht="14.1" customHeight="1">
      <c r="A14" s="19" t="s">
        <v>359</v>
      </c>
      <c r="B14" s="20">
        <f>SUM('- 18 -'!B14,'- 18 -'!E14,'- 19 -'!B14,'- 19 -'!E14,'- 19 -'!H14,'- 20 -'!B14)</f>
        <v>45950883</v>
      </c>
      <c r="C14" s="70">
        <f>B14/'- 3 -'!D14*100</f>
        <v>56.579244937581606</v>
      </c>
      <c r="D14" s="20">
        <f>B14/'- 7 -'!C14</f>
        <v>8600.2026951151038</v>
      </c>
      <c r="E14" s="20">
        <f>SUM('- 21 -'!B14,'- 21 -'!E14,'- 21 -'!H14,'- 22 -'!B14,'- 22 -'!E14,'- 22 -'!H14)</f>
        <v>9303159</v>
      </c>
      <c r="F14" s="70">
        <f>E14/'- 3 -'!D14*100</f>
        <v>11.454964026573043</v>
      </c>
      <c r="G14" s="20">
        <f>E14/'- 7 -'!E14</f>
        <v>1741.186412128018</v>
      </c>
      <c r="H14" s="20">
        <f>SUM('- 23 -'!D14,'- 23 -'!B14)</f>
        <v>241689</v>
      </c>
      <c r="I14" s="70">
        <f>H14/'- 3 -'!D14*100</f>
        <v>0.29759125912159645</v>
      </c>
    </row>
    <row r="15" spans="1:9" ht="14.1" customHeight="1">
      <c r="A15" s="285" t="s">
        <v>113</v>
      </c>
      <c r="B15" s="286">
        <f>SUM('- 18 -'!B15,'- 18 -'!E15,'- 19 -'!B15,'- 19 -'!E15,'- 19 -'!H15,'- 20 -'!B15)</f>
        <v>10826073</v>
      </c>
      <c r="C15" s="292">
        <f>B15/'- 3 -'!D15*100</f>
        <v>54.581816663808027</v>
      </c>
      <c r="D15" s="286">
        <f>B15/'- 7 -'!C15</f>
        <v>7678.0659574468082</v>
      </c>
      <c r="E15" s="286">
        <f>SUM('- 21 -'!B15,'- 21 -'!E15,'- 21 -'!H15,'- 22 -'!B15,'- 22 -'!E15,'- 22 -'!H15)</f>
        <v>3180095</v>
      </c>
      <c r="F15" s="292">
        <f>E15/'- 3 -'!D15*100</f>
        <v>16.033086259763127</v>
      </c>
      <c r="G15" s="286">
        <f>E15/'- 7 -'!E15</f>
        <v>2255.3865248226948</v>
      </c>
      <c r="H15" s="286">
        <f>SUM('- 23 -'!D15,'- 23 -'!B15)</f>
        <v>0</v>
      </c>
      <c r="I15" s="292">
        <f>H15/'- 3 -'!D15*100</f>
        <v>0</v>
      </c>
    </row>
    <row r="16" spans="1:9" ht="14.1" customHeight="1">
      <c r="A16" s="19" t="s">
        <v>114</v>
      </c>
      <c r="B16" s="20">
        <f>SUM('- 18 -'!B16,'- 18 -'!E16,'- 19 -'!B16,'- 19 -'!E16,'- 19 -'!H16,'- 20 -'!B16)</f>
        <v>7652447</v>
      </c>
      <c r="C16" s="70">
        <f>B16/'- 3 -'!D16*100</f>
        <v>54.582964362302157</v>
      </c>
      <c r="D16" s="20">
        <f>B16/'- 7 -'!C16</f>
        <v>8206.3774798927607</v>
      </c>
      <c r="E16" s="20">
        <f>SUM('- 21 -'!B16,'- 21 -'!E16,'- 21 -'!H16,'- 22 -'!B16,'- 22 -'!E16,'- 22 -'!H16)</f>
        <v>2374058</v>
      </c>
      <c r="F16" s="70">
        <f>E16/'- 3 -'!D16*100</f>
        <v>16.933553830302689</v>
      </c>
      <c r="G16" s="20">
        <f>E16/'- 7 -'!E16</f>
        <v>2545.9067024128685</v>
      </c>
      <c r="H16" s="20">
        <f>SUM('- 23 -'!D16,'- 23 -'!B16)</f>
        <v>92300</v>
      </c>
      <c r="I16" s="70">
        <f>H16/'- 3 -'!D16*100</f>
        <v>0.65835249961750641</v>
      </c>
    </row>
    <row r="17" spans="1:9" ht="14.1" customHeight="1">
      <c r="A17" s="285" t="s">
        <v>115</v>
      </c>
      <c r="B17" s="286">
        <f>SUM('- 18 -'!B17,'- 18 -'!E17,'- 19 -'!B17,'- 19 -'!E17,'- 19 -'!H17,'- 20 -'!B17)</f>
        <v>9710829</v>
      </c>
      <c r="C17" s="292">
        <f>B17/'- 3 -'!D17*100</f>
        <v>55.90427081378386</v>
      </c>
      <c r="D17" s="286">
        <f>B17/'- 7 -'!C17</f>
        <v>7236.0101553102477</v>
      </c>
      <c r="E17" s="286">
        <f>SUM('- 21 -'!B17,'- 21 -'!E17,'- 21 -'!H17,'- 22 -'!B17,'- 22 -'!E17,'- 22 -'!H17)</f>
        <v>2451310</v>
      </c>
      <c r="F17" s="292">
        <f>E17/'- 3 -'!D17*100</f>
        <v>14.111946373325749</v>
      </c>
      <c r="G17" s="286">
        <f>E17/'- 7 -'!E17</f>
        <v>1826.5900937822676</v>
      </c>
      <c r="H17" s="286">
        <f>SUM('- 23 -'!D17,'- 23 -'!B17)</f>
        <v>0</v>
      </c>
      <c r="I17" s="292">
        <f>H17/'- 3 -'!D17*100</f>
        <v>0</v>
      </c>
    </row>
    <row r="18" spans="1:9" ht="14.1" customHeight="1">
      <c r="A18" s="19" t="s">
        <v>116</v>
      </c>
      <c r="B18" s="20">
        <f>SUM('- 18 -'!B18,'- 18 -'!E18,'- 19 -'!B18,'- 19 -'!E18,'- 19 -'!H18,'- 20 -'!B18)</f>
        <v>54858011</v>
      </c>
      <c r="C18" s="70">
        <f>B18/'- 3 -'!D18*100</f>
        <v>43.279708309120089</v>
      </c>
      <c r="D18" s="20">
        <f>B18/'- 7 -'!C18</f>
        <v>8872.3938217693685</v>
      </c>
      <c r="E18" s="20">
        <f>SUM('- 21 -'!B18,'- 21 -'!E18,'- 21 -'!H18,'- 22 -'!B18,'- 22 -'!E18,'- 22 -'!H18)</f>
        <v>18927735</v>
      </c>
      <c r="F18" s="70">
        <f>E18/'- 3 -'!D18*100</f>
        <v>14.9328572950325</v>
      </c>
      <c r="G18" s="20">
        <f>E18/'- 7 -'!E18</f>
        <v>3061.2542455118873</v>
      </c>
      <c r="H18" s="20">
        <f>SUM('- 23 -'!D18,'- 23 -'!B18)</f>
        <v>2026042</v>
      </c>
      <c r="I18" s="70">
        <f>H18/'- 3 -'!D18*100</f>
        <v>1.5984266506130944</v>
      </c>
    </row>
    <row r="19" spans="1:9" ht="14.1" customHeight="1">
      <c r="A19" s="285" t="s">
        <v>117</v>
      </c>
      <c r="B19" s="286">
        <f>SUM('- 18 -'!B19,'- 18 -'!E19,'- 19 -'!B19,'- 19 -'!E19,'- 19 -'!H19,'- 20 -'!B19)</f>
        <v>26225507</v>
      </c>
      <c r="C19" s="292">
        <f>B19/'- 3 -'!D19*100</f>
        <v>58.632646929901931</v>
      </c>
      <c r="D19" s="286">
        <f>B19/'- 7 -'!C19</f>
        <v>6193.0023378279457</v>
      </c>
      <c r="E19" s="286">
        <f>SUM('- 21 -'!B19,'- 21 -'!E19,'- 21 -'!H19,'- 22 -'!B19,'- 22 -'!E19,'- 22 -'!H19)</f>
        <v>8349753</v>
      </c>
      <c r="F19" s="292">
        <f>E19/'- 3 -'!D19*100</f>
        <v>18.667632225409005</v>
      </c>
      <c r="G19" s="286">
        <f>E19/'- 7 -'!E19</f>
        <v>1971.7460504876378</v>
      </c>
      <c r="H19" s="286">
        <f>SUM('- 23 -'!D19,'- 23 -'!B19)</f>
        <v>0</v>
      </c>
      <c r="I19" s="292">
        <f>H19/'- 3 -'!D19*100</f>
        <v>0</v>
      </c>
    </row>
    <row r="20" spans="1:9" ht="14.1" customHeight="1">
      <c r="A20" s="19" t="s">
        <v>118</v>
      </c>
      <c r="B20" s="20">
        <f>SUM('- 18 -'!B20,'- 18 -'!E20,'- 19 -'!B20,'- 19 -'!E20,'- 19 -'!H20,'- 20 -'!B20)</f>
        <v>48333765</v>
      </c>
      <c r="C20" s="70">
        <f>B20/'- 3 -'!D20*100</f>
        <v>61.734507196414512</v>
      </c>
      <c r="D20" s="20">
        <f>B20/'- 7 -'!C20</f>
        <v>6388.7495125868254</v>
      </c>
      <c r="E20" s="20">
        <f>SUM('- 21 -'!B20,'- 21 -'!E20,'- 21 -'!H20,'- 22 -'!B20,'- 22 -'!E20,'- 22 -'!H20)</f>
        <v>11559866</v>
      </c>
      <c r="F20" s="70">
        <f>E20/'- 3 -'!D20*100</f>
        <v>14.764888081170325</v>
      </c>
      <c r="G20" s="20">
        <f>E20/'- 7 -'!E20</f>
        <v>1527.9812833341043</v>
      </c>
      <c r="H20" s="20">
        <f>SUM('- 23 -'!D20,'- 23 -'!B20)</f>
        <v>0</v>
      </c>
      <c r="I20" s="70">
        <f>H20/'- 3 -'!D20*100</f>
        <v>0</v>
      </c>
    </row>
    <row r="21" spans="1:9" ht="14.1" customHeight="1">
      <c r="A21" s="285" t="s">
        <v>119</v>
      </c>
      <c r="B21" s="286">
        <f>SUM('- 18 -'!B21,'- 18 -'!E21,'- 19 -'!B21,'- 19 -'!E21,'- 19 -'!H21,'- 20 -'!B21)</f>
        <v>20404852</v>
      </c>
      <c r="C21" s="292">
        <f>B21/'- 3 -'!D21*100</f>
        <v>58.094840964183767</v>
      </c>
      <c r="D21" s="286">
        <f>B21/'- 7 -'!C21</f>
        <v>7596.4602955958453</v>
      </c>
      <c r="E21" s="286">
        <f>SUM('- 21 -'!B21,'- 21 -'!E21,'- 21 -'!H21,'- 22 -'!B21,'- 22 -'!E21,'- 22 -'!H21)</f>
        <v>5681277</v>
      </c>
      <c r="F21" s="292">
        <f>E21/'- 3 -'!D21*100</f>
        <v>16.175215766743865</v>
      </c>
      <c r="G21" s="286">
        <f>E21/'- 7 -'!E21</f>
        <v>2115.0653363612673</v>
      </c>
      <c r="H21" s="286">
        <f>SUM('- 23 -'!D21,'- 23 -'!B21)</f>
        <v>0</v>
      </c>
      <c r="I21" s="292">
        <f>H21/'- 3 -'!D21*100</f>
        <v>0</v>
      </c>
    </row>
    <row r="22" spans="1:9" ht="14.1" customHeight="1">
      <c r="A22" s="19" t="s">
        <v>120</v>
      </c>
      <c r="B22" s="20">
        <f>SUM('- 18 -'!B22,'- 18 -'!E22,'- 19 -'!B22,'- 19 -'!E22,'- 19 -'!H22,'- 20 -'!B22)</f>
        <v>9968446</v>
      </c>
      <c r="C22" s="70">
        <f>B22/'- 3 -'!D22*100</f>
        <v>49.879524920783268</v>
      </c>
      <c r="D22" s="20">
        <f>B22/'- 7 -'!C22</f>
        <v>6507.2432926431229</v>
      </c>
      <c r="E22" s="20">
        <f>SUM('- 21 -'!B22,'- 21 -'!E22,'- 21 -'!H22,'- 22 -'!B22,'- 22 -'!E22,'- 22 -'!H22)</f>
        <v>4703325</v>
      </c>
      <c r="F22" s="70">
        <f>E22/'- 3 -'!D22*100</f>
        <v>23.534221537443546</v>
      </c>
      <c r="G22" s="20">
        <f>E22/'- 7 -'!E22</f>
        <v>3070.2558913767216</v>
      </c>
      <c r="H22" s="20">
        <f>SUM('- 23 -'!D22,'- 23 -'!B22)</f>
        <v>595368</v>
      </c>
      <c r="I22" s="70">
        <f>H22/'- 3 -'!D22*100</f>
        <v>2.9790674487314166</v>
      </c>
    </row>
    <row r="23" spans="1:9" ht="14.1" customHeight="1">
      <c r="A23" s="285" t="s">
        <v>121</v>
      </c>
      <c r="B23" s="286">
        <f>SUM('- 18 -'!B23,'- 18 -'!E23,'- 19 -'!B23,'- 19 -'!E23,'- 19 -'!H23,'- 20 -'!B23)</f>
        <v>8376852</v>
      </c>
      <c r="C23" s="292">
        <f>B23/'- 3 -'!D23*100</f>
        <v>51.908663924099109</v>
      </c>
      <c r="D23" s="286">
        <f>B23/'- 7 -'!C23</f>
        <v>7543.3156235929764</v>
      </c>
      <c r="E23" s="286">
        <f>SUM('- 21 -'!B23,'- 21 -'!E23,'- 21 -'!H23,'- 22 -'!B23,'- 22 -'!E23,'- 22 -'!H23)</f>
        <v>2619488</v>
      </c>
      <c r="F23" s="292">
        <f>E23/'- 3 -'!D23*100</f>
        <v>16.23212660856495</v>
      </c>
      <c r="G23" s="286">
        <f>E23/'- 7 -'!E23</f>
        <v>2358.8365601080595</v>
      </c>
      <c r="H23" s="286">
        <f>SUM('- 23 -'!D23,'- 23 -'!B23)</f>
        <v>264121</v>
      </c>
      <c r="I23" s="292">
        <f>H23/'- 3 -'!D23*100</f>
        <v>1.6366730872524642</v>
      </c>
    </row>
    <row r="24" spans="1:9" ht="14.1" customHeight="1">
      <c r="A24" s="19" t="s">
        <v>122</v>
      </c>
      <c r="B24" s="20">
        <f>SUM('- 18 -'!B24,'- 18 -'!E24,'- 19 -'!B24,'- 19 -'!E24,'- 19 -'!H24,'- 20 -'!B24)</f>
        <v>32720194</v>
      </c>
      <c r="C24" s="70">
        <f>B24/'- 3 -'!D24*100</f>
        <v>58.742089770127514</v>
      </c>
      <c r="D24" s="20">
        <f>B24/'- 7 -'!C24</f>
        <v>8197.4681197544778</v>
      </c>
      <c r="E24" s="20">
        <f>SUM('- 21 -'!B24,'- 21 -'!E24,'- 21 -'!H24,'- 22 -'!B24,'- 22 -'!E24,'- 22 -'!H24)</f>
        <v>8675347</v>
      </c>
      <c r="F24" s="70">
        <f>E24/'- 3 -'!D24*100</f>
        <v>15.574724656614396</v>
      </c>
      <c r="G24" s="20">
        <f>E24/'- 7 -'!E24</f>
        <v>2173.4553426030316</v>
      </c>
      <c r="H24" s="20">
        <f>SUM('- 23 -'!D24,'- 23 -'!B24)</f>
        <v>376563</v>
      </c>
      <c r="I24" s="70">
        <f>H24/'- 3 -'!D24*100</f>
        <v>0.6760380928703702</v>
      </c>
    </row>
    <row r="25" spans="1:9" ht="14.1" customHeight="1">
      <c r="A25" s="285" t="s">
        <v>123</v>
      </c>
      <c r="B25" s="286">
        <f>SUM('- 18 -'!B25,'- 18 -'!E25,'- 19 -'!B25,'- 19 -'!E25,'- 19 -'!H25,'- 20 -'!B25)</f>
        <v>93449991</v>
      </c>
      <c r="C25" s="292">
        <f>B25/'- 3 -'!D25*100</f>
        <v>55.612043988113413</v>
      </c>
      <c r="D25" s="286">
        <f>B25/'- 7 -'!C25</f>
        <v>6601.1606600454897</v>
      </c>
      <c r="E25" s="286">
        <f>SUM('- 21 -'!B25,'- 21 -'!E25,'- 21 -'!H25,'- 22 -'!B25,'- 22 -'!E25,'- 22 -'!H25)</f>
        <v>33956625</v>
      </c>
      <c r="F25" s="292">
        <f>E25/'- 3 -'!D25*100</f>
        <v>20.207570947629858</v>
      </c>
      <c r="G25" s="286">
        <f>E25/'- 7 -'!E25</f>
        <v>2398.6426825650224</v>
      </c>
      <c r="H25" s="286">
        <f>SUM('- 23 -'!D25,'- 23 -'!B25)</f>
        <v>1069196</v>
      </c>
      <c r="I25" s="292">
        <f>H25/'- 3 -'!D25*100</f>
        <v>0.63627801723292732</v>
      </c>
    </row>
    <row r="26" spans="1:9" ht="14.1" customHeight="1">
      <c r="A26" s="19" t="s">
        <v>124</v>
      </c>
      <c r="B26" s="20">
        <f>SUM('- 18 -'!B26,'- 18 -'!E26,'- 19 -'!B26,'- 19 -'!E26,'- 19 -'!H26,'- 20 -'!B26)</f>
        <v>22618544</v>
      </c>
      <c r="C26" s="70">
        <f>B26/'- 3 -'!D26*100</f>
        <v>57.072646852049147</v>
      </c>
      <c r="D26" s="20">
        <f>B26/'- 7 -'!C26</f>
        <v>7353.2327698309491</v>
      </c>
      <c r="E26" s="20">
        <f>SUM('- 21 -'!B26,'- 21 -'!E26,'- 21 -'!H26,'- 22 -'!B26,'- 22 -'!E26,'- 22 -'!H26)</f>
        <v>5483772</v>
      </c>
      <c r="F26" s="70">
        <f>E26/'- 3 -'!D26*100</f>
        <v>13.837026060260785</v>
      </c>
      <c r="G26" s="20">
        <f>E26/'- 7 -'!E26</f>
        <v>1782.7607282184656</v>
      </c>
      <c r="H26" s="20">
        <f>SUM('- 23 -'!D26,'- 23 -'!B26)</f>
        <v>0</v>
      </c>
      <c r="I26" s="70">
        <f>H26/'- 3 -'!D26*100</f>
        <v>0</v>
      </c>
    </row>
    <row r="27" spans="1:9" ht="14.1" customHeight="1">
      <c r="A27" s="285" t="s">
        <v>125</v>
      </c>
      <c r="B27" s="286">
        <f>SUM('- 18 -'!B27,'- 18 -'!E27,'- 19 -'!B27,'- 19 -'!E27,'- 19 -'!H27,'- 20 -'!B27)</f>
        <v>24077613</v>
      </c>
      <c r="C27" s="292">
        <f>B27/'- 3 -'!D27*100</f>
        <v>57.307637354355322</v>
      </c>
      <c r="D27" s="286">
        <f>B27/'- 7 -'!C27</f>
        <v>8287.7358263258084</v>
      </c>
      <c r="E27" s="286">
        <f>SUM('- 21 -'!B27,'- 21 -'!E27,'- 21 -'!H27,'- 22 -'!B27,'- 22 -'!E27,'- 22 -'!H27)</f>
        <v>8491077</v>
      </c>
      <c r="F27" s="292">
        <f>E27/'- 3 -'!D27*100</f>
        <v>20.209792451764525</v>
      </c>
      <c r="G27" s="286">
        <f>E27/'- 7 -'!E27</f>
        <v>2922.7067922800761</v>
      </c>
      <c r="H27" s="286">
        <f>SUM('- 23 -'!D27,'- 23 -'!B27)</f>
        <v>0</v>
      </c>
      <c r="I27" s="292">
        <f>H27/'- 3 -'!D27*100</f>
        <v>0</v>
      </c>
    </row>
    <row r="28" spans="1:9" ht="14.1" customHeight="1">
      <c r="A28" s="19" t="s">
        <v>126</v>
      </c>
      <c r="B28" s="20">
        <f>SUM('- 18 -'!B28,'- 18 -'!E28,'- 19 -'!B28,'- 19 -'!E28,'- 19 -'!H28,'- 20 -'!B28)</f>
        <v>16592771</v>
      </c>
      <c r="C28" s="70">
        <f>B28/'- 3 -'!D28*100</f>
        <v>59.67462441205226</v>
      </c>
      <c r="D28" s="20">
        <f>B28/'- 7 -'!C28</f>
        <v>8340.1713998492087</v>
      </c>
      <c r="E28" s="20">
        <f>SUM('- 21 -'!B28,'- 21 -'!E28,'- 21 -'!H28,'- 22 -'!B28,'- 22 -'!E28,'- 22 -'!H28)</f>
        <v>3520118</v>
      </c>
      <c r="F28" s="70">
        <f>E28/'- 3 -'!D28*100</f>
        <v>12.659833582715303</v>
      </c>
      <c r="G28" s="20">
        <f>E28/'- 7 -'!E28</f>
        <v>1769.3480774063835</v>
      </c>
      <c r="H28" s="20">
        <f>SUM('- 23 -'!D28,'- 23 -'!B28)</f>
        <v>101232</v>
      </c>
      <c r="I28" s="70">
        <f>H28/'- 3 -'!D28*100</f>
        <v>0.36407310017602695</v>
      </c>
    </row>
    <row r="29" spans="1:9" ht="14.1" customHeight="1">
      <c r="A29" s="285" t="s">
        <v>127</v>
      </c>
      <c r="B29" s="286">
        <f>SUM('- 18 -'!B29,'- 18 -'!E29,'- 19 -'!B29,'- 19 -'!E29,'- 19 -'!H29,'- 20 -'!B29)</f>
        <v>85008044</v>
      </c>
      <c r="C29" s="292">
        <f>B29/'- 3 -'!D29*100</f>
        <v>56.527782867567531</v>
      </c>
      <c r="D29" s="286">
        <f>B29/'- 7 -'!C29</f>
        <v>6697.0798767853912</v>
      </c>
      <c r="E29" s="286">
        <f>SUM('- 21 -'!B29,'- 21 -'!E29,'- 21 -'!H29,'- 22 -'!B29,'- 22 -'!E29,'- 22 -'!H29)</f>
        <v>29726578</v>
      </c>
      <c r="F29" s="292">
        <f>E29/'- 3 -'!D29*100</f>
        <v>19.767276924755613</v>
      </c>
      <c r="G29" s="286">
        <f>E29/'- 7 -'!E29</f>
        <v>2341.9109293879451</v>
      </c>
      <c r="H29" s="286">
        <f>SUM('- 23 -'!D29,'- 23 -'!B29)</f>
        <v>0</v>
      </c>
      <c r="I29" s="292">
        <f>H29/'- 3 -'!D29*100</f>
        <v>0</v>
      </c>
    </row>
    <row r="30" spans="1:9" ht="14.1" customHeight="1">
      <c r="A30" s="19" t="s">
        <v>128</v>
      </c>
      <c r="B30" s="20">
        <f>SUM('- 18 -'!B30,'- 18 -'!E30,'- 19 -'!B30,'- 19 -'!E30,'- 19 -'!H30,'- 20 -'!B30)</f>
        <v>8531187</v>
      </c>
      <c r="C30" s="70">
        <f>B30/'- 3 -'!D30*100</f>
        <v>61.422719442632904</v>
      </c>
      <c r="D30" s="20">
        <f>B30/'- 7 -'!C30</f>
        <v>8497.1982071713155</v>
      </c>
      <c r="E30" s="20">
        <f>SUM('- 21 -'!B30,'- 21 -'!E30,'- 21 -'!H30,'- 22 -'!B30,'- 22 -'!E30,'- 22 -'!H30)</f>
        <v>1543598</v>
      </c>
      <c r="F30" s="70">
        <f>E30/'- 3 -'!D30*100</f>
        <v>11.113575037824075</v>
      </c>
      <c r="G30" s="20">
        <f>E30/'- 7 -'!E30</f>
        <v>1537.4482071713148</v>
      </c>
      <c r="H30" s="20">
        <f>SUM('- 23 -'!D30,'- 23 -'!B30)</f>
        <v>0</v>
      </c>
      <c r="I30" s="70">
        <f>H30/'- 3 -'!D30*100</f>
        <v>0</v>
      </c>
    </row>
    <row r="31" spans="1:9" ht="14.1" customHeight="1">
      <c r="A31" s="285" t="s">
        <v>129</v>
      </c>
      <c r="B31" s="286">
        <f>SUM('- 18 -'!B31,'- 18 -'!E31,'- 19 -'!B31,'- 19 -'!E31,'- 19 -'!H31,'- 20 -'!B31)</f>
        <v>21121711</v>
      </c>
      <c r="C31" s="292">
        <f>B31/'- 3 -'!D31*100</f>
        <v>59.011095506163414</v>
      </c>
      <c r="D31" s="286">
        <f>B31/'- 7 -'!C31</f>
        <v>6462.2031512926415</v>
      </c>
      <c r="E31" s="286">
        <f>SUM('- 21 -'!B31,'- 21 -'!E31,'- 21 -'!H31,'- 22 -'!B31,'- 22 -'!E31,'- 22 -'!H31)</f>
        <v>6845679</v>
      </c>
      <c r="F31" s="292">
        <f>E31/'- 3 -'!D31*100</f>
        <v>19.125866141882973</v>
      </c>
      <c r="G31" s="286">
        <f>E31/'- 7 -'!E31</f>
        <v>2094.4405690683798</v>
      </c>
      <c r="H31" s="286">
        <f>SUM('- 23 -'!D31,'- 23 -'!B31)</f>
        <v>0</v>
      </c>
      <c r="I31" s="292">
        <f>H31/'- 3 -'!D31*100</f>
        <v>0</v>
      </c>
    </row>
    <row r="32" spans="1:9" ht="14.1" customHeight="1">
      <c r="A32" s="19" t="s">
        <v>130</v>
      </c>
      <c r="B32" s="20">
        <f>SUM('- 18 -'!B32,'- 18 -'!E32,'- 19 -'!B32,'- 19 -'!E32,'- 19 -'!H32,'- 20 -'!B32)</f>
        <v>16291862</v>
      </c>
      <c r="C32" s="70">
        <f>B32/'- 3 -'!D32*100</f>
        <v>58.352187878157935</v>
      </c>
      <c r="D32" s="20">
        <f>B32/'- 7 -'!C32</f>
        <v>7713.2193921030193</v>
      </c>
      <c r="E32" s="20">
        <f>SUM('- 21 -'!B32,'- 21 -'!E32,'- 21 -'!H32,'- 22 -'!B32,'- 22 -'!E32,'- 22 -'!H32)</f>
        <v>3627427</v>
      </c>
      <c r="F32" s="70">
        <f>E32/'- 3 -'!D32*100</f>
        <v>12.992271958742519</v>
      </c>
      <c r="G32" s="20">
        <f>E32/'- 7 -'!E32</f>
        <v>1717.3690938358109</v>
      </c>
      <c r="H32" s="20">
        <f>SUM('- 23 -'!D32,'- 23 -'!B32)</f>
        <v>266954</v>
      </c>
      <c r="I32" s="70">
        <f>H32/'- 3 -'!D32*100</f>
        <v>0.95614300948693109</v>
      </c>
    </row>
    <row r="33" spans="1:9" ht="14.1" customHeight="1">
      <c r="A33" s="285" t="s">
        <v>131</v>
      </c>
      <c r="B33" s="286">
        <f>SUM('- 18 -'!B33,'- 18 -'!E33,'- 19 -'!B33,'- 19 -'!E33,'- 19 -'!H33,'- 20 -'!B33)</f>
        <v>15630966</v>
      </c>
      <c r="C33" s="292">
        <f>B33/'- 3 -'!D33*100</f>
        <v>59.069485229346633</v>
      </c>
      <c r="D33" s="286">
        <f>B33/'- 7 -'!C33</f>
        <v>7684.4629074283466</v>
      </c>
      <c r="E33" s="286">
        <f>SUM('- 21 -'!B33,'- 21 -'!E33,'- 21 -'!H33,'- 22 -'!B33,'- 22 -'!E33,'- 22 -'!H33)</f>
        <v>3410421</v>
      </c>
      <c r="F33" s="292">
        <f>E33/'- 3 -'!D33*100</f>
        <v>12.887995078829647</v>
      </c>
      <c r="G33" s="286">
        <f>E33/'- 7 -'!E33</f>
        <v>1676.6240597807382</v>
      </c>
      <c r="H33" s="286">
        <f>SUM('- 23 -'!D33,'- 23 -'!B33)</f>
        <v>0</v>
      </c>
      <c r="I33" s="292">
        <f>H33/'- 3 -'!D33*100</f>
        <v>0</v>
      </c>
    </row>
    <row r="34" spans="1:9" ht="14.1" customHeight="1">
      <c r="A34" s="19" t="s">
        <v>132</v>
      </c>
      <c r="B34" s="20">
        <f>SUM('- 18 -'!B34,'- 18 -'!E34,'- 19 -'!B34,'- 19 -'!E34,'- 19 -'!H34,'- 20 -'!B34)</f>
        <v>15629701</v>
      </c>
      <c r="C34" s="70">
        <f>B34/'- 3 -'!D34*100</f>
        <v>56.030430805897915</v>
      </c>
      <c r="D34" s="20">
        <f>B34/'- 7 -'!C34</f>
        <v>7887.5739316498111</v>
      </c>
      <c r="E34" s="20">
        <f>SUM('- 21 -'!B34,'- 21 -'!E34,'- 21 -'!H34,'- 22 -'!B34,'- 22 -'!E34,'- 22 -'!H34)</f>
        <v>4355145</v>
      </c>
      <c r="F34" s="70">
        <f>E34/'- 3 -'!D34*100</f>
        <v>15.612624360002297</v>
      </c>
      <c r="G34" s="20">
        <f>E34/'- 7 -'!E34</f>
        <v>2197.8365530188339</v>
      </c>
      <c r="H34" s="20">
        <f>SUM('- 23 -'!D34,'- 23 -'!B34)</f>
        <v>0</v>
      </c>
      <c r="I34" s="70">
        <f>H34/'- 3 -'!D34*100</f>
        <v>0</v>
      </c>
    </row>
    <row r="35" spans="1:9" ht="14.1" customHeight="1">
      <c r="A35" s="285" t="s">
        <v>133</v>
      </c>
      <c r="B35" s="286">
        <f>SUM('- 18 -'!B35,'- 18 -'!E35,'- 19 -'!B35,'- 19 -'!E35,'- 19 -'!H35,'- 20 -'!B35)</f>
        <v>102934161</v>
      </c>
      <c r="C35" s="292">
        <f>B35/'- 3 -'!D35*100</f>
        <v>57.014720569205579</v>
      </c>
      <c r="D35" s="286">
        <f>B35/'- 7 -'!C35</f>
        <v>6671.6894707845868</v>
      </c>
      <c r="E35" s="286">
        <f>SUM('- 21 -'!B35,'- 21 -'!E35,'- 21 -'!H35,'- 22 -'!B35,'- 22 -'!E35,'- 22 -'!H35)</f>
        <v>34348245</v>
      </c>
      <c r="F35" s="292">
        <f>E35/'- 3 -'!D35*100</f>
        <v>19.025322319551549</v>
      </c>
      <c r="G35" s="286">
        <f>E35/'- 7 -'!E35</f>
        <v>2226.2854457659528</v>
      </c>
      <c r="H35" s="286">
        <f>SUM('- 23 -'!D35,'- 23 -'!B35)</f>
        <v>1007529</v>
      </c>
      <c r="I35" s="292">
        <f>H35/'- 3 -'!D35*100</f>
        <v>0.55806530934245557</v>
      </c>
    </row>
    <row r="36" spans="1:9" ht="14.1" customHeight="1">
      <c r="A36" s="19" t="s">
        <v>134</v>
      </c>
      <c r="B36" s="20">
        <f>SUM('- 18 -'!B36,'- 18 -'!E36,'- 19 -'!B36,'- 19 -'!E36,'- 19 -'!H36,'- 20 -'!B36)</f>
        <v>13163899</v>
      </c>
      <c r="C36" s="70">
        <f>B36/'- 3 -'!D36*100</f>
        <v>58.666745638309692</v>
      </c>
      <c r="D36" s="20">
        <f>B36/'- 7 -'!C36</f>
        <v>8043.9346165597308</v>
      </c>
      <c r="E36" s="20">
        <f>SUM('- 21 -'!B36,'- 21 -'!E36,'- 21 -'!H36,'- 22 -'!B36,'- 22 -'!E36,'- 22 -'!H36)</f>
        <v>2820091</v>
      </c>
      <c r="F36" s="70">
        <f>E36/'- 3 -'!D36*100</f>
        <v>12.568127526190107</v>
      </c>
      <c r="G36" s="20">
        <f>E36/'- 7 -'!E36</f>
        <v>1723.2453406660557</v>
      </c>
      <c r="H36" s="20">
        <f>SUM('- 23 -'!D36,'- 23 -'!B36)</f>
        <v>120012</v>
      </c>
      <c r="I36" s="70">
        <f>H36/'- 3 -'!D36*100</f>
        <v>0.5348501593293008</v>
      </c>
    </row>
    <row r="37" spans="1:9" ht="14.1" customHeight="1">
      <c r="A37" s="285" t="s">
        <v>135</v>
      </c>
      <c r="B37" s="286">
        <f>SUM('- 18 -'!B37,'- 18 -'!E37,'- 19 -'!B37,'- 19 -'!E37,'- 19 -'!H37,'- 20 -'!B37)</f>
        <v>27185683</v>
      </c>
      <c r="C37" s="292">
        <f>B37/'- 3 -'!D37*100</f>
        <v>56.919914174840272</v>
      </c>
      <c r="D37" s="286">
        <f>B37/'- 7 -'!C37</f>
        <v>6624.9989033751672</v>
      </c>
      <c r="E37" s="286">
        <f>SUM('- 21 -'!B37,'- 21 -'!E37,'- 21 -'!H37,'- 22 -'!B37,'- 22 -'!E37,'- 22 -'!H37)</f>
        <v>8070639</v>
      </c>
      <c r="F37" s="292">
        <f>E37/'- 3 -'!D37*100</f>
        <v>16.897867867293186</v>
      </c>
      <c r="G37" s="286">
        <f>E37/'- 7 -'!E37</f>
        <v>1966.7695869379797</v>
      </c>
      <c r="H37" s="286">
        <f>SUM('- 23 -'!D37,'- 23 -'!B37)</f>
        <v>311899</v>
      </c>
      <c r="I37" s="292">
        <f>H37/'- 3 -'!D37*100</f>
        <v>0.65303727374509979</v>
      </c>
    </row>
    <row r="38" spans="1:9" ht="14.1" customHeight="1">
      <c r="A38" s="19" t="s">
        <v>136</v>
      </c>
      <c r="B38" s="20">
        <f>SUM('- 18 -'!B38,'- 18 -'!E38,'- 19 -'!B38,'- 19 -'!E38,'- 19 -'!H38,'- 20 -'!B38)</f>
        <v>74639704</v>
      </c>
      <c r="C38" s="70">
        <f>B38/'- 3 -'!D38*100</f>
        <v>58.798800805360848</v>
      </c>
      <c r="D38" s="20">
        <f>B38/'- 7 -'!C38</f>
        <v>6911.5316733491982</v>
      </c>
      <c r="E38" s="20">
        <f>SUM('- 21 -'!B38,'- 21 -'!E38,'- 21 -'!H38,'- 22 -'!B38,'- 22 -'!E38,'- 22 -'!H38)</f>
        <v>23061378</v>
      </c>
      <c r="F38" s="70">
        <f>E38/'- 3 -'!D38*100</f>
        <v>18.167025036957956</v>
      </c>
      <c r="G38" s="20">
        <f>E38/'- 7 -'!E38</f>
        <v>2135.4511866509865</v>
      </c>
      <c r="H38" s="20">
        <f>SUM('- 23 -'!D38,'- 23 -'!B38)</f>
        <v>839674</v>
      </c>
      <c r="I38" s="70">
        <f>H38/'- 3 -'!D38*100</f>
        <v>0.66146865035049662</v>
      </c>
    </row>
    <row r="39" spans="1:9" ht="14.1" customHeight="1">
      <c r="A39" s="285" t="s">
        <v>137</v>
      </c>
      <c r="B39" s="286">
        <f>SUM('- 18 -'!B39,'- 18 -'!E39,'- 19 -'!B39,'- 19 -'!E39,'- 19 -'!H39,'- 20 -'!B39)</f>
        <v>11764681</v>
      </c>
      <c r="C39" s="292">
        <f>B39/'- 3 -'!D39*100</f>
        <v>56.898858026124365</v>
      </c>
      <c r="D39" s="286">
        <f>B39/'- 7 -'!C39</f>
        <v>7422.9799987380902</v>
      </c>
      <c r="E39" s="286">
        <f>SUM('- 21 -'!B39,'- 21 -'!E39,'- 21 -'!H39,'- 22 -'!B39,'- 22 -'!E39,'- 22 -'!H39)</f>
        <v>2959609</v>
      </c>
      <c r="F39" s="292">
        <f>E39/'- 3 -'!D39*100</f>
        <v>14.313891919707803</v>
      </c>
      <c r="G39" s="286">
        <f>E39/'- 7 -'!E39</f>
        <v>1867.379014448861</v>
      </c>
      <c r="H39" s="286">
        <f>SUM('- 23 -'!D39,'- 23 -'!B39)</f>
        <v>0</v>
      </c>
      <c r="I39" s="292">
        <f>H39/'- 3 -'!D39*100</f>
        <v>0</v>
      </c>
    </row>
    <row r="40" spans="1:9" ht="14.1" customHeight="1">
      <c r="A40" s="19" t="s">
        <v>138</v>
      </c>
      <c r="B40" s="20">
        <f>SUM('- 18 -'!B40,'- 18 -'!E40,'- 19 -'!B40,'- 19 -'!E40,'- 19 -'!H40,'- 20 -'!B40)</f>
        <v>57102353</v>
      </c>
      <c r="C40" s="70">
        <f>B40/'- 3 -'!D40*100</f>
        <v>56.066081375297131</v>
      </c>
      <c r="D40" s="20">
        <f>B40/'- 7 -'!C40</f>
        <v>7174.6539094598493</v>
      </c>
      <c r="E40" s="20">
        <f>SUM('- 21 -'!B40,'- 21 -'!E40,'- 21 -'!H40,'- 22 -'!B40,'- 22 -'!E40,'- 22 -'!H40)</f>
        <v>21859826</v>
      </c>
      <c r="F40" s="70">
        <f>E40/'- 3 -'!D40*100</f>
        <v>21.463122252875216</v>
      </c>
      <c r="G40" s="20">
        <f>E40/'- 7 -'!E40</f>
        <v>2746.5888502179946</v>
      </c>
      <c r="H40" s="20">
        <f>SUM('- 23 -'!D40,'- 23 -'!B40)</f>
        <v>0</v>
      </c>
      <c r="I40" s="70">
        <f>H40/'- 3 -'!D40*100</f>
        <v>0</v>
      </c>
    </row>
    <row r="41" spans="1:9" ht="14.1" customHeight="1">
      <c r="A41" s="285" t="s">
        <v>139</v>
      </c>
      <c r="B41" s="286">
        <f>SUM('- 18 -'!B41,'- 18 -'!E41,'- 19 -'!B41,'- 19 -'!E41,'- 19 -'!H41,'- 20 -'!B41)</f>
        <v>32538284</v>
      </c>
      <c r="C41" s="292">
        <f>B41/'- 3 -'!D41*100</f>
        <v>52.643372175102968</v>
      </c>
      <c r="D41" s="286">
        <f>B41/'- 7 -'!C41</f>
        <v>7418.6694026447785</v>
      </c>
      <c r="E41" s="286">
        <f>SUM('- 21 -'!B41,'- 21 -'!E41,'- 21 -'!H41,'- 22 -'!B41,'- 22 -'!E41,'- 22 -'!H41)</f>
        <v>11668748</v>
      </c>
      <c r="F41" s="292">
        <f>E41/'- 3 -'!D41*100</f>
        <v>18.878753525585072</v>
      </c>
      <c r="G41" s="286">
        <f>E41/'- 7 -'!E41</f>
        <v>2660.4532603739171</v>
      </c>
      <c r="H41" s="286">
        <f>SUM('- 23 -'!D41,'- 23 -'!B41)</f>
        <v>970970</v>
      </c>
      <c r="I41" s="292">
        <f>H41/'- 3 -'!D41*100</f>
        <v>1.5709228882770747</v>
      </c>
    </row>
    <row r="42" spans="1:9" ht="14.1" customHeight="1">
      <c r="A42" s="19" t="s">
        <v>140</v>
      </c>
      <c r="B42" s="20">
        <f>SUM('- 18 -'!B42,'- 18 -'!E42,'- 19 -'!B42,'- 19 -'!E42,'- 19 -'!H42,'- 20 -'!B42)</f>
        <v>11322564</v>
      </c>
      <c r="C42" s="70">
        <f>B42/'- 3 -'!D42*100</f>
        <v>56.542393621624583</v>
      </c>
      <c r="D42" s="20">
        <f>B42/'- 7 -'!C42</f>
        <v>8179.8612917208511</v>
      </c>
      <c r="E42" s="20">
        <f>SUM('- 21 -'!B42,'- 21 -'!E42,'- 21 -'!H42,'- 22 -'!B42,'- 22 -'!E42,'- 22 -'!H42)</f>
        <v>2864288</v>
      </c>
      <c r="F42" s="70">
        <f>E42/'- 3 -'!D42*100</f>
        <v>14.303624120976119</v>
      </c>
      <c r="G42" s="20">
        <f>E42/'- 7 -'!E42</f>
        <v>2069.2732264123683</v>
      </c>
      <c r="H42" s="20">
        <f>SUM('- 23 -'!D42,'- 23 -'!B42)</f>
        <v>0</v>
      </c>
      <c r="I42" s="70">
        <f>H42/'- 3 -'!D42*100</f>
        <v>0</v>
      </c>
    </row>
    <row r="43" spans="1:9" ht="14.1" customHeight="1">
      <c r="A43" s="285" t="s">
        <v>141</v>
      </c>
      <c r="B43" s="286">
        <f>SUM('- 18 -'!B43,'- 18 -'!E43,'- 19 -'!B43,'- 19 -'!E43,'- 19 -'!H43,'- 20 -'!B43)</f>
        <v>6962548</v>
      </c>
      <c r="C43" s="292">
        <f>B43/'- 3 -'!D43*100</f>
        <v>54.746012099945041</v>
      </c>
      <c r="D43" s="286">
        <f>B43/'- 7 -'!C43</f>
        <v>7354.5452624907575</v>
      </c>
      <c r="E43" s="286">
        <f>SUM('- 21 -'!B43,'- 21 -'!E43,'- 21 -'!H43,'- 22 -'!B43,'- 22 -'!E43,'- 22 -'!H43)</f>
        <v>2168015</v>
      </c>
      <c r="F43" s="292">
        <f>E43/'- 3 -'!D43*100</f>
        <v>17.04694537443223</v>
      </c>
      <c r="G43" s="286">
        <f>E43/'- 7 -'!E43</f>
        <v>2290.0760536600824</v>
      </c>
      <c r="H43" s="286">
        <f>SUM('- 23 -'!D43,'- 23 -'!B43)</f>
        <v>232675</v>
      </c>
      <c r="I43" s="292">
        <f>H43/'- 3 -'!D43*100</f>
        <v>1.8295067215844996</v>
      </c>
    </row>
    <row r="44" spans="1:9" ht="14.1" customHeight="1">
      <c r="A44" s="19" t="s">
        <v>142</v>
      </c>
      <c r="B44" s="20">
        <f>SUM('- 18 -'!B44,'- 18 -'!E44,'- 19 -'!B44,'- 19 -'!E44,'- 19 -'!H44,'- 20 -'!B44)</f>
        <v>5976361</v>
      </c>
      <c r="C44" s="70">
        <f>B44/'- 3 -'!D44*100</f>
        <v>55.002975926699527</v>
      </c>
      <c r="D44" s="20">
        <f>B44/'- 7 -'!C44</f>
        <v>8775.8604992657856</v>
      </c>
      <c r="E44" s="20">
        <f>SUM('- 21 -'!B44,'- 21 -'!E44,'- 21 -'!H44,'- 22 -'!B44,'- 22 -'!E44,'- 22 -'!H44)</f>
        <v>1701504</v>
      </c>
      <c r="F44" s="70">
        <f>E44/'- 3 -'!D44*100</f>
        <v>15.659660377139692</v>
      </c>
      <c r="G44" s="20">
        <f>E44/'- 7 -'!E44</f>
        <v>2498.5374449339206</v>
      </c>
      <c r="H44" s="20">
        <f>SUM('- 23 -'!D44,'- 23 -'!B44)</f>
        <v>0</v>
      </c>
      <c r="I44" s="70">
        <f>H44/'- 3 -'!D44*100</f>
        <v>0</v>
      </c>
    </row>
    <row r="45" spans="1:9" ht="14.1" customHeight="1">
      <c r="A45" s="285" t="s">
        <v>143</v>
      </c>
      <c r="B45" s="286">
        <f>SUM('- 18 -'!B45,'- 18 -'!E45,'- 19 -'!B45,'- 19 -'!E45,'- 19 -'!H45,'- 20 -'!B45)</f>
        <v>11053883</v>
      </c>
      <c r="C45" s="292">
        <f>B45/'- 3 -'!D45*100</f>
        <v>60.295565948932371</v>
      </c>
      <c r="D45" s="286">
        <f>B45/'- 7 -'!C45</f>
        <v>6658.9656626506021</v>
      </c>
      <c r="E45" s="286">
        <f>SUM('- 21 -'!B45,'- 21 -'!E45,'- 21 -'!H45,'- 22 -'!B45,'- 22 -'!E45,'- 22 -'!H45)</f>
        <v>2658047</v>
      </c>
      <c r="F45" s="292">
        <f>E45/'- 3 -'!D45*100</f>
        <v>14.498837031644159</v>
      </c>
      <c r="G45" s="286">
        <f>E45/'- 7 -'!E45</f>
        <v>1601.2331325301204</v>
      </c>
      <c r="H45" s="286">
        <f>SUM('- 23 -'!D45,'- 23 -'!B45)</f>
        <v>395968</v>
      </c>
      <c r="I45" s="292">
        <f>H45/'- 3 -'!D45*100</f>
        <v>2.1598848710147243</v>
      </c>
    </row>
    <row r="46" spans="1:9" ht="14.1" customHeight="1">
      <c r="A46" s="19" t="s">
        <v>144</v>
      </c>
      <c r="B46" s="20">
        <f>SUM('- 18 -'!B46,'- 18 -'!E46,'- 19 -'!B46,'- 19 -'!E46,'- 19 -'!H46,'- 20 -'!B46)</f>
        <v>202346055</v>
      </c>
      <c r="C46" s="70">
        <f>B46/'- 3 -'!D46*100</f>
        <v>53.031839165309592</v>
      </c>
      <c r="D46" s="20">
        <f>B46/'- 7 -'!C46</f>
        <v>6782.1704374057317</v>
      </c>
      <c r="E46" s="20">
        <f>SUM('- 21 -'!B46,'- 21 -'!E46,'- 21 -'!H46,'- 22 -'!B46,'- 22 -'!E46,'- 22 -'!H46)</f>
        <v>89277798</v>
      </c>
      <c r="F46" s="70">
        <f>E46/'- 3 -'!D46*100</f>
        <v>23.398359926359813</v>
      </c>
      <c r="G46" s="20">
        <f>E46/'- 7 -'!E46</f>
        <v>2992.3847159376569</v>
      </c>
      <c r="H46" s="20">
        <f>SUM('- 23 -'!D46,'- 23 -'!B46)</f>
        <v>781794</v>
      </c>
      <c r="I46" s="70">
        <f>H46/'- 3 -'!D46*100</f>
        <v>0.20489637748758704</v>
      </c>
    </row>
    <row r="47" spans="1:9" ht="5.0999999999999996" customHeight="1">
      <c r="A47" s="21"/>
      <c r="B47" s="22"/>
      <c r="C47" s="71"/>
      <c r="D47" s="22"/>
      <c r="E47" s="22"/>
      <c r="F47" s="71"/>
      <c r="G47" s="22"/>
      <c r="H47" s="22"/>
      <c r="I47" s="71"/>
    </row>
    <row r="48" spans="1:9" ht="14.1" customHeight="1">
      <c r="A48" s="287" t="s">
        <v>145</v>
      </c>
      <c r="B48" s="288">
        <f>SUM(B11:B46)</f>
        <v>1235490195</v>
      </c>
      <c r="C48" s="295">
        <f>B48/'- 3 -'!D48*100</f>
        <v>55.765669899922678</v>
      </c>
      <c r="D48" s="288">
        <f>B48/'- 7 -'!C48</f>
        <v>7100.2313215186587</v>
      </c>
      <c r="E48" s="288">
        <f>SUM(E11:E46)</f>
        <v>408451246</v>
      </c>
      <c r="F48" s="295">
        <f>E48/'- 3 -'!D48*100</f>
        <v>18.436048660546522</v>
      </c>
      <c r="G48" s="288">
        <f>E48/'- 7 -'!E48</f>
        <v>2347.3260588381463</v>
      </c>
      <c r="H48" s="288">
        <f>SUM(H11:H46)</f>
        <v>10261930</v>
      </c>
      <c r="I48" s="295">
        <f>H48/'- 3 -'!D48*100</f>
        <v>0.46318732696710191</v>
      </c>
    </row>
    <row r="49" spans="1:9" ht="5.0999999999999996" customHeight="1">
      <c r="A49" s="21" t="s">
        <v>7</v>
      </c>
      <c r="B49" s="22"/>
      <c r="C49" s="71"/>
      <c r="D49" s="22"/>
      <c r="E49" s="22"/>
      <c r="F49" s="71"/>
      <c r="H49" s="22"/>
      <c r="I49" s="71"/>
    </row>
    <row r="50" spans="1:9" ht="14.1" customHeight="1">
      <c r="A50" s="285" t="s">
        <v>146</v>
      </c>
      <c r="B50" s="286">
        <f>SUM('- 18 -'!B50,'- 18 -'!E50,'- 19 -'!B50,'- 19 -'!E50,'- 19 -'!H50,'- 20 -'!B50)</f>
        <v>2015265</v>
      </c>
      <c r="C50" s="292">
        <f>B50/'- 3 -'!D50*100</f>
        <v>59.99467710287928</v>
      </c>
      <c r="D50" s="286">
        <f>B50/'- 7 -'!C50</f>
        <v>11785.17543859649</v>
      </c>
      <c r="E50" s="286">
        <f>SUM('- 21 -'!B50,'- 21 -'!E50,'- 21 -'!H50,'- 22 -'!B50,'- 22 -'!E50,'- 22 -'!H50)</f>
        <v>550593</v>
      </c>
      <c r="F50" s="292">
        <f>E50/'- 3 -'!D50*100</f>
        <v>16.391218648716478</v>
      </c>
      <c r="G50" s="286">
        <f>E50/'- 7 -'!E50</f>
        <v>3219.8421052631579</v>
      </c>
      <c r="H50" s="286">
        <f>SUM('- 23 -'!D50,'- 23 -'!B50)</f>
        <v>0</v>
      </c>
      <c r="I50" s="292">
        <f>H50/'- 3 -'!D50*100</f>
        <v>0</v>
      </c>
    </row>
    <row r="51" spans="1:9" ht="14.1" customHeight="1">
      <c r="A51" s="19" t="s">
        <v>612</v>
      </c>
      <c r="B51" s="20">
        <f>SUM('- 18 -'!B51,'- 18 -'!E51,'- 19 -'!B51,'- 19 -'!E51,'- 19 -'!H51,'- 20 -'!B51)</f>
        <v>5454291</v>
      </c>
      <c r="C51" s="70">
        <f>B51/'- 3 -'!D51*100</f>
        <v>20.572493576813571</v>
      </c>
      <c r="D51" s="20">
        <f>B51/'- 7 -'!C51</f>
        <v>5368.3966535433074</v>
      </c>
      <c r="E51" s="20">
        <f>SUM('- 21 -'!B51,'- 21 -'!E51,'- 21 -'!H51,'- 22 -'!B51,'- 22 -'!E51,'- 22 -'!H51)</f>
        <v>542955</v>
      </c>
      <c r="F51" s="70">
        <f>E51/'- 3 -'!D51*100</f>
        <v>2.0479175478533893</v>
      </c>
      <c r="G51" s="20">
        <f>E51/'- 7 -'!E51</f>
        <v>534.40452755905517</v>
      </c>
      <c r="H51" s="20">
        <f>SUM('- 23 -'!D51,'- 23 -'!B51)</f>
        <v>2837830</v>
      </c>
      <c r="I51" s="70">
        <f>H51/'- 3 -'!D51*100</f>
        <v>10.703726560810352</v>
      </c>
    </row>
    <row r="52" spans="1:9" ht="50.1" customHeight="1"/>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sheetPr codeName="Sheet11">
    <pageSetUpPr fitToPage="1"/>
  </sheetPr>
  <dimension ref="A1:I52"/>
  <sheetViews>
    <sheetView showGridLines="0" showZeros="0" workbookViewId="0"/>
  </sheetViews>
  <sheetFormatPr defaultColWidth="15.83203125" defaultRowHeight="12"/>
  <cols>
    <col min="1" max="1" width="32.83203125" style="2" customWidth="1"/>
    <col min="2" max="2" width="18.83203125" style="2" customWidth="1"/>
    <col min="3" max="3" width="9.83203125" style="2" customWidth="1"/>
    <col min="4" max="4" width="16.83203125" style="2" customWidth="1"/>
    <col min="5" max="5" width="8.83203125" style="2" customWidth="1"/>
    <col min="6" max="6" width="9.83203125" style="2" customWidth="1"/>
    <col min="7" max="7" width="16.83203125" style="2" customWidth="1"/>
    <col min="8" max="8" width="8.83203125" style="2" customWidth="1"/>
    <col min="9" max="9" width="9.83203125" style="2" customWidth="1"/>
    <col min="10" max="16384" width="15.83203125" style="2"/>
  </cols>
  <sheetData>
    <row r="1" spans="1:9" ht="6.95" customHeight="1">
      <c r="A1" s="7"/>
      <c r="B1" s="8"/>
      <c r="C1" s="8"/>
      <c r="D1" s="8"/>
      <c r="E1" s="8"/>
      <c r="F1" s="8"/>
      <c r="G1" s="8"/>
      <c r="H1" s="8"/>
      <c r="I1" s="8"/>
    </row>
    <row r="2" spans="1:9" ht="15.95" customHeight="1">
      <c r="A2" s="134"/>
      <c r="B2" s="9" t="s">
        <v>261</v>
      </c>
      <c r="C2" s="10"/>
      <c r="D2" s="10"/>
      <c r="E2" s="10"/>
      <c r="F2" s="10"/>
      <c r="G2" s="73"/>
      <c r="H2" s="81"/>
      <c r="I2" s="135" t="s">
        <v>8</v>
      </c>
    </row>
    <row r="3" spans="1:9" ht="15.95" customHeight="1">
      <c r="A3" s="543"/>
      <c r="B3" s="11" t="str">
        <f>OPYEAR</f>
        <v>OPERATING FUND 2015/2016 ACTUAL</v>
      </c>
      <c r="C3" s="12"/>
      <c r="D3" s="12"/>
      <c r="E3" s="12"/>
      <c r="F3" s="12"/>
      <c r="G3" s="75"/>
      <c r="H3" s="66"/>
      <c r="I3" s="66"/>
    </row>
    <row r="4" spans="1:9" ht="15.95" customHeight="1">
      <c r="B4" s="8"/>
      <c r="C4" s="8"/>
      <c r="D4" s="8"/>
      <c r="E4" s="8"/>
      <c r="F4" s="8"/>
      <c r="G4" s="8"/>
      <c r="H4" s="8"/>
      <c r="I4" s="8"/>
    </row>
    <row r="5" spans="1:9" ht="15.95" customHeight="1">
      <c r="B5" s="8"/>
      <c r="C5" s="8"/>
      <c r="D5" s="8"/>
      <c r="E5" s="8"/>
      <c r="F5" s="8"/>
      <c r="G5" s="8"/>
      <c r="H5" s="8"/>
      <c r="I5" s="8"/>
    </row>
    <row r="6" spans="1:9" ht="15.95" customHeight="1">
      <c r="B6" s="643" t="s">
        <v>475</v>
      </c>
      <c r="C6" s="644"/>
      <c r="D6" s="643" t="s">
        <v>476</v>
      </c>
      <c r="E6" s="651"/>
      <c r="F6" s="644"/>
      <c r="G6" s="643" t="s">
        <v>477</v>
      </c>
      <c r="H6" s="651"/>
      <c r="I6" s="644"/>
    </row>
    <row r="7" spans="1:9" ht="15.95" customHeight="1">
      <c r="B7" s="645"/>
      <c r="C7" s="646"/>
      <c r="D7" s="645"/>
      <c r="E7" s="652"/>
      <c r="F7" s="646"/>
      <c r="G7" s="645"/>
      <c r="H7" s="652"/>
      <c r="I7" s="646"/>
    </row>
    <row r="8" spans="1:9" ht="15.95" customHeight="1">
      <c r="A8" s="67"/>
      <c r="B8" s="14" t="s">
        <v>7</v>
      </c>
      <c r="C8" s="138"/>
      <c r="D8" s="137"/>
      <c r="E8" s="139"/>
      <c r="F8" s="617" t="s">
        <v>327</v>
      </c>
      <c r="G8" s="137"/>
      <c r="H8" s="139"/>
      <c r="I8" s="617" t="s">
        <v>327</v>
      </c>
    </row>
    <row r="9" spans="1:9" ht="15.95" customHeight="1">
      <c r="A9" s="35" t="s">
        <v>42</v>
      </c>
      <c r="B9" s="77" t="s">
        <v>43</v>
      </c>
      <c r="C9" s="77" t="s">
        <v>44</v>
      </c>
      <c r="D9" s="77" t="s">
        <v>43</v>
      </c>
      <c r="E9" s="77" t="s">
        <v>44</v>
      </c>
      <c r="F9" s="598"/>
      <c r="G9" s="77" t="s">
        <v>43</v>
      </c>
      <c r="H9" s="77" t="s">
        <v>44</v>
      </c>
      <c r="I9" s="598"/>
    </row>
    <row r="10" spans="1:9" ht="5.0999999999999996" customHeight="1">
      <c r="A10" s="6"/>
    </row>
    <row r="11" spans="1:9" ht="14.1" customHeight="1">
      <c r="A11" s="285" t="s">
        <v>110</v>
      </c>
      <c r="B11" s="286">
        <f>SUM('- 24 -'!H11,'- 24 -'!F11,'- 24 -'!D11,'- 24 -'!B11)</f>
        <v>22298</v>
      </c>
      <c r="C11" s="292">
        <f>B11/'- 3 -'!D11*100</f>
        <v>0.1242984936514285</v>
      </c>
      <c r="D11" s="286">
        <f>SUM('- 25 -'!B11,'- 25 -'!E11,'- 25 -'!H11,'- 26 -'!B11)</f>
        <v>666785</v>
      </c>
      <c r="E11" s="292">
        <f>D11/'- 3 -'!D11*100</f>
        <v>3.7169419270503079</v>
      </c>
      <c r="F11" s="286">
        <f>D11/'- 7 -'!E11</f>
        <v>397.8430787589499</v>
      </c>
      <c r="G11" s="286">
        <f>SUM('- 27 -'!B11,'- 27 -'!E11,'- 27 -'!H11,'- 28 -'!B11,'- 28 -'!E11)</f>
        <v>367943</v>
      </c>
      <c r="H11" s="292">
        <f>G11/'- 3 -'!D11*100</f>
        <v>2.0510700802577611</v>
      </c>
      <c r="I11" s="286">
        <f>G11/'- 7 -'!E11</f>
        <v>219.53639618138425</v>
      </c>
    </row>
    <row r="12" spans="1:9" ht="14.1" customHeight="1">
      <c r="A12" s="19" t="s">
        <v>111</v>
      </c>
      <c r="B12" s="20">
        <f>SUM('- 24 -'!H12,'- 24 -'!F12,'- 24 -'!D12,'- 24 -'!B12)</f>
        <v>49633</v>
      </c>
      <c r="C12" s="70">
        <f>B12/'- 3 -'!D12*100</f>
        <v>0.15367561302119451</v>
      </c>
      <c r="D12" s="20">
        <f>SUM('- 25 -'!B12,'- 25 -'!E12,'- 25 -'!H12,'- 26 -'!B12)</f>
        <v>1030133</v>
      </c>
      <c r="E12" s="70">
        <f>D12/'- 3 -'!D12*100</f>
        <v>3.1895376114351772</v>
      </c>
      <c r="F12" s="20">
        <f>D12/'- 7 -'!E12</f>
        <v>484.79128429573154</v>
      </c>
      <c r="G12" s="20">
        <f>SUM('- 27 -'!B12,'- 27 -'!E12,'- 27 -'!H12,'- 28 -'!B12,'- 28 -'!E12)</f>
        <v>824999</v>
      </c>
      <c r="H12" s="70">
        <f>G12/'- 3 -'!D12*100</f>
        <v>2.5543937917690336</v>
      </c>
      <c r="I12" s="20">
        <f>G12/'- 7 -'!E12</f>
        <v>388.25309426325941</v>
      </c>
    </row>
    <row r="13" spans="1:9" ht="14.1" customHeight="1">
      <c r="A13" s="285" t="s">
        <v>112</v>
      </c>
      <c r="B13" s="286">
        <f>SUM('- 24 -'!H13,'- 24 -'!F13,'- 24 -'!D13,'- 24 -'!B13)</f>
        <v>253711</v>
      </c>
      <c r="C13" s="292">
        <f>B13/'- 3 -'!D13*100</f>
        <v>0.27953215683566307</v>
      </c>
      <c r="D13" s="286">
        <f>SUM('- 25 -'!B13,'- 25 -'!E13,'- 25 -'!H13,'- 26 -'!B13)</f>
        <v>2996337</v>
      </c>
      <c r="E13" s="292">
        <f>D13/'- 3 -'!D13*100</f>
        <v>3.3012858891277879</v>
      </c>
      <c r="F13" s="286">
        <f>D13/'- 7 -'!E13</f>
        <v>363.19236363636361</v>
      </c>
      <c r="G13" s="286">
        <f>SUM('- 27 -'!B13,'- 27 -'!E13,'- 27 -'!H13,'- 28 -'!B13,'- 28 -'!E13)</f>
        <v>2757008</v>
      </c>
      <c r="H13" s="292">
        <f>G13/'- 3 -'!D13*100</f>
        <v>3.0375994444591594</v>
      </c>
      <c r="I13" s="286">
        <f>G13/'- 7 -'!E13</f>
        <v>334.18278787878791</v>
      </c>
    </row>
    <row r="14" spans="1:9" ht="14.1" customHeight="1">
      <c r="A14" s="19" t="s">
        <v>359</v>
      </c>
      <c r="B14" s="20">
        <f>SUM('- 24 -'!H14,'- 24 -'!F14,'- 24 -'!D14,'- 24 -'!B14)</f>
        <v>1290947</v>
      </c>
      <c r="C14" s="70">
        <f>B14/'- 3 -'!D14*100</f>
        <v>1.5895408694199884</v>
      </c>
      <c r="D14" s="20">
        <f>SUM('- 25 -'!B14,'- 25 -'!E14,'- 25 -'!H14,'- 26 -'!B14)</f>
        <v>3177676</v>
      </c>
      <c r="E14" s="70">
        <f>D14/'- 3 -'!D14*100</f>
        <v>3.9126671131928967</v>
      </c>
      <c r="F14" s="20">
        <f>D14/'- 7 -'!E14</f>
        <v>594.73629047351676</v>
      </c>
      <c r="G14" s="20">
        <f>SUM('- 27 -'!B14,'- 27 -'!E14,'- 27 -'!H14,'- 28 -'!B14,'- 28 -'!E14)</f>
        <v>2724349</v>
      </c>
      <c r="H14" s="70">
        <f>G14/'- 3 -'!D14*100</f>
        <v>3.3544863406967727</v>
      </c>
      <c r="I14" s="20">
        <f>G14/'- 7 -'!E14</f>
        <v>509.89125959198952</v>
      </c>
    </row>
    <row r="15" spans="1:9" ht="14.1" customHeight="1">
      <c r="A15" s="285" t="s">
        <v>113</v>
      </c>
      <c r="B15" s="286">
        <f>SUM('- 24 -'!H15,'- 24 -'!F15,'- 24 -'!D15,'- 24 -'!B15)</f>
        <v>67438</v>
      </c>
      <c r="C15" s="292">
        <f>B15/'- 3 -'!D15*100</f>
        <v>0.34000219213133748</v>
      </c>
      <c r="D15" s="286">
        <f>SUM('- 25 -'!B15,'- 25 -'!E15,'- 25 -'!H15,'- 26 -'!B15)</f>
        <v>882325</v>
      </c>
      <c r="E15" s="292">
        <f>D15/'- 3 -'!D15*100</f>
        <v>4.4484183127062247</v>
      </c>
      <c r="F15" s="286">
        <f>D15/'- 7 -'!E15</f>
        <v>625.76241134751774</v>
      </c>
      <c r="G15" s="286">
        <f>SUM('- 27 -'!B15,'- 27 -'!E15,'- 27 -'!H15,'- 28 -'!B15,'- 28 -'!E15)</f>
        <v>642883</v>
      </c>
      <c r="H15" s="292">
        <f>G15/'- 3 -'!D15*100</f>
        <v>3.2412234835548301</v>
      </c>
      <c r="I15" s="286">
        <f>G15/'- 7 -'!E15</f>
        <v>455.94539007092197</v>
      </c>
    </row>
    <row r="16" spans="1:9" ht="14.1" customHeight="1">
      <c r="A16" s="19" t="s">
        <v>114</v>
      </c>
      <c r="B16" s="20">
        <f>SUM('- 24 -'!H16,'- 24 -'!F16,'- 24 -'!D16,'- 24 -'!B16)</f>
        <v>14231</v>
      </c>
      <c r="C16" s="70">
        <f>B16/'- 3 -'!D16*100</f>
        <v>0.10150611508187146</v>
      </c>
      <c r="D16" s="20">
        <f>SUM('- 25 -'!B16,'- 25 -'!E16,'- 25 -'!H16,'- 26 -'!B16)</f>
        <v>693796</v>
      </c>
      <c r="E16" s="70">
        <f>D16/'- 3 -'!D16*100</f>
        <v>4.9486709731812306</v>
      </c>
      <c r="F16" s="20">
        <f>D16/'- 7 -'!E16</f>
        <v>744.01715817694367</v>
      </c>
      <c r="G16" s="20">
        <f>SUM('- 27 -'!B16,'- 27 -'!E16,'- 27 -'!H16,'- 28 -'!B16,'- 28 -'!E16)</f>
        <v>288838</v>
      </c>
      <c r="H16" s="70">
        <f>G16/'- 3 -'!D16*100</f>
        <v>2.0602082262678367</v>
      </c>
      <c r="I16" s="20">
        <f>G16/'- 7 -'!E16</f>
        <v>309.74584450402142</v>
      </c>
    </row>
    <row r="17" spans="1:9" ht="14.1" customHeight="1">
      <c r="A17" s="285" t="s">
        <v>115</v>
      </c>
      <c r="B17" s="286">
        <f>SUM('- 24 -'!H17,'- 24 -'!F17,'- 24 -'!D17,'- 24 -'!B17)</f>
        <v>333840</v>
      </c>
      <c r="C17" s="292">
        <f>B17/'- 3 -'!D17*100</f>
        <v>1.921883473437088</v>
      </c>
      <c r="D17" s="286">
        <f>SUM('- 25 -'!B17,'- 25 -'!E17,'- 25 -'!H17,'- 26 -'!B17)</f>
        <v>736503</v>
      </c>
      <c r="E17" s="292">
        <f>D17/'- 3 -'!D17*100</f>
        <v>4.2399740709227043</v>
      </c>
      <c r="F17" s="286">
        <f>D17/'- 7 -'!E17</f>
        <v>548.80414302594181</v>
      </c>
      <c r="G17" s="286">
        <f>SUM('- 27 -'!B17,'- 27 -'!E17,'- 27 -'!H17,'- 28 -'!B17,'- 28 -'!E17)</f>
        <v>423031</v>
      </c>
      <c r="H17" s="292">
        <f>G17/'- 3 -'!D17*100</f>
        <v>2.4353471353090246</v>
      </c>
      <c r="I17" s="286">
        <f>G17/'- 7 -'!E17</f>
        <v>315.22093654527839</v>
      </c>
    </row>
    <row r="18" spans="1:9" ht="14.1" customHeight="1">
      <c r="A18" s="19" t="s">
        <v>116</v>
      </c>
      <c r="B18" s="20">
        <f>SUM('- 24 -'!H18,'- 24 -'!F18,'- 24 -'!D18,'- 24 -'!B18)</f>
        <v>2576090</v>
      </c>
      <c r="C18" s="70">
        <f>B18/'- 3 -'!D18*100</f>
        <v>2.0323818116198411</v>
      </c>
      <c r="D18" s="20">
        <f>SUM('- 25 -'!B18,'- 25 -'!E18,'- 25 -'!H18,'- 26 -'!B18)</f>
        <v>7081917</v>
      </c>
      <c r="E18" s="70">
        <f>D18/'- 3 -'!D18*100</f>
        <v>5.5872113560478676</v>
      </c>
      <c r="F18" s="20">
        <f>D18/'- 7 -'!E18</f>
        <v>1145.3852498786996</v>
      </c>
      <c r="G18" s="20">
        <f>SUM('- 27 -'!B18,'- 27 -'!E18,'- 27 -'!H18,'- 28 -'!B18,'- 28 -'!E18)</f>
        <v>6645444</v>
      </c>
      <c r="H18" s="70">
        <f>G18/'- 3 -'!D18*100</f>
        <v>5.2428601158104744</v>
      </c>
      <c r="I18" s="20">
        <f>G18/'- 7 -'!E18</f>
        <v>1074.7928190198932</v>
      </c>
    </row>
    <row r="19" spans="1:9" ht="14.1" customHeight="1">
      <c r="A19" s="285" t="s">
        <v>117</v>
      </c>
      <c r="B19" s="286">
        <f>SUM('- 24 -'!H19,'- 24 -'!F19,'- 24 -'!D19,'- 24 -'!B19)</f>
        <v>60471</v>
      </c>
      <c r="C19" s="292">
        <f>B19/'- 3 -'!D19*100</f>
        <v>0.13519566247081896</v>
      </c>
      <c r="D19" s="286">
        <f>SUM('- 25 -'!B19,'- 25 -'!E19,'- 25 -'!H19,'- 26 -'!B19)</f>
        <v>1336629</v>
      </c>
      <c r="E19" s="292">
        <f>D19/'- 3 -'!D19*100</f>
        <v>2.9883157733906875</v>
      </c>
      <c r="F19" s="286">
        <f>D19/'- 7 -'!E19</f>
        <v>315.63723522327439</v>
      </c>
      <c r="G19" s="286">
        <f>SUM('- 27 -'!B19,'- 27 -'!E19,'- 27 -'!H19,'- 28 -'!B19,'- 28 -'!E19)</f>
        <v>1207757</v>
      </c>
      <c r="H19" s="292">
        <f>G19/'- 3 -'!D19*100</f>
        <v>2.7001952625021723</v>
      </c>
      <c r="I19" s="286">
        <f>G19/'- 7 -'!E19</f>
        <v>285.20485512551068</v>
      </c>
    </row>
    <row r="20" spans="1:9" ht="14.1" customHeight="1">
      <c r="A20" s="19" t="s">
        <v>118</v>
      </c>
      <c r="B20" s="20">
        <f>SUM('- 24 -'!H20,'- 24 -'!F20,'- 24 -'!D20,'- 24 -'!B20)</f>
        <v>155584</v>
      </c>
      <c r="C20" s="70">
        <f>B20/'- 3 -'!D20*100</f>
        <v>0.19872032662150269</v>
      </c>
      <c r="D20" s="20">
        <f>SUM('- 25 -'!B20,'- 25 -'!E20,'- 25 -'!H20,'- 26 -'!B20)</f>
        <v>2234541</v>
      </c>
      <c r="E20" s="70">
        <f>D20/'- 3 -'!D20*100</f>
        <v>2.8540770090056773</v>
      </c>
      <c r="F20" s="20">
        <f>D20/'- 7 -'!E20</f>
        <v>295.36128055832768</v>
      </c>
      <c r="G20" s="20">
        <f>SUM('- 27 -'!B20,'- 27 -'!E20,'- 27 -'!H20,'- 28 -'!B20,'- 28 -'!E20)</f>
        <v>2309589</v>
      </c>
      <c r="H20" s="70">
        <f>G20/'- 3 -'!D20*100</f>
        <v>2.9499323866299223</v>
      </c>
      <c r="I20" s="20">
        <f>G20/'- 7 -'!E20</f>
        <v>305.28111348300496</v>
      </c>
    </row>
    <row r="21" spans="1:9" ht="14.1" customHeight="1">
      <c r="A21" s="285" t="s">
        <v>119</v>
      </c>
      <c r="B21" s="286">
        <f>SUM('- 24 -'!H21,'- 24 -'!F21,'- 24 -'!D21,'- 24 -'!B21)</f>
        <v>248213</v>
      </c>
      <c r="C21" s="292">
        <f>B21/'- 3 -'!D21*100</f>
        <v>0.70668950503747563</v>
      </c>
      <c r="D21" s="286">
        <f>SUM('- 25 -'!B21,'- 25 -'!E21,'- 25 -'!H21,'- 26 -'!B21)</f>
        <v>1366180</v>
      </c>
      <c r="E21" s="292">
        <f>D21/'- 3 -'!D21*100</f>
        <v>3.8896635872903449</v>
      </c>
      <c r="F21" s="286">
        <f>D21/'- 7 -'!E21</f>
        <v>508.6109973567626</v>
      </c>
      <c r="G21" s="286">
        <f>SUM('- 27 -'!B21,'- 27 -'!E21,'- 27 -'!H21,'- 28 -'!B21,'- 28 -'!E21)</f>
        <v>1280334</v>
      </c>
      <c r="H21" s="292">
        <f>G21/'- 3 -'!D21*100</f>
        <v>3.6452506546500438</v>
      </c>
      <c r="I21" s="286">
        <f>G21/'- 7 -'!E21</f>
        <v>476.65165109266223</v>
      </c>
    </row>
    <row r="22" spans="1:9" ht="14.1" customHeight="1">
      <c r="A22" s="19" t="s">
        <v>120</v>
      </c>
      <c r="B22" s="20">
        <f>SUM('- 24 -'!H22,'- 24 -'!F22,'- 24 -'!D22,'- 24 -'!B22)</f>
        <v>55690</v>
      </c>
      <c r="C22" s="70">
        <f>B22/'- 3 -'!D22*100</f>
        <v>0.27865835285042623</v>
      </c>
      <c r="D22" s="20">
        <f>SUM('- 25 -'!B22,'- 25 -'!E22,'- 25 -'!H22,'- 26 -'!B22)</f>
        <v>842146</v>
      </c>
      <c r="E22" s="70">
        <f>D22/'- 3 -'!D22*100</f>
        <v>4.2138807186133072</v>
      </c>
      <c r="F22" s="20">
        <f>D22/'- 7 -'!E22</f>
        <v>549.73953913440823</v>
      </c>
      <c r="G22" s="20">
        <f>SUM('- 27 -'!B22,'- 27 -'!E22,'- 27 -'!H22,'- 28 -'!B22,'- 28 -'!E22)</f>
        <v>448263</v>
      </c>
      <c r="H22" s="70">
        <f>G22/'- 3 -'!D22*100</f>
        <v>2.2429920851820908</v>
      </c>
      <c r="I22" s="20">
        <f>G22/'- 7 -'!E22</f>
        <v>292.61896990665184</v>
      </c>
    </row>
    <row r="23" spans="1:9" ht="14.1" customHeight="1">
      <c r="A23" s="285" t="s">
        <v>121</v>
      </c>
      <c r="B23" s="286">
        <f>SUM('- 24 -'!H23,'- 24 -'!F23,'- 24 -'!D23,'- 24 -'!B23)</f>
        <v>299298</v>
      </c>
      <c r="C23" s="292">
        <f>B23/'- 3 -'!D23*100</f>
        <v>1.8546536688430229</v>
      </c>
      <c r="D23" s="286">
        <f>SUM('- 25 -'!B23,'- 25 -'!E23,'- 25 -'!H23,'- 26 -'!B23)</f>
        <v>693866</v>
      </c>
      <c r="E23" s="292">
        <f>D23/'- 3 -'!D23*100</f>
        <v>4.2996649579530537</v>
      </c>
      <c r="F23" s="286">
        <f>D23/'- 7 -'!E23</f>
        <v>624.82305267897345</v>
      </c>
      <c r="G23" s="286">
        <f>SUM('- 27 -'!B23,'- 27 -'!E23,'- 27 -'!H23,'- 28 -'!B23,'- 28 -'!E23)</f>
        <v>476569</v>
      </c>
      <c r="H23" s="292">
        <f>G23/'- 3 -'!D23*100</f>
        <v>2.9531451740634771</v>
      </c>
      <c r="I23" s="286">
        <f>G23/'- 7 -'!E23</f>
        <v>429.14813147230979</v>
      </c>
    </row>
    <row r="24" spans="1:9" ht="14.1" customHeight="1">
      <c r="A24" s="19" t="s">
        <v>122</v>
      </c>
      <c r="B24" s="20">
        <f>SUM('- 24 -'!H24,'- 24 -'!F24,'- 24 -'!D24,'- 24 -'!B24)</f>
        <v>518283</v>
      </c>
      <c r="C24" s="70">
        <f>B24/'- 3 -'!D24*100</f>
        <v>0.93046595360440099</v>
      </c>
      <c r="D24" s="20">
        <f>SUM('- 25 -'!B24,'- 25 -'!E24,'- 25 -'!H24,'- 26 -'!B24)</f>
        <v>1942473</v>
      </c>
      <c r="E24" s="70">
        <f>D24/'- 3 -'!D24*100</f>
        <v>3.487293606573632</v>
      </c>
      <c r="F24" s="20">
        <f>D24/'- 7 -'!E24</f>
        <v>486.65238632093195</v>
      </c>
      <c r="G24" s="20">
        <f>SUM('- 27 -'!B24,'- 27 -'!E24,'- 27 -'!H24,'- 28 -'!B24,'- 28 -'!E24)</f>
        <v>1496566</v>
      </c>
      <c r="H24" s="70">
        <f>G24/'- 3 -'!D24*100</f>
        <v>2.6867632361507594</v>
      </c>
      <c r="I24" s="20">
        <f>G24/'- 7 -'!E24</f>
        <v>374.938243768007</v>
      </c>
    </row>
    <row r="25" spans="1:9" ht="14.1" customHeight="1">
      <c r="A25" s="285" t="s">
        <v>123</v>
      </c>
      <c r="B25" s="286">
        <f>SUM('- 24 -'!H25,'- 24 -'!F25,'- 24 -'!D25,'- 24 -'!B25)</f>
        <v>1522347</v>
      </c>
      <c r="C25" s="292">
        <f>B25/'- 3 -'!D25*100</f>
        <v>0.90594795594118871</v>
      </c>
      <c r="D25" s="286">
        <f>SUM('- 25 -'!B25,'- 25 -'!E25,'- 25 -'!H25,'- 26 -'!B25)</f>
        <v>5527167</v>
      </c>
      <c r="E25" s="292">
        <f>D25/'- 3 -'!D25*100</f>
        <v>3.2892143813438017</v>
      </c>
      <c r="F25" s="286">
        <f>D25/'- 7 -'!E25</f>
        <v>390.43039995479137</v>
      </c>
      <c r="G25" s="286">
        <f>SUM('- 27 -'!B25,'- 27 -'!E25,'- 27 -'!H25,'- 28 -'!B25,'- 28 -'!E25)</f>
        <v>7757460</v>
      </c>
      <c r="H25" s="292">
        <f>G25/'- 3 -'!D25*100</f>
        <v>4.616460656010446</v>
      </c>
      <c r="I25" s="286">
        <f>G25/'- 7 -'!E25</f>
        <v>547.97479620812896</v>
      </c>
    </row>
    <row r="26" spans="1:9" ht="14.1" customHeight="1">
      <c r="A26" s="19" t="s">
        <v>124</v>
      </c>
      <c r="B26" s="20">
        <f>SUM('- 24 -'!H26,'- 24 -'!F26,'- 24 -'!D26,'- 24 -'!B26)</f>
        <v>100909</v>
      </c>
      <c r="C26" s="70">
        <f>B26/'- 3 -'!D26*100</f>
        <v>0.25462044423343194</v>
      </c>
      <c r="D26" s="20">
        <f>SUM('- 25 -'!B26,'- 25 -'!E26,'- 25 -'!H26,'- 26 -'!B26)</f>
        <v>1453809</v>
      </c>
      <c r="E26" s="70">
        <f>D26/'- 3 -'!D26*100</f>
        <v>3.668349635915146</v>
      </c>
      <c r="F26" s="20">
        <f>D26/'- 7 -'!E26</f>
        <v>472.62971391417426</v>
      </c>
      <c r="G26" s="20">
        <f>SUM('- 27 -'!B26,'- 27 -'!E26,'- 27 -'!H26,'- 28 -'!B26,'- 28 -'!E26)</f>
        <v>1251089</v>
      </c>
      <c r="H26" s="70">
        <f>G26/'- 3 -'!D26*100</f>
        <v>3.1568327597692987</v>
      </c>
      <c r="I26" s="20">
        <f>G26/'- 7 -'!E26</f>
        <v>406.72594278283486</v>
      </c>
    </row>
    <row r="27" spans="1:9" ht="14.1" customHeight="1">
      <c r="A27" s="285" t="s">
        <v>125</v>
      </c>
      <c r="B27" s="286">
        <f>SUM('- 24 -'!H27,'- 24 -'!F27,'- 24 -'!D27,'- 24 -'!B27)</f>
        <v>0</v>
      </c>
      <c r="C27" s="292">
        <f>B27/'- 3 -'!D27*100</f>
        <v>0</v>
      </c>
      <c r="D27" s="286">
        <f>SUM('- 25 -'!B27,'- 25 -'!E27,'- 25 -'!H27,'- 26 -'!B27)</f>
        <v>1957923</v>
      </c>
      <c r="E27" s="292">
        <f>D27/'- 3 -'!D27*100</f>
        <v>4.6600940571538985</v>
      </c>
      <c r="F27" s="286">
        <f>D27/'- 7 -'!E27</f>
        <v>673.93510279807651</v>
      </c>
      <c r="G27" s="286">
        <f>SUM('- 27 -'!B27,'- 27 -'!E27,'- 27 -'!H27,'- 28 -'!B27,'- 28 -'!E27)</f>
        <v>1860933</v>
      </c>
      <c r="H27" s="292">
        <f>G27/'- 3 -'!D27*100</f>
        <v>4.4292461011293982</v>
      </c>
      <c r="I27" s="286">
        <f>G27/'- 7 -'!E27</f>
        <v>640.55025282165491</v>
      </c>
    </row>
    <row r="28" spans="1:9" ht="14.1" customHeight="1">
      <c r="A28" s="19" t="s">
        <v>126</v>
      </c>
      <c r="B28" s="20">
        <f>SUM('- 24 -'!H28,'- 24 -'!F28,'- 24 -'!D28,'- 24 -'!B28)</f>
        <v>96970</v>
      </c>
      <c r="C28" s="70">
        <f>B28/'- 3 -'!D28*100</f>
        <v>0.34874514505363258</v>
      </c>
      <c r="D28" s="20">
        <f>SUM('- 25 -'!B28,'- 25 -'!E28,'- 25 -'!H28,'- 26 -'!B28)</f>
        <v>1201094</v>
      </c>
      <c r="E28" s="70">
        <f>D28/'- 3 -'!D28*100</f>
        <v>4.3196421702902725</v>
      </c>
      <c r="F28" s="20">
        <f>D28/'- 7 -'!E28</f>
        <v>603.71651168635333</v>
      </c>
      <c r="G28" s="20">
        <f>SUM('- 27 -'!B28,'- 27 -'!E28,'- 27 -'!H28,'- 28 -'!B28,'- 28 -'!E28)</f>
        <v>730739</v>
      </c>
      <c r="H28" s="70">
        <f>G28/'- 3 -'!D28*100</f>
        <v>2.628046597415143</v>
      </c>
      <c r="I28" s="20">
        <f>G28/'- 7 -'!E28</f>
        <v>367.29781352098519</v>
      </c>
    </row>
    <row r="29" spans="1:9" ht="14.1" customHeight="1">
      <c r="A29" s="285" t="s">
        <v>127</v>
      </c>
      <c r="B29" s="286">
        <f>SUM('- 24 -'!H29,'- 24 -'!F29,'- 24 -'!D29,'- 24 -'!B29)</f>
        <v>910999</v>
      </c>
      <c r="C29" s="292">
        <f>B29/'- 3 -'!D29*100</f>
        <v>0.60578683194464689</v>
      </c>
      <c r="D29" s="286">
        <f>SUM('- 25 -'!B29,'- 25 -'!E29,'- 25 -'!H29,'- 26 -'!B29)</f>
        <v>4814323</v>
      </c>
      <c r="E29" s="292">
        <f>D29/'- 3 -'!D29*100</f>
        <v>3.2013794506121838</v>
      </c>
      <c r="F29" s="286">
        <f>D29/'- 7 -'!E29</f>
        <v>379.28064411933855</v>
      </c>
      <c r="G29" s="286">
        <f>SUM('- 27 -'!B29,'- 27 -'!E29,'- 27 -'!H29,'- 28 -'!B29,'- 28 -'!E29)</f>
        <v>5932647</v>
      </c>
      <c r="H29" s="292">
        <f>G29/'- 3 -'!D29*100</f>
        <v>3.9450311484160947</v>
      </c>
      <c r="I29" s="286">
        <f>G29/'- 7 -'!E29</f>
        <v>467.38413178606038</v>
      </c>
    </row>
    <row r="30" spans="1:9" ht="14.1" customHeight="1">
      <c r="A30" s="19" t="s">
        <v>128</v>
      </c>
      <c r="B30" s="20">
        <f>SUM('- 24 -'!H30,'- 24 -'!F30,'- 24 -'!D30,'- 24 -'!B30)</f>
        <v>13421</v>
      </c>
      <c r="C30" s="70">
        <f>B30/'- 3 -'!D30*100</f>
        <v>9.6628325887074817E-2</v>
      </c>
      <c r="D30" s="20">
        <f>SUM('- 25 -'!B30,'- 25 -'!E30,'- 25 -'!H30,'- 26 -'!B30)</f>
        <v>515591</v>
      </c>
      <c r="E30" s="70">
        <f>D30/'- 3 -'!D30*100</f>
        <v>3.7121447859654864</v>
      </c>
      <c r="F30" s="20">
        <f>D30/'- 7 -'!E30</f>
        <v>513.5368525896414</v>
      </c>
      <c r="G30" s="20">
        <f>SUM('- 27 -'!B30,'- 27 -'!E30,'- 27 -'!H30,'- 28 -'!B30,'- 28 -'!E30)</f>
        <v>518286</v>
      </c>
      <c r="H30" s="70">
        <f>G30/'- 3 -'!D30*100</f>
        <v>3.7315482088300769</v>
      </c>
      <c r="I30" s="20">
        <f>G30/'- 7 -'!E30</f>
        <v>516.22111553784862</v>
      </c>
    </row>
    <row r="31" spans="1:9" ht="14.1" customHeight="1">
      <c r="A31" s="285" t="s">
        <v>129</v>
      </c>
      <c r="B31" s="286">
        <f>SUM('- 24 -'!H31,'- 24 -'!F31,'- 24 -'!D31,'- 24 -'!B31)</f>
        <v>53529</v>
      </c>
      <c r="C31" s="292">
        <f>B31/'- 3 -'!D31*100</f>
        <v>0.14955251169516623</v>
      </c>
      <c r="D31" s="286">
        <f>SUM('- 25 -'!B31,'- 25 -'!E31,'- 25 -'!H31,'- 26 -'!B31)</f>
        <v>1162073</v>
      </c>
      <c r="E31" s="292">
        <f>D31/'- 3 -'!D31*100</f>
        <v>3.2466688322803883</v>
      </c>
      <c r="F31" s="286">
        <f>D31/'- 7 -'!E31</f>
        <v>355.53709652745908</v>
      </c>
      <c r="G31" s="286">
        <f>SUM('- 27 -'!B31,'- 27 -'!E31,'- 27 -'!H31,'- 28 -'!B31,'- 28 -'!E31)</f>
        <v>1192175</v>
      </c>
      <c r="H31" s="292">
        <f>G31/'- 3 -'!D31*100</f>
        <v>3.3307695946157185</v>
      </c>
      <c r="I31" s="286">
        <f>G31/'- 7 -'!E31</f>
        <v>364.74682576105249</v>
      </c>
    </row>
    <row r="32" spans="1:9" ht="14.1" customHeight="1">
      <c r="A32" s="19" t="s">
        <v>130</v>
      </c>
      <c r="B32" s="20">
        <f>SUM('- 24 -'!H32,'- 24 -'!F32,'- 24 -'!D32,'- 24 -'!B32)</f>
        <v>32349</v>
      </c>
      <c r="C32" s="70">
        <f>B32/'- 3 -'!D32*100</f>
        <v>0.11586367019745999</v>
      </c>
      <c r="D32" s="20">
        <f>SUM('- 25 -'!B32,'- 25 -'!E32,'- 25 -'!H32,'- 26 -'!B32)</f>
        <v>1116912</v>
      </c>
      <c r="E32" s="70">
        <f>D32/'- 3 -'!D32*100</f>
        <v>4.0004180533427753</v>
      </c>
      <c r="F32" s="20">
        <f>D32/'- 7 -'!E32</f>
        <v>528.79083420130667</v>
      </c>
      <c r="G32" s="20">
        <f>SUM('- 27 -'!B32,'- 27 -'!E32,'- 27 -'!H32,'- 28 -'!B32,'- 28 -'!E32)</f>
        <v>795248</v>
      </c>
      <c r="H32" s="70">
        <f>G32/'- 3 -'!D32*100</f>
        <v>2.8483214936223584</v>
      </c>
      <c r="I32" s="20">
        <f>G32/'- 7 -'!E32</f>
        <v>376.50222516807116</v>
      </c>
    </row>
    <row r="33" spans="1:9" ht="14.1" customHeight="1">
      <c r="A33" s="285" t="s">
        <v>131</v>
      </c>
      <c r="B33" s="286">
        <f>SUM('- 24 -'!H33,'- 24 -'!F33,'- 24 -'!D33,'- 24 -'!B33)</f>
        <v>34125</v>
      </c>
      <c r="C33" s="292">
        <f>B33/'- 3 -'!D33*100</f>
        <v>0.12895851628437127</v>
      </c>
      <c r="D33" s="286">
        <f>SUM('- 25 -'!B33,'- 25 -'!E33,'- 25 -'!H33,'- 26 -'!B33)</f>
        <v>897147</v>
      </c>
      <c r="E33" s="292">
        <f>D33/'- 3 -'!D33*100</f>
        <v>3.3903222273692259</v>
      </c>
      <c r="F33" s="286">
        <f>D33/'- 7 -'!E33</f>
        <v>441.05353719089521</v>
      </c>
      <c r="G33" s="286">
        <f>SUM('- 27 -'!B33,'- 27 -'!E33,'- 27 -'!H33,'- 28 -'!B33,'- 28 -'!E33)</f>
        <v>710378</v>
      </c>
      <c r="H33" s="292">
        <f>G33/'- 3 -'!D33*100</f>
        <v>2.6845214031079587</v>
      </c>
      <c r="I33" s="286">
        <f>G33/'- 7 -'!E33</f>
        <v>349.23455090703504</v>
      </c>
    </row>
    <row r="34" spans="1:9" ht="14.1" customHeight="1">
      <c r="A34" s="19" t="s">
        <v>132</v>
      </c>
      <c r="B34" s="20">
        <f>SUM('- 24 -'!H34,'- 24 -'!F34,'- 24 -'!D34,'- 24 -'!B34)</f>
        <v>54281</v>
      </c>
      <c r="C34" s="70">
        <f>B34/'- 3 -'!D34*100</f>
        <v>0.19459027492432163</v>
      </c>
      <c r="D34" s="20">
        <f>SUM('- 25 -'!B34,'- 25 -'!E34,'- 25 -'!H34,'- 26 -'!B34)</f>
        <v>1094482</v>
      </c>
      <c r="E34" s="70">
        <f>D34/'- 3 -'!D34*100</f>
        <v>3.9235746076844826</v>
      </c>
      <c r="F34" s="20">
        <f>D34/'- 7 -'!E34</f>
        <v>552.33351500837728</v>
      </c>
      <c r="G34" s="20">
        <f>SUM('- 27 -'!B34,'- 27 -'!E34,'- 27 -'!H34,'- 28 -'!B34,'- 28 -'!E34)</f>
        <v>875831</v>
      </c>
      <c r="H34" s="70">
        <f>G34/'- 3 -'!D34*100</f>
        <v>3.1397394130035101</v>
      </c>
      <c r="I34" s="20">
        <f>G34/'- 7 -'!E34</f>
        <v>441.9906538282969</v>
      </c>
    </row>
    <row r="35" spans="1:9" ht="14.1" customHeight="1">
      <c r="A35" s="285" t="s">
        <v>133</v>
      </c>
      <c r="B35" s="286">
        <f>SUM('- 24 -'!H35,'- 24 -'!F35,'- 24 -'!D35,'- 24 -'!B35)</f>
        <v>1468126</v>
      </c>
      <c r="C35" s="292">
        <f>B35/'- 3 -'!D35*100</f>
        <v>0.8131877001492781</v>
      </c>
      <c r="D35" s="286">
        <f>SUM('- 25 -'!B35,'- 25 -'!E35,'- 25 -'!H35,'- 26 -'!B35)</f>
        <v>5401278</v>
      </c>
      <c r="E35" s="292">
        <f>D35/'- 3 -'!D35*100</f>
        <v>2.9917410594777918</v>
      </c>
      <c r="F35" s="286">
        <f>D35/'- 7 -'!E35</f>
        <v>350.08445409469488</v>
      </c>
      <c r="G35" s="286">
        <f>SUM('- 27 -'!B35,'- 27 -'!E35,'- 27 -'!H35,'- 28 -'!B35,'- 28 -'!E35)</f>
        <v>7586585</v>
      </c>
      <c r="H35" s="292">
        <f>G35/'- 3 -'!D35*100</f>
        <v>4.2021717537438956</v>
      </c>
      <c r="I35" s="286">
        <f>G35/'- 7 -'!E35</f>
        <v>491.72537835823312</v>
      </c>
    </row>
    <row r="36" spans="1:9" ht="14.1" customHeight="1">
      <c r="A36" s="19" t="s">
        <v>134</v>
      </c>
      <c r="B36" s="20">
        <f>SUM('- 24 -'!H36,'- 24 -'!F36,'- 24 -'!D36,'- 24 -'!B36)</f>
        <v>53652</v>
      </c>
      <c r="C36" s="70">
        <f>B36/'- 3 -'!D36*100</f>
        <v>0.2391075954765827</v>
      </c>
      <c r="D36" s="20">
        <f>SUM('- 25 -'!B36,'- 25 -'!E36,'- 25 -'!H36,'- 26 -'!B36)</f>
        <v>898910</v>
      </c>
      <c r="E36" s="70">
        <f>D36/'- 3 -'!D36*100</f>
        <v>4.0061173609530858</v>
      </c>
      <c r="F36" s="20">
        <f>D36/'- 7 -'!E36</f>
        <v>549.28811487931557</v>
      </c>
      <c r="G36" s="20">
        <f>SUM('- 27 -'!B36,'- 27 -'!E36,'- 27 -'!H36,'- 28 -'!B36,'- 28 -'!E36)</f>
        <v>767340</v>
      </c>
      <c r="H36" s="70">
        <f>G36/'- 3 -'!D36*100</f>
        <v>3.4197573680944044</v>
      </c>
      <c r="I36" s="20">
        <f>G36/'- 7 -'!E36</f>
        <v>468.89092575618696</v>
      </c>
    </row>
    <row r="37" spans="1:9" ht="14.1" customHeight="1">
      <c r="A37" s="285" t="s">
        <v>135</v>
      </c>
      <c r="B37" s="286">
        <f>SUM('- 24 -'!H37,'- 24 -'!F37,'- 24 -'!D37,'- 24 -'!B37)</f>
        <v>354871</v>
      </c>
      <c r="C37" s="292">
        <f>B37/'- 3 -'!D37*100</f>
        <v>0.74300972549189737</v>
      </c>
      <c r="D37" s="286">
        <f>SUM('- 25 -'!B37,'- 25 -'!E37,'- 25 -'!H37,'- 26 -'!B37)</f>
        <v>1617939</v>
      </c>
      <c r="E37" s="292">
        <f>D37/'- 3 -'!D37*100</f>
        <v>3.3875532580927579</v>
      </c>
      <c r="F37" s="286">
        <f>D37/'- 7 -'!E37</f>
        <v>394.28268551236749</v>
      </c>
      <c r="G37" s="286">
        <f>SUM('- 27 -'!B37,'- 27 -'!E37,'- 27 -'!H37,'- 28 -'!B37,'- 28 -'!E37)</f>
        <v>1576288</v>
      </c>
      <c r="H37" s="292">
        <f>G37/'- 3 -'!D37*100</f>
        <v>3.3003466447699923</v>
      </c>
      <c r="I37" s="286">
        <f>G37/'- 7 -'!E37</f>
        <v>384.13256975752404</v>
      </c>
    </row>
    <row r="38" spans="1:9" ht="14.1" customHeight="1">
      <c r="A38" s="19" t="s">
        <v>136</v>
      </c>
      <c r="B38" s="20">
        <f>SUM('- 24 -'!H38,'- 24 -'!F38,'- 24 -'!D38,'- 24 -'!B38)</f>
        <v>1890604</v>
      </c>
      <c r="C38" s="70">
        <f>B38/'- 3 -'!D38*100</f>
        <v>1.4893581035345269</v>
      </c>
      <c r="D38" s="20">
        <f>SUM('- 25 -'!B38,'- 25 -'!E38,'- 25 -'!H38,'- 26 -'!B38)</f>
        <v>3613678</v>
      </c>
      <c r="E38" s="70">
        <f>D38/'- 3 -'!D38*100</f>
        <v>2.8467413656505762</v>
      </c>
      <c r="F38" s="20">
        <f>D38/'- 7 -'!E38</f>
        <v>334.6215032455807</v>
      </c>
      <c r="G38" s="20">
        <f>SUM('- 27 -'!B38,'- 27 -'!E38,'- 27 -'!H38,'- 28 -'!B38,'- 28 -'!E38)</f>
        <v>4702536</v>
      </c>
      <c r="H38" s="70">
        <f>G38/'- 3 -'!D38*100</f>
        <v>3.704509299019171</v>
      </c>
      <c r="I38" s="20">
        <f>G38/'- 7 -'!E38</f>
        <v>435.44822349596728</v>
      </c>
    </row>
    <row r="39" spans="1:9" ht="14.1" customHeight="1">
      <c r="A39" s="285" t="s">
        <v>137</v>
      </c>
      <c r="B39" s="286">
        <f>SUM('- 24 -'!H39,'- 24 -'!F39,'- 24 -'!D39,'- 24 -'!B39)</f>
        <v>155943</v>
      </c>
      <c r="C39" s="292">
        <f>B39/'- 3 -'!D39*100</f>
        <v>0.75420477760237714</v>
      </c>
      <c r="D39" s="286">
        <f>SUM('- 25 -'!B39,'- 25 -'!E39,'- 25 -'!H39,'- 26 -'!B39)</f>
        <v>877549</v>
      </c>
      <c r="E39" s="292">
        <f>D39/'- 3 -'!D39*100</f>
        <v>4.2441895332280932</v>
      </c>
      <c r="F39" s="286">
        <f>D39/'- 7 -'!E39</f>
        <v>553.69360842955393</v>
      </c>
      <c r="G39" s="286">
        <f>SUM('- 27 -'!B39,'- 27 -'!E39,'- 27 -'!H39,'- 28 -'!B39,'- 28 -'!E39)</f>
        <v>461371</v>
      </c>
      <c r="H39" s="292">
        <f>G39/'- 3 -'!D39*100</f>
        <v>2.2313807766118798</v>
      </c>
      <c r="I39" s="286">
        <f>G39/'- 7 -'!E39</f>
        <v>291.10417061013311</v>
      </c>
    </row>
    <row r="40" spans="1:9" ht="14.1" customHeight="1">
      <c r="A40" s="19" t="s">
        <v>138</v>
      </c>
      <c r="B40" s="20">
        <f>SUM('- 24 -'!H40,'- 24 -'!F40,'- 24 -'!D40,'- 24 -'!B40)</f>
        <v>1025501</v>
      </c>
      <c r="C40" s="70">
        <f>B40/'- 3 -'!D40*100</f>
        <v>1.0068906007507008</v>
      </c>
      <c r="D40" s="20">
        <f>SUM('- 25 -'!B40,'- 25 -'!E40,'- 25 -'!H40,'- 26 -'!B40)</f>
        <v>3645579</v>
      </c>
      <c r="E40" s="70">
        <f>D40/'- 3 -'!D40*100</f>
        <v>3.5794204290333593</v>
      </c>
      <c r="F40" s="20">
        <f>D40/'- 7 -'!E40</f>
        <v>458.05061000892078</v>
      </c>
      <c r="G40" s="20">
        <f>SUM('- 27 -'!B40,'- 27 -'!E40,'- 27 -'!H40,'- 28 -'!B40,'- 28 -'!E40)</f>
        <v>3525141</v>
      </c>
      <c r="H40" s="70">
        <f>G40/'- 3 -'!D40*100</f>
        <v>3.4611680917141245</v>
      </c>
      <c r="I40" s="20">
        <f>G40/'- 7 -'!E40</f>
        <v>442.91811682518937</v>
      </c>
    </row>
    <row r="41" spans="1:9" ht="14.1" customHeight="1">
      <c r="A41" s="285" t="s">
        <v>139</v>
      </c>
      <c r="B41" s="286">
        <f>SUM('- 24 -'!H41,'- 24 -'!F41,'- 24 -'!D41,'- 24 -'!B41)</f>
        <v>301622</v>
      </c>
      <c r="C41" s="292">
        <f>B41/'- 3 -'!D41*100</f>
        <v>0.48799129057324925</v>
      </c>
      <c r="D41" s="286">
        <f>SUM('- 25 -'!B41,'- 25 -'!E41,'- 25 -'!H41,'- 26 -'!B41)</f>
        <v>2187711</v>
      </c>
      <c r="E41" s="292">
        <f>D41/'- 3 -'!D41*100</f>
        <v>3.5394762792213221</v>
      </c>
      <c r="F41" s="286">
        <f>D41/'- 7 -'!E41</f>
        <v>498.79411764705884</v>
      </c>
      <c r="G41" s="286">
        <f>SUM('- 27 -'!B41,'- 27 -'!E41,'- 27 -'!H41,'- 28 -'!B41,'- 28 -'!E41)</f>
        <v>1484052</v>
      </c>
      <c r="H41" s="292">
        <f>G41/'- 3 -'!D41*100</f>
        <v>2.4010332494241524</v>
      </c>
      <c r="I41" s="286">
        <f>G41/'- 7 -'!E41</f>
        <v>338.3611491108071</v>
      </c>
    </row>
    <row r="42" spans="1:9" ht="14.1" customHeight="1">
      <c r="A42" s="19" t="s">
        <v>140</v>
      </c>
      <c r="B42" s="20">
        <f>SUM('- 24 -'!H42,'- 24 -'!F42,'- 24 -'!D42,'- 24 -'!B42)</f>
        <v>241694</v>
      </c>
      <c r="C42" s="70">
        <f>B42/'- 3 -'!D42*100</f>
        <v>1.2069666626733073</v>
      </c>
      <c r="D42" s="20">
        <f>SUM('- 25 -'!B42,'- 25 -'!E42,'- 25 -'!H42,'- 26 -'!B42)</f>
        <v>867670</v>
      </c>
      <c r="E42" s="70">
        <f>D42/'- 3 -'!D42*100</f>
        <v>4.3329530902784041</v>
      </c>
      <c r="F42" s="20">
        <f>D42/'- 7 -'!E42</f>
        <v>626.83860713769695</v>
      </c>
      <c r="G42" s="20">
        <f>SUM('- 27 -'!B42,'- 27 -'!E42,'- 27 -'!H42,'- 28 -'!B42,'- 28 -'!E42)</f>
        <v>407360</v>
      </c>
      <c r="H42" s="70">
        <f>G42/'- 3 -'!D42*100</f>
        <v>2.0342662197100401</v>
      </c>
      <c r="I42" s="20">
        <f>G42/'- 7 -'!E42</f>
        <v>294.29273226412374</v>
      </c>
    </row>
    <row r="43" spans="1:9" ht="14.1" customHeight="1">
      <c r="A43" s="285" t="s">
        <v>141</v>
      </c>
      <c r="B43" s="286">
        <f>SUM('- 24 -'!H43,'- 24 -'!F43,'- 24 -'!D43,'- 24 -'!B43)</f>
        <v>12038</v>
      </c>
      <c r="C43" s="292">
        <f>B43/'- 3 -'!D43*100</f>
        <v>9.4653924634938033E-2</v>
      </c>
      <c r="D43" s="286">
        <f>SUM('- 25 -'!B43,'- 25 -'!E43,'- 25 -'!H43,'- 26 -'!B43)</f>
        <v>561531</v>
      </c>
      <c r="E43" s="292">
        <f>D43/'- 3 -'!D43*100</f>
        <v>4.4152777001313659</v>
      </c>
      <c r="F43" s="286">
        <f>D43/'- 7 -'!E43</f>
        <v>593.14566388507455</v>
      </c>
      <c r="G43" s="286">
        <f>SUM('- 27 -'!B43,'- 27 -'!E43,'- 27 -'!H43,'- 28 -'!B43,'- 28 -'!E43)</f>
        <v>433476</v>
      </c>
      <c r="H43" s="292">
        <f>G43/'- 3 -'!D43*100</f>
        <v>3.4083904830581817</v>
      </c>
      <c r="I43" s="286">
        <f>G43/'- 7 -'!E43</f>
        <v>457.88106052603786</v>
      </c>
    </row>
    <row r="44" spans="1:9" ht="14.1" customHeight="1">
      <c r="A44" s="19" t="s">
        <v>142</v>
      </c>
      <c r="B44" s="20">
        <f>SUM('- 24 -'!H44,'- 24 -'!F44,'- 24 -'!D44,'- 24 -'!B44)</f>
        <v>11675</v>
      </c>
      <c r="C44" s="70">
        <f>B44/'- 3 -'!D44*100</f>
        <v>0.1074499589205232</v>
      </c>
      <c r="D44" s="20">
        <f>SUM('- 25 -'!B44,'- 25 -'!E44,'- 25 -'!H44,'- 26 -'!B44)</f>
        <v>392196</v>
      </c>
      <c r="E44" s="70">
        <f>D44/'- 3 -'!D44*100</f>
        <v>3.6095455322307082</v>
      </c>
      <c r="F44" s="20">
        <f>D44/'- 7 -'!E44</f>
        <v>575.9118942731277</v>
      </c>
      <c r="G44" s="20">
        <f>SUM('- 27 -'!B44,'- 27 -'!E44,'- 27 -'!H44,'- 28 -'!B44,'- 28 -'!E44)</f>
        <v>254867</v>
      </c>
      <c r="H44" s="70">
        <f>G44/'- 3 -'!D44*100</f>
        <v>2.3456487092245815</v>
      </c>
      <c r="I44" s="20">
        <f>G44/'- 7 -'!E44</f>
        <v>374.25403817914832</v>
      </c>
    </row>
    <row r="45" spans="1:9" ht="14.1" customHeight="1">
      <c r="A45" s="285" t="s">
        <v>143</v>
      </c>
      <c r="B45" s="286">
        <f>SUM('- 24 -'!H45,'- 24 -'!F45,'- 24 -'!D45,'- 24 -'!B45)</f>
        <v>54289</v>
      </c>
      <c r="C45" s="292">
        <f>B45/'- 3 -'!D45*100</f>
        <v>0.29612996444793105</v>
      </c>
      <c r="D45" s="286">
        <f>SUM('- 25 -'!B45,'- 25 -'!E45,'- 25 -'!H45,'- 26 -'!B45)</f>
        <v>725529</v>
      </c>
      <c r="E45" s="292">
        <f>D45/'- 3 -'!D45*100</f>
        <v>3.9575397774124221</v>
      </c>
      <c r="F45" s="286">
        <f>D45/'- 7 -'!E45</f>
        <v>437.06566265060241</v>
      </c>
      <c r="G45" s="286">
        <f>SUM('- 27 -'!B45,'- 27 -'!E45,'- 27 -'!H45,'- 28 -'!B45,'- 28 -'!E45)</f>
        <v>523759</v>
      </c>
      <c r="H45" s="292">
        <f>G45/'- 3 -'!D45*100</f>
        <v>2.8569458647107875</v>
      </c>
      <c r="I45" s="286">
        <f>G45/'- 7 -'!E45</f>
        <v>315.51746987951805</v>
      </c>
    </row>
    <row r="46" spans="1:9" ht="14.1" customHeight="1">
      <c r="A46" s="19" t="s">
        <v>144</v>
      </c>
      <c r="B46" s="20">
        <f>SUM('- 24 -'!H46,'- 24 -'!F46,'- 24 -'!D46,'- 24 -'!B46)</f>
        <v>9451707</v>
      </c>
      <c r="C46" s="70">
        <f>B46/'- 3 -'!D46*100</f>
        <v>2.4771493838198668</v>
      </c>
      <c r="D46" s="20">
        <f>SUM('- 25 -'!B46,'- 25 -'!E46,'- 25 -'!H46,'- 26 -'!B46)</f>
        <v>10694792</v>
      </c>
      <c r="E46" s="70">
        <f>D46/'- 3 -'!D46*100</f>
        <v>2.8029431522667432</v>
      </c>
      <c r="F46" s="20">
        <f>D46/'- 7 -'!E46</f>
        <v>358.46462208815149</v>
      </c>
      <c r="G46" s="20">
        <f>SUM('- 27 -'!B46,'- 27 -'!E46,'- 27 -'!H46,'- 28 -'!B46,'- 28 -'!E46)</f>
        <v>9568547</v>
      </c>
      <c r="H46" s="70">
        <f>G46/'- 3 -'!D46*100</f>
        <v>2.5077713798260395</v>
      </c>
      <c r="I46" s="20">
        <f>G46/'- 7 -'!E46</f>
        <v>320.71550192726664</v>
      </c>
    </row>
    <row r="47" spans="1:9" ht="5.0999999999999996" customHeight="1">
      <c r="A47"/>
      <c r="B47"/>
      <c r="C47"/>
      <c r="D47"/>
      <c r="E47"/>
      <c r="F47"/>
      <c r="G47"/>
      <c r="H47"/>
      <c r="I47"/>
    </row>
    <row r="48" spans="1:9" ht="14.1" customHeight="1">
      <c r="A48" s="287" t="s">
        <v>145</v>
      </c>
      <c r="B48" s="288">
        <f>SUM(B11:B46)</f>
        <v>23786379</v>
      </c>
      <c r="C48" s="295">
        <f>B48/'- 3 -'!D48*100</f>
        <v>1.0736332548786054</v>
      </c>
      <c r="D48" s="288">
        <f>SUM(D11:D46)</f>
        <v>76906190</v>
      </c>
      <c r="E48" s="295">
        <f>D48/'- 3 -'!D48*100</f>
        <v>3.4712741729210843</v>
      </c>
      <c r="F48" s="288">
        <f>D48/'- 7 -'!E48</f>
        <v>441.97173014122143</v>
      </c>
      <c r="G48" s="288">
        <f>SUM(G11:G46)</f>
        <v>74809681</v>
      </c>
      <c r="H48" s="295">
        <f>G48/'- 3 -'!D48*100</f>
        <v>3.3766451509269304</v>
      </c>
      <c r="I48" s="288">
        <f>G48/'- 7 -'!E48</f>
        <v>429.92331492280221</v>
      </c>
    </row>
    <row r="49" spans="1:9" ht="5.0999999999999996" customHeight="1">
      <c r="A49"/>
      <c r="B49"/>
      <c r="C49"/>
      <c r="D49"/>
      <c r="E49"/>
      <c r="F49"/>
      <c r="G49"/>
      <c r="H49"/>
      <c r="I49"/>
    </row>
    <row r="50" spans="1:9" ht="14.1" customHeight="1">
      <c r="A50" s="19" t="s">
        <v>146</v>
      </c>
      <c r="B50" s="20">
        <f>SUM('- 24 -'!H50,'- 24 -'!F50,'- 24 -'!D50,'- 24 -'!B50)</f>
        <v>74760</v>
      </c>
      <c r="C50" s="70">
        <f>B50/'- 3 -'!D50*100</f>
        <v>2.2256140310139139</v>
      </c>
      <c r="D50" s="20">
        <f>SUM('- 25 -'!B50,'- 25 -'!E50,'- 25 -'!H50,'- 26 -'!B50)</f>
        <v>156861</v>
      </c>
      <c r="E50" s="70">
        <f>D50/'- 3 -'!D50*100</f>
        <v>4.6697704991823636</v>
      </c>
      <c r="F50" s="20">
        <f>D50/'- 7 -'!E50</f>
        <v>917.31578947368416</v>
      </c>
      <c r="G50" s="20">
        <f>SUM('- 27 -'!B50,'- 27 -'!E50,'- 27 -'!H50,'- 28 -'!B50,'- 28 -'!E50)</f>
        <v>58935</v>
      </c>
      <c r="H50" s="70">
        <f>G50/'- 3 -'!D50*100</f>
        <v>1.7545019116881353</v>
      </c>
      <c r="I50" s="20">
        <f>G50/'- 7 -'!E50</f>
        <v>344.64912280701753</v>
      </c>
    </row>
    <row r="51" spans="1:9" ht="14.1" customHeight="1">
      <c r="A51" s="285" t="s">
        <v>612</v>
      </c>
      <c r="B51" s="286">
        <f>SUM('- 24 -'!H51,'- 24 -'!F51,'- 24 -'!D51,'- 24 -'!B51)</f>
        <v>9586263</v>
      </c>
      <c r="C51" s="292">
        <f>B51/'- 3 -'!D51*100</f>
        <v>36.157464644469023</v>
      </c>
      <c r="D51" s="286">
        <f>SUM('- 25 -'!B51,'- 25 -'!E51,'- 25 -'!H51,'- 26 -'!B51)</f>
        <v>4211152</v>
      </c>
      <c r="E51" s="292">
        <f>D51/'- 3 -'!D51*100</f>
        <v>15.883622173988446</v>
      </c>
      <c r="F51" s="286">
        <f>D51/'- 7 -'!E51</f>
        <v>4144.8346456692916</v>
      </c>
      <c r="G51" s="286">
        <f>SUM('- 27 -'!B51,'- 27 -'!E51,'- 27 -'!H51,'- 28 -'!B51,'- 28 -'!E51)</f>
        <v>374934</v>
      </c>
      <c r="H51" s="292">
        <f>G51/'- 3 -'!D51*100</f>
        <v>1.4141759775430058</v>
      </c>
      <c r="I51" s="286">
        <f>G51/'- 7 -'!E51</f>
        <v>369.02952755905511</v>
      </c>
    </row>
    <row r="52" spans="1:9" ht="50.1" customHeight="1"/>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sheetPr codeName="Sheet12">
    <pageSetUpPr fitToPage="1"/>
  </sheetPr>
  <dimension ref="A1:J52"/>
  <sheetViews>
    <sheetView showGridLines="0" showZeros="0" workbookViewId="0"/>
  </sheetViews>
  <sheetFormatPr defaultColWidth="15.83203125" defaultRowHeight="12"/>
  <cols>
    <col min="1" max="1" width="32.83203125" style="2" customWidth="1"/>
    <col min="2" max="2" width="15.83203125" style="2"/>
    <col min="3" max="3" width="7.83203125" style="2" customWidth="1"/>
    <col min="4" max="4" width="9.83203125" style="2" customWidth="1"/>
    <col min="5" max="5" width="15.83203125" style="2"/>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c r="A1" s="7"/>
      <c r="B1" s="8"/>
      <c r="C1" s="8"/>
      <c r="D1" s="8"/>
      <c r="E1" s="8"/>
      <c r="F1" s="8"/>
      <c r="G1" s="8"/>
      <c r="H1" s="8"/>
      <c r="I1" s="8"/>
      <c r="J1" s="8"/>
    </row>
    <row r="2" spans="1:10" ht="15.95" customHeight="1">
      <c r="A2" s="134"/>
      <c r="B2" s="9" t="s">
        <v>261</v>
      </c>
      <c r="C2" s="10"/>
      <c r="D2" s="10"/>
      <c r="E2" s="10"/>
      <c r="F2" s="10"/>
      <c r="G2" s="10"/>
      <c r="H2" s="73"/>
      <c r="I2" s="73"/>
      <c r="J2" s="135" t="s">
        <v>9</v>
      </c>
    </row>
    <row r="3" spans="1:10" ht="15.95" customHeight="1">
      <c r="A3" s="543"/>
      <c r="B3" s="11" t="str">
        <f>OPYEAR</f>
        <v>OPERATING FUND 2015/2016 ACTUAL</v>
      </c>
      <c r="C3" s="12"/>
      <c r="D3" s="12"/>
      <c r="E3" s="12"/>
      <c r="F3" s="12"/>
      <c r="G3" s="12"/>
      <c r="H3" s="75"/>
      <c r="I3" s="75"/>
      <c r="J3" s="66"/>
    </row>
    <row r="4" spans="1:10" ht="15.95" customHeight="1">
      <c r="B4" s="8"/>
      <c r="C4" s="8"/>
      <c r="D4" s="8"/>
      <c r="E4" s="8"/>
      <c r="F4" s="8"/>
      <c r="G4" s="8"/>
      <c r="H4" s="8"/>
      <c r="I4" s="8"/>
      <c r="J4" s="8"/>
    </row>
    <row r="5" spans="1:10" ht="15.95" customHeight="1">
      <c r="B5" s="8"/>
      <c r="C5" s="8"/>
      <c r="D5" s="8"/>
      <c r="E5" s="8"/>
      <c r="F5" s="8"/>
      <c r="G5" s="8"/>
      <c r="H5" s="8"/>
      <c r="I5" s="8"/>
      <c r="J5" s="8"/>
    </row>
    <row r="6" spans="1:10" ht="15.95" customHeight="1">
      <c r="B6" s="643" t="s">
        <v>478</v>
      </c>
      <c r="C6" s="651"/>
      <c r="D6" s="644"/>
      <c r="E6" s="643" t="s">
        <v>479</v>
      </c>
      <c r="F6" s="651"/>
      <c r="G6" s="644"/>
      <c r="H6" s="310" t="s">
        <v>7</v>
      </c>
      <c r="I6" s="313"/>
      <c r="J6" s="311"/>
    </row>
    <row r="7" spans="1:10" ht="15.95" customHeight="1">
      <c r="B7" s="645"/>
      <c r="C7" s="652"/>
      <c r="D7" s="646"/>
      <c r="E7" s="645"/>
      <c r="F7" s="652"/>
      <c r="G7" s="646"/>
      <c r="H7" s="648" t="s">
        <v>30</v>
      </c>
      <c r="I7" s="650"/>
      <c r="J7" s="649"/>
    </row>
    <row r="8" spans="1:10" ht="15.95" customHeight="1">
      <c r="A8" s="67"/>
      <c r="B8" s="137"/>
      <c r="C8" s="138"/>
      <c r="D8" s="617" t="s">
        <v>327</v>
      </c>
      <c r="E8" s="137"/>
      <c r="F8" s="139"/>
      <c r="G8" s="617" t="s">
        <v>327</v>
      </c>
      <c r="H8" s="137"/>
      <c r="I8" s="139"/>
      <c r="J8" s="617" t="s">
        <v>327</v>
      </c>
    </row>
    <row r="9" spans="1:10" ht="15.95" customHeight="1">
      <c r="A9" s="35" t="s">
        <v>42</v>
      </c>
      <c r="B9" s="77" t="s">
        <v>43</v>
      </c>
      <c r="C9" s="77" t="s">
        <v>44</v>
      </c>
      <c r="D9" s="598"/>
      <c r="E9" s="77" t="s">
        <v>43</v>
      </c>
      <c r="F9" s="77" t="s">
        <v>44</v>
      </c>
      <c r="G9" s="598"/>
      <c r="H9" s="77" t="s">
        <v>43</v>
      </c>
      <c r="I9" s="77" t="s">
        <v>44</v>
      </c>
      <c r="J9" s="598"/>
    </row>
    <row r="10" spans="1:10" ht="5.0999999999999996" customHeight="1">
      <c r="A10" s="6"/>
    </row>
    <row r="11" spans="1:10" ht="14.1" customHeight="1">
      <c r="A11" s="285" t="s">
        <v>110</v>
      </c>
      <c r="B11" s="286">
        <f>SUM('- 30 -'!D11,'- 30 -'!B11,'- 29 -'!F11,'- 29 -'!D11,'- 29 -'!B11)</f>
        <v>1171497</v>
      </c>
      <c r="C11" s="292">
        <f>B11/'- 3 -'!D11*100</f>
        <v>6.5304203254627113</v>
      </c>
      <c r="D11" s="286">
        <f>B11/'- 7 -'!E11</f>
        <v>698.98389021479716</v>
      </c>
      <c r="E11" s="286">
        <f>SUM('- 32 -'!D11,'- 32 -'!B11,'- 31 -'!F11,'- 31 -'!D11,'- 31 -'!B11)</f>
        <v>1857773</v>
      </c>
      <c r="F11" s="292">
        <f>E11/'- 3 -'!D11*100</f>
        <v>10.356013339595268</v>
      </c>
      <c r="G11" s="286">
        <f>E11/'- 7 -'!E11</f>
        <v>1108.4564439140811</v>
      </c>
      <c r="H11" s="286">
        <f>SUM('- 33 -'!B11,'- 33 -'!D11,'- 33 -'!F11)</f>
        <v>310643</v>
      </c>
      <c r="I11" s="292">
        <f>H11/'- 3 -'!D11*100</f>
        <v>1.7316556176948925</v>
      </c>
      <c r="J11" s="286">
        <f>H11/'- 7 -'!E11</f>
        <v>185.34785202863961</v>
      </c>
    </row>
    <row r="12" spans="1:10" ht="14.1" customHeight="1">
      <c r="A12" s="19" t="s">
        <v>111</v>
      </c>
      <c r="B12" s="20">
        <f>SUM('- 30 -'!D12,'- 30 -'!B12,'- 29 -'!F12,'- 29 -'!D12,'- 29 -'!B12)</f>
        <v>2511533</v>
      </c>
      <c r="C12" s="70">
        <f>B12/'- 3 -'!D12*100</f>
        <v>7.7763055507013412</v>
      </c>
      <c r="D12" s="20">
        <f>B12/'- 7 -'!E12</f>
        <v>1181.9535036942914</v>
      </c>
      <c r="E12" s="20">
        <f>SUM('- 32 -'!D12,'- 32 -'!B12,'- 31 -'!F12,'- 31 -'!D12,'- 31 -'!B12)</f>
        <v>3188991</v>
      </c>
      <c r="F12" s="70">
        <f>E12/'- 3 -'!D12*100</f>
        <v>9.8738771954963855</v>
      </c>
      <c r="G12" s="20">
        <f>E12/'- 7 -'!E12</f>
        <v>1500.7722716363123</v>
      </c>
      <c r="H12" s="20">
        <f>SUM('- 33 -'!B12,'- 33 -'!D12,'- 33 -'!F12)</f>
        <v>513654</v>
      </c>
      <c r="I12" s="70">
        <f>H12/'- 3 -'!D12*100</f>
        <v>1.5903953686214543</v>
      </c>
      <c r="J12" s="20">
        <f>H12/'- 7 -'!E12</f>
        <v>241.73090498376393</v>
      </c>
    </row>
    <row r="13" spans="1:10" ht="14.1" customHeight="1">
      <c r="A13" s="285" t="s">
        <v>112</v>
      </c>
      <c r="B13" s="286">
        <f>SUM('- 30 -'!D13,'- 30 -'!B13,'- 29 -'!F13,'- 29 -'!D13,'- 29 -'!B13)</f>
        <v>2139279</v>
      </c>
      <c r="C13" s="292">
        <f>B13/'- 3 -'!D13*100</f>
        <v>2.3570017576819313</v>
      </c>
      <c r="D13" s="286">
        <f>B13/'- 7 -'!E13</f>
        <v>259.30654545454547</v>
      </c>
      <c r="E13" s="286">
        <f>SUM('- 32 -'!D13,'- 32 -'!B13,'- 31 -'!F13,'- 31 -'!D13,'- 31 -'!B13)</f>
        <v>7507948</v>
      </c>
      <c r="F13" s="292">
        <f>E13/'- 3 -'!D13*100</f>
        <v>8.2720611161912672</v>
      </c>
      <c r="G13" s="286">
        <f>E13/'- 7 -'!E13</f>
        <v>910.054303030303</v>
      </c>
      <c r="H13" s="286">
        <f>SUM('- 33 -'!B13,'- 33 -'!D13,'- 33 -'!F13)</f>
        <v>1533967</v>
      </c>
      <c r="I13" s="292">
        <f>H13/'- 3 -'!D13*100</f>
        <v>1.6900847973668132</v>
      </c>
      <c r="J13" s="286">
        <f>H13/'- 7 -'!E13</f>
        <v>185.93539393939395</v>
      </c>
    </row>
    <row r="14" spans="1:10" ht="14.1" customHeight="1">
      <c r="A14" s="19" t="s">
        <v>359</v>
      </c>
      <c r="B14" s="20">
        <f>SUM('- 30 -'!D14,'- 30 -'!B14,'- 29 -'!F14,'- 29 -'!D14,'- 29 -'!B14)</f>
        <v>8181051</v>
      </c>
      <c r="C14" s="70">
        <f>B14/'- 3 -'!D14*100</f>
        <v>10.073314333825685</v>
      </c>
      <c r="D14" s="20">
        <f>B14/'- 7 -'!E14</f>
        <v>1531.1718135878721</v>
      </c>
      <c r="E14" s="20">
        <f>SUM('- 32 -'!D14,'- 32 -'!B14,'- 31 -'!F14,'- 31 -'!D14,'- 31 -'!B14)</f>
        <v>9062975</v>
      </c>
      <c r="F14" s="70">
        <f>E14/'- 3 -'!D14*100</f>
        <v>11.159225871419679</v>
      </c>
      <c r="G14" s="20">
        <f>E14/'- 7 -'!E14</f>
        <v>1696.2333894815647</v>
      </c>
      <c r="H14" s="20">
        <f>SUM('- 33 -'!B14,'- 33 -'!D14,'- 33 -'!F14)</f>
        <v>1282358</v>
      </c>
      <c r="I14" s="70">
        <f>H14/'- 3 -'!D14*100</f>
        <v>1.57896524816873</v>
      </c>
      <c r="J14" s="20">
        <f>H14/'- 7 -'!E14</f>
        <v>240.00711210930189</v>
      </c>
    </row>
    <row r="15" spans="1:10" ht="14.1" customHeight="1">
      <c r="A15" s="285" t="s">
        <v>113</v>
      </c>
      <c r="B15" s="286">
        <f>SUM('- 30 -'!D15,'- 30 -'!B15,'- 29 -'!F15,'- 29 -'!D15,'- 29 -'!B15)</f>
        <v>1620065</v>
      </c>
      <c r="C15" s="292">
        <f>B15/'- 3 -'!D15*100</f>
        <v>8.1678823718861064</v>
      </c>
      <c r="D15" s="286">
        <f>B15/'- 7 -'!E15</f>
        <v>1148.9822695035461</v>
      </c>
      <c r="E15" s="286">
        <f>SUM('- 32 -'!D15,'- 32 -'!B15,'- 31 -'!F15,'- 31 -'!D15,'- 31 -'!B15)</f>
        <v>2306970</v>
      </c>
      <c r="F15" s="292">
        <f>E15/'- 3 -'!D15*100</f>
        <v>11.631051590812772</v>
      </c>
      <c r="G15" s="286">
        <f>E15/'- 7 -'!E15</f>
        <v>1636.1489361702127</v>
      </c>
      <c r="H15" s="286">
        <f>SUM('- 33 -'!B15,'- 33 -'!D15,'- 33 -'!F15)</f>
        <v>308729</v>
      </c>
      <c r="I15" s="292">
        <f>H15/'- 3 -'!D15*100</f>
        <v>1.5565191253375796</v>
      </c>
      <c r="J15" s="286">
        <f>H15/'- 7 -'!E15</f>
        <v>218.95673758865249</v>
      </c>
    </row>
    <row r="16" spans="1:10" ht="14.1" customHeight="1">
      <c r="A16" s="19" t="s">
        <v>114</v>
      </c>
      <c r="B16" s="20">
        <f>SUM('- 30 -'!D16,'- 30 -'!B16,'- 29 -'!F16,'- 29 -'!D16,'- 29 -'!B16)</f>
        <v>449197</v>
      </c>
      <c r="C16" s="70">
        <f>B16/'- 3 -'!D16*100</f>
        <v>3.2040083182089387</v>
      </c>
      <c r="D16" s="20">
        <f>B16/'- 7 -'!E16</f>
        <v>481.71260053619301</v>
      </c>
      <c r="E16" s="20">
        <f>SUM('- 32 -'!D16,'- 32 -'!B16,'- 31 -'!F16,'- 31 -'!D16,'- 31 -'!B16)</f>
        <v>2227985</v>
      </c>
      <c r="F16" s="70">
        <f>E16/'- 3 -'!D16*100</f>
        <v>15.891652154499569</v>
      </c>
      <c r="G16" s="20">
        <f>E16/'- 7 -'!E16</f>
        <v>2389.2600536193031</v>
      </c>
      <c r="H16" s="20">
        <f>SUM('- 33 -'!B16,'- 33 -'!D16,'- 33 -'!F16)</f>
        <v>226993</v>
      </c>
      <c r="I16" s="70">
        <f>H16/'- 3 -'!D16*100</f>
        <v>1.6190835205382084</v>
      </c>
      <c r="J16" s="20">
        <f>H16/'- 7 -'!E16</f>
        <v>243.42412868632707</v>
      </c>
    </row>
    <row r="17" spans="1:10" ht="14.1" customHeight="1">
      <c r="A17" s="285" t="s">
        <v>115</v>
      </c>
      <c r="B17" s="286">
        <f>SUM('- 30 -'!D17,'- 30 -'!B17,'- 29 -'!F17,'- 29 -'!D17,'- 29 -'!B17)</f>
        <v>1358230</v>
      </c>
      <c r="C17" s="292">
        <f>B17/'- 3 -'!D17*100</f>
        <v>7.8191941952026598</v>
      </c>
      <c r="D17" s="286">
        <f>B17/'- 7 -'!E17</f>
        <v>1012.0831159983394</v>
      </c>
      <c r="E17" s="286">
        <f>SUM('- 32 -'!D17,'- 32 -'!B17,'- 31 -'!F17,'- 31 -'!D17,'- 31 -'!B17)</f>
        <v>2017942</v>
      </c>
      <c r="F17" s="292">
        <f>E17/'- 3 -'!D17*100</f>
        <v>11.61709016341536</v>
      </c>
      <c r="G17" s="286">
        <f>E17/'- 7 -'!E17</f>
        <v>1503.6665566685472</v>
      </c>
      <c r="H17" s="286">
        <f>SUM('- 33 -'!B17,'- 33 -'!D17,'- 33 -'!F17)</f>
        <v>338775</v>
      </c>
      <c r="I17" s="292">
        <f>H17/'- 3 -'!D17*100</f>
        <v>1.9502937746035514</v>
      </c>
      <c r="J17" s="286">
        <f>H17/'- 7 -'!E17</f>
        <v>252.437700258673</v>
      </c>
    </row>
    <row r="18" spans="1:10" ht="14.1" customHeight="1">
      <c r="A18" s="19" t="s">
        <v>116</v>
      </c>
      <c r="B18" s="20">
        <f>SUM('- 30 -'!D18,'- 30 -'!B18,'- 29 -'!F18,'- 29 -'!D18,'- 29 -'!B18)</f>
        <v>11153457</v>
      </c>
      <c r="C18" s="70">
        <f>B18/'- 3 -'!D18*100</f>
        <v>8.7994142842385159</v>
      </c>
      <c r="D18" s="20">
        <f>B18/'- 7 -'!E18</f>
        <v>1803.8908296943232</v>
      </c>
      <c r="E18" s="20">
        <f>SUM('- 32 -'!D18,'- 32 -'!B18,'- 31 -'!F18,'- 31 -'!D18,'- 31 -'!B18)</f>
        <v>22305070</v>
      </c>
      <c r="F18" s="70">
        <f>E18/'- 3 -'!D18*100</f>
        <v>17.597373762138503</v>
      </c>
      <c r="G18" s="20">
        <f>E18/'- 7 -'!E18</f>
        <v>3607.4834222869158</v>
      </c>
      <c r="H18" s="20">
        <f>SUM('- 33 -'!B18,'- 33 -'!D18,'- 33 -'!F18)</f>
        <v>1178500</v>
      </c>
      <c r="I18" s="70">
        <f>H18/'- 3 -'!D18*100</f>
        <v>0.92976641537911431</v>
      </c>
      <c r="J18" s="20">
        <f>H18/'- 7 -'!E18</f>
        <v>190.60326702248099</v>
      </c>
    </row>
    <row r="19" spans="1:10" ht="14.1" customHeight="1">
      <c r="A19" s="285" t="s">
        <v>117</v>
      </c>
      <c r="B19" s="286">
        <f>SUM('- 30 -'!D19,'- 30 -'!B19,'- 29 -'!F19,'- 29 -'!D19,'- 29 -'!B19)</f>
        <v>2600988</v>
      </c>
      <c r="C19" s="292">
        <f>B19/'- 3 -'!D19*100</f>
        <v>5.8150567336186008</v>
      </c>
      <c r="D19" s="286">
        <f>B19/'- 7 -'!E19</f>
        <v>614.20832644579309</v>
      </c>
      <c r="E19" s="286">
        <f>SUM('- 32 -'!D19,'- 32 -'!B19,'- 31 -'!F19,'- 31 -'!D19,'- 31 -'!B19)</f>
        <v>4182610</v>
      </c>
      <c r="F19" s="292">
        <f>E19/'- 3 -'!D19*100</f>
        <v>9.3511059814964526</v>
      </c>
      <c r="G19" s="286">
        <f>E19/'- 7 -'!E19</f>
        <v>987.69924669988438</v>
      </c>
      <c r="H19" s="286">
        <f>SUM('- 33 -'!B19,'- 33 -'!D19,'- 33 -'!F19)</f>
        <v>764791</v>
      </c>
      <c r="I19" s="292">
        <f>H19/'- 3 -'!D19*100</f>
        <v>1.7098514312103339</v>
      </c>
      <c r="J19" s="286">
        <f>H19/'- 7 -'!E19</f>
        <v>180.60098708291025</v>
      </c>
    </row>
    <row r="20" spans="1:10" ht="14.1" customHeight="1">
      <c r="A20" s="19" t="s">
        <v>118</v>
      </c>
      <c r="B20" s="20">
        <f>SUM('- 30 -'!D20,'- 30 -'!B20,'- 29 -'!F20,'- 29 -'!D20,'- 29 -'!B20)</f>
        <v>3521653</v>
      </c>
      <c r="C20" s="70">
        <f>B20/'- 3 -'!D20*100</f>
        <v>4.4980462927267251</v>
      </c>
      <c r="D20" s="20">
        <f>B20/'- 7 -'!E20</f>
        <v>465.4915437944868</v>
      </c>
      <c r="E20" s="20">
        <f>SUM('- 32 -'!D20,'- 32 -'!B20,'- 31 -'!F20,'- 31 -'!D20,'- 31 -'!B20)</f>
        <v>8739555</v>
      </c>
      <c r="F20" s="70">
        <f>E20/'- 3 -'!D20*100</f>
        <v>11.162633844910705</v>
      </c>
      <c r="G20" s="20">
        <f>E20/'- 7 -'!E20</f>
        <v>1155.1930156170486</v>
      </c>
      <c r="H20" s="20">
        <f>SUM('- 33 -'!B20,'- 33 -'!D20,'- 33 -'!F20)</f>
        <v>1438394</v>
      </c>
      <c r="I20" s="70">
        <f>H20/'- 3 -'!D20*100</f>
        <v>1.8371948625206302</v>
      </c>
      <c r="J20" s="20">
        <f>H20/'- 7 -'!E20</f>
        <v>190.12669438037395</v>
      </c>
    </row>
    <row r="21" spans="1:10" ht="14.1" customHeight="1">
      <c r="A21" s="285" t="s">
        <v>119</v>
      </c>
      <c r="B21" s="286">
        <f>SUM('- 30 -'!D21,'- 30 -'!B21,'- 29 -'!F21,'- 29 -'!D21,'- 29 -'!B21)</f>
        <v>2076127</v>
      </c>
      <c r="C21" s="292">
        <f>B21/'- 3 -'!D21*100</f>
        <v>5.9109601915489485</v>
      </c>
      <c r="D21" s="286">
        <f>B21/'- 7 -'!E21</f>
        <v>772.91500688730878</v>
      </c>
      <c r="E21" s="286">
        <f>SUM('- 32 -'!D21,'- 32 -'!B21,'- 31 -'!F21,'- 31 -'!D21,'- 31 -'!B21)</f>
        <v>3479148</v>
      </c>
      <c r="F21" s="292">
        <f>E21/'- 3 -'!D21*100</f>
        <v>9.9055141272702212</v>
      </c>
      <c r="G21" s="286">
        <f>E21/'- 7 -'!E21</f>
        <v>1295.241428092774</v>
      </c>
      <c r="H21" s="286">
        <f>SUM('- 33 -'!B21,'- 33 -'!D21,'- 33 -'!F21)</f>
        <v>587215</v>
      </c>
      <c r="I21" s="292">
        <f>H21/'- 3 -'!D21*100</f>
        <v>1.6718652032753369</v>
      </c>
      <c r="J21" s="286">
        <f>H21/'- 7 -'!E21</f>
        <v>218.61248650459774</v>
      </c>
    </row>
    <row r="22" spans="1:10" ht="14.1" customHeight="1">
      <c r="A22" s="19" t="s">
        <v>120</v>
      </c>
      <c r="B22" s="20">
        <f>SUM('- 30 -'!D22,'- 30 -'!B22,'- 29 -'!F22,'- 29 -'!D22,'- 29 -'!B22)</f>
        <v>553972</v>
      </c>
      <c r="C22" s="70">
        <f>B22/'- 3 -'!D22*100</f>
        <v>2.7719325739855689</v>
      </c>
      <c r="D22" s="20">
        <f>B22/'- 7 -'!E22</f>
        <v>361.62412690123375</v>
      </c>
      <c r="E22" s="20">
        <f>SUM('- 32 -'!D22,'- 32 -'!B22,'- 31 -'!F22,'- 31 -'!D22,'- 31 -'!B22)</f>
        <v>2476069</v>
      </c>
      <c r="F22" s="70">
        <f>E22/'- 3 -'!D22*100</f>
        <v>12.389608710432791</v>
      </c>
      <c r="G22" s="20">
        <f>E22/'- 7 -'!E22</f>
        <v>1616.3385338468568</v>
      </c>
      <c r="H22" s="20">
        <f>SUM('- 33 -'!B22,'- 33 -'!D22,'- 33 -'!F22)</f>
        <v>341767</v>
      </c>
      <c r="I22" s="70">
        <f>H22/'- 3 -'!D22*100</f>
        <v>1.7101136519775837</v>
      </c>
      <c r="J22" s="20">
        <f>H22/'- 7 -'!E22</f>
        <v>223.10007180625365</v>
      </c>
    </row>
    <row r="23" spans="1:10" ht="14.1" customHeight="1">
      <c r="A23" s="285" t="s">
        <v>121</v>
      </c>
      <c r="B23" s="286">
        <f>SUM('- 30 -'!D23,'- 30 -'!B23,'- 29 -'!F23,'- 29 -'!D23,'- 29 -'!B23)</f>
        <v>1595431</v>
      </c>
      <c r="C23" s="292">
        <f>B23/'- 3 -'!D23*100</f>
        <v>9.8863739735510858</v>
      </c>
      <c r="D23" s="286">
        <f>B23/'- 7 -'!E23</f>
        <v>1436.6780729401171</v>
      </c>
      <c r="E23" s="286">
        <f>SUM('- 32 -'!D23,'- 32 -'!B23,'- 31 -'!F23,'- 31 -'!D23,'- 31 -'!B23)</f>
        <v>1550990</v>
      </c>
      <c r="F23" s="292">
        <f>E23/'- 3 -'!D23*100</f>
        <v>9.6109873565437791</v>
      </c>
      <c r="G23" s="286">
        <f>E23/'- 7 -'!E23</f>
        <v>1396.6591625393967</v>
      </c>
      <c r="H23" s="286">
        <f>SUM('- 33 -'!B23,'- 33 -'!D23,'- 33 -'!F23)</f>
        <v>261061</v>
      </c>
      <c r="I23" s="292">
        <f>H23/'- 3 -'!D23*100</f>
        <v>1.6177112491290568</v>
      </c>
      <c r="J23" s="286">
        <f>H23/'- 7 -'!E23</f>
        <v>235.08419630796939</v>
      </c>
    </row>
    <row r="24" spans="1:10" ht="14.1" customHeight="1">
      <c r="A24" s="19" t="s">
        <v>122</v>
      </c>
      <c r="B24" s="20">
        <f>SUM('- 30 -'!D24,'- 30 -'!B24,'- 29 -'!F24,'- 29 -'!D24,'- 29 -'!B24)</f>
        <v>2401547</v>
      </c>
      <c r="C24" s="70">
        <f>B24/'- 3 -'!D24*100</f>
        <v>4.3114625011447183</v>
      </c>
      <c r="D24" s="20">
        <f>B24/'- 7 -'!E24</f>
        <v>601.66528873856942</v>
      </c>
      <c r="E24" s="20">
        <f>SUM('- 32 -'!D24,'- 32 -'!B24,'- 31 -'!F24,'- 31 -'!D24,'- 31 -'!B24)</f>
        <v>6573836</v>
      </c>
      <c r="F24" s="70">
        <f>E24/'- 3 -'!D24*100</f>
        <v>11.801912435057567</v>
      </c>
      <c r="G24" s="20">
        <f>E24/'- 7 -'!E24</f>
        <v>1646.9587874232745</v>
      </c>
      <c r="H24" s="20">
        <f>SUM('- 33 -'!B24,'- 33 -'!D24,'- 33 -'!F24)</f>
        <v>996638</v>
      </c>
      <c r="I24" s="70">
        <f>H24/'- 3 -'!D24*100</f>
        <v>1.7892497478566403</v>
      </c>
      <c r="J24" s="20">
        <f>H24/'- 7 -'!E24</f>
        <v>249.69009144431917</v>
      </c>
    </row>
    <row r="25" spans="1:10" ht="14.1" customHeight="1">
      <c r="A25" s="285" t="s">
        <v>123</v>
      </c>
      <c r="B25" s="286">
        <f>SUM('- 30 -'!D25,'- 30 -'!B25,'- 29 -'!F25,'- 29 -'!D25,'- 29 -'!B25)</f>
        <v>3816729</v>
      </c>
      <c r="C25" s="292">
        <f>B25/'- 3 -'!D25*100</f>
        <v>2.2713335631964706</v>
      </c>
      <c r="D25" s="286">
        <f>B25/'- 7 -'!E25</f>
        <v>269.6077447974796</v>
      </c>
      <c r="E25" s="286">
        <f>SUM('- 32 -'!D25,'- 32 -'!B25,'- 31 -'!F25,'- 31 -'!D25,'- 31 -'!B25)</f>
        <v>18011606</v>
      </c>
      <c r="F25" s="292">
        <f>E25/'- 3 -'!D25*100</f>
        <v>10.718697930838404</v>
      </c>
      <c r="G25" s="286">
        <f>E25/'- 7 -'!E25</f>
        <v>1272.3115719876239</v>
      </c>
      <c r="H25" s="286">
        <f>SUM('- 33 -'!B25,'- 33 -'!D25,'- 33 -'!F25)</f>
        <v>2928002</v>
      </c>
      <c r="I25" s="292">
        <f>H25/'- 3 -'!D25*100</f>
        <v>1.7424525596934946</v>
      </c>
      <c r="J25" s="286">
        <f>H25/'- 7 -'!E25</f>
        <v>206.82946470197643</v>
      </c>
    </row>
    <row r="26" spans="1:10" ht="14.1" customHeight="1">
      <c r="A26" s="19" t="s">
        <v>124</v>
      </c>
      <c r="B26" s="20">
        <f>SUM('- 30 -'!D26,'- 30 -'!B26,'- 29 -'!F26,'- 29 -'!D26,'- 29 -'!B26)</f>
        <v>3002080</v>
      </c>
      <c r="C26" s="70">
        <f>B26/'- 3 -'!D26*100</f>
        <v>7.5750522076752462</v>
      </c>
      <c r="D26" s="20">
        <f>B26/'- 7 -'!E26</f>
        <v>975.9687906371912</v>
      </c>
      <c r="E26" s="20">
        <f>SUM('- 32 -'!D26,'- 32 -'!B26,'- 31 -'!F26,'- 31 -'!D26,'- 31 -'!B26)</f>
        <v>5004841</v>
      </c>
      <c r="F26" s="70">
        <f>E26/'- 3 -'!D26*100</f>
        <v>12.628554824026535</v>
      </c>
      <c r="G26" s="20">
        <f>E26/'- 7 -'!E26</f>
        <v>1627.0614434330298</v>
      </c>
      <c r="H26" s="20">
        <f>SUM('- 33 -'!B26,'- 33 -'!D26,'- 33 -'!F26)</f>
        <v>716102</v>
      </c>
      <c r="I26" s="70">
        <f>H26/'- 3 -'!D26*100</f>
        <v>1.8069172160704108</v>
      </c>
      <c r="J26" s="20">
        <f>H26/'- 7 -'!E26</f>
        <v>232.80299089726918</v>
      </c>
    </row>
    <row r="27" spans="1:10" ht="14.1" customHeight="1">
      <c r="A27" s="285" t="s">
        <v>125</v>
      </c>
      <c r="B27" s="286">
        <f>SUM('- 30 -'!D27,'- 30 -'!B27,'- 29 -'!F27,'- 29 -'!D27,'- 29 -'!B27)</f>
        <v>245478</v>
      </c>
      <c r="C27" s="292">
        <f>B27/'- 3 -'!D27*100</f>
        <v>0.58426739405074901</v>
      </c>
      <c r="D27" s="286">
        <f>B27/'- 7 -'!E27</f>
        <v>84.495785158387861</v>
      </c>
      <c r="E27" s="286">
        <f>SUM('- 32 -'!D27,'- 32 -'!B27,'- 31 -'!F27,'- 31 -'!D27,'- 31 -'!B27)</f>
        <v>4700861</v>
      </c>
      <c r="F27" s="292">
        <f>E27/'- 3 -'!D27*100</f>
        <v>11.188618964896236</v>
      </c>
      <c r="G27" s="286">
        <f>E27/'- 7 -'!E27</f>
        <v>1618.0795880504336</v>
      </c>
      <c r="H27" s="286">
        <f>SUM('- 33 -'!B27,'- 33 -'!D27,'- 33 -'!F27)</f>
        <v>680782</v>
      </c>
      <c r="I27" s="292">
        <f>H27/'- 3 -'!D27*100</f>
        <v>1.6203436766498709</v>
      </c>
      <c r="J27" s="286">
        <f>H27/'- 7 -'!E27</f>
        <v>234.33142526702028</v>
      </c>
    </row>
    <row r="28" spans="1:10" ht="14.1" customHeight="1">
      <c r="A28" s="19" t="s">
        <v>126</v>
      </c>
      <c r="B28" s="20">
        <f>SUM('- 30 -'!D28,'- 30 -'!B28,'- 29 -'!F28,'- 29 -'!D28,'- 29 -'!B28)</f>
        <v>2048737</v>
      </c>
      <c r="C28" s="70">
        <f>B28/'- 3 -'!D28*100</f>
        <v>7.3681250102273275</v>
      </c>
      <c r="D28" s="20">
        <f>B28/'- 7 -'!E28</f>
        <v>1029.7748177934154</v>
      </c>
      <c r="E28" s="20">
        <f>SUM('- 32 -'!D28,'- 32 -'!B28,'- 31 -'!F28,'- 31 -'!D28,'- 31 -'!B28)</f>
        <v>3093068</v>
      </c>
      <c r="F28" s="70">
        <f>E28/'- 3 -'!D28*100</f>
        <v>11.123981110866755</v>
      </c>
      <c r="G28" s="20">
        <f>E28/'- 7 -'!E28</f>
        <v>1554.696154812767</v>
      </c>
      <c r="H28" s="20">
        <f>SUM('- 33 -'!B28,'- 33 -'!D28,'- 33 -'!F28)</f>
        <v>420676</v>
      </c>
      <c r="I28" s="70">
        <f>H28/'- 3 -'!D28*100</f>
        <v>1.5129288712032787</v>
      </c>
      <c r="J28" s="20">
        <f>H28/'- 7 -'!E28</f>
        <v>211.44810253832622</v>
      </c>
    </row>
    <row r="29" spans="1:10" ht="14.1" customHeight="1">
      <c r="A29" s="285" t="s">
        <v>127</v>
      </c>
      <c r="B29" s="286">
        <f>SUM('- 30 -'!D29,'- 30 -'!B29,'- 29 -'!F29,'- 29 -'!D29,'- 29 -'!B29)</f>
        <v>2824658</v>
      </c>
      <c r="C29" s="292">
        <f>B29/'- 3 -'!D29*100</f>
        <v>1.8783122935887993</v>
      </c>
      <c r="D29" s="286">
        <f>B29/'- 7 -'!E29</f>
        <v>222.53141421064657</v>
      </c>
      <c r="E29" s="286">
        <f>SUM('- 32 -'!D29,'- 32 -'!B29,'- 31 -'!F29,'- 31 -'!D29,'- 31 -'!B29)</f>
        <v>18541236</v>
      </c>
      <c r="F29" s="292">
        <f>E29/'- 3 -'!D29*100</f>
        <v>12.32936218017587</v>
      </c>
      <c r="G29" s="286">
        <f>E29/'- 7 -'!E29</f>
        <v>1460.7104535463591</v>
      </c>
      <c r="H29" s="286">
        <f>SUM('- 33 -'!B29,'- 33 -'!D29,'- 33 -'!F29)</f>
        <v>2624282</v>
      </c>
      <c r="I29" s="292">
        <f>H29/'- 3 -'!D29*100</f>
        <v>1.7450683029392591</v>
      </c>
      <c r="J29" s="286">
        <f>H29/'- 7 -'!E29</f>
        <v>206.74544838615648</v>
      </c>
    </row>
    <row r="30" spans="1:10" ht="14.1" customHeight="1">
      <c r="A30" s="19" t="s">
        <v>128</v>
      </c>
      <c r="B30" s="20">
        <f>SUM('- 30 -'!D30,'- 30 -'!B30,'- 29 -'!F30,'- 29 -'!D30,'- 29 -'!B30)</f>
        <v>1119647</v>
      </c>
      <c r="C30" s="70">
        <f>B30/'- 3 -'!D30*100</f>
        <v>8.0612186271131545</v>
      </c>
      <c r="D30" s="20">
        <f>B30/'- 7 -'!E30</f>
        <v>1115.1862549800796</v>
      </c>
      <c r="E30" s="20">
        <f>SUM('- 32 -'!D30,'- 32 -'!B30,'- 31 -'!F30,'- 31 -'!D30,'- 31 -'!B30)</f>
        <v>1405295</v>
      </c>
      <c r="F30" s="70">
        <f>E30/'- 3 -'!D30*100</f>
        <v>10.117823055471039</v>
      </c>
      <c r="G30" s="20">
        <f>E30/'- 7 -'!E30</f>
        <v>1399.6962151394423</v>
      </c>
      <c r="H30" s="20">
        <f>SUM('- 33 -'!B30,'- 33 -'!D30,'- 33 -'!F30)</f>
        <v>242277</v>
      </c>
      <c r="I30" s="70">
        <f>H30/'- 3 -'!D30*100</f>
        <v>1.7443425162761959</v>
      </c>
      <c r="J30" s="20">
        <f>H30/'- 7 -'!E30</f>
        <v>241.3117529880478</v>
      </c>
    </row>
    <row r="31" spans="1:10" ht="14.1" customHeight="1">
      <c r="A31" s="285" t="s">
        <v>129</v>
      </c>
      <c r="B31" s="286">
        <f>SUM('- 30 -'!D31,'- 30 -'!B31,'- 29 -'!F31,'- 29 -'!D31,'- 29 -'!B31)</f>
        <v>1041657</v>
      </c>
      <c r="C31" s="292">
        <f>B31/'- 3 -'!D31*100</f>
        <v>2.9102434320620931</v>
      </c>
      <c r="D31" s="286">
        <f>B31/'- 7 -'!E31</f>
        <v>318.69573198715005</v>
      </c>
      <c r="E31" s="286">
        <f>SUM('- 32 -'!D31,'- 32 -'!B31,'- 31 -'!F31,'- 31 -'!D31,'- 31 -'!B31)</f>
        <v>3744837</v>
      </c>
      <c r="F31" s="292">
        <f>E31/'- 3 -'!D31*100</f>
        <v>10.462548884511035</v>
      </c>
      <c r="G31" s="286">
        <f>E31/'- 7 -'!E31</f>
        <v>1145.7356585589721</v>
      </c>
      <c r="H31" s="286">
        <f>SUM('- 33 -'!B31,'- 33 -'!D31,'- 33 -'!F31)</f>
        <v>631118</v>
      </c>
      <c r="I31" s="292">
        <f>H31/'- 3 -'!D31*100</f>
        <v>1.7632550967892155</v>
      </c>
      <c r="J31" s="286">
        <f>H31/'- 7 -'!E31</f>
        <v>193.09102034572433</v>
      </c>
    </row>
    <row r="32" spans="1:10" ht="14.1" customHeight="1">
      <c r="A32" s="19" t="s">
        <v>130</v>
      </c>
      <c r="B32" s="20">
        <f>SUM('- 30 -'!D32,'- 30 -'!B32,'- 29 -'!F32,'- 29 -'!D32,'- 29 -'!B32)</f>
        <v>2067720</v>
      </c>
      <c r="C32" s="70">
        <f>B32/'- 3 -'!D32*100</f>
        <v>7.4059052255306801</v>
      </c>
      <c r="D32" s="20">
        <f>B32/'- 7 -'!E32</f>
        <v>978.94138812612425</v>
      </c>
      <c r="E32" s="20">
        <f>SUM('- 32 -'!D32,'- 32 -'!B32,'- 31 -'!F32,'- 31 -'!D32,'- 31 -'!B32)</f>
        <v>3251005</v>
      </c>
      <c r="F32" s="70">
        <f>E32/'- 3 -'!D32*100</f>
        <v>11.644049928291246</v>
      </c>
      <c r="G32" s="20">
        <f>E32/'- 7 -'!E32</f>
        <v>1539.1558564529871</v>
      </c>
      <c r="H32" s="20">
        <f>SUM('- 33 -'!B32,'- 33 -'!D32,'- 33 -'!F32)</f>
        <v>470405</v>
      </c>
      <c r="I32" s="70">
        <f>H32/'- 3 -'!D32*100</f>
        <v>1.6848387826280928</v>
      </c>
      <c r="J32" s="20">
        <f>H32/'- 7 -'!E32</f>
        <v>222.70855032667359</v>
      </c>
    </row>
    <row r="33" spans="1:10" ht="14.1" customHeight="1">
      <c r="A33" s="285" t="s">
        <v>131</v>
      </c>
      <c r="B33" s="286">
        <f>SUM('- 30 -'!D33,'- 30 -'!B33,'- 29 -'!F33,'- 29 -'!D33,'- 29 -'!B33)</f>
        <v>2179763</v>
      </c>
      <c r="C33" s="292">
        <f>B33/'- 3 -'!D33*100</f>
        <v>8.2373334016577289</v>
      </c>
      <c r="D33" s="286">
        <f>B33/'- 7 -'!E33</f>
        <v>1071.610540288088</v>
      </c>
      <c r="E33" s="286">
        <f>SUM('- 32 -'!D33,'- 32 -'!B33,'- 31 -'!F33,'- 31 -'!D33,'- 31 -'!B33)</f>
        <v>3151594</v>
      </c>
      <c r="F33" s="292">
        <f>E33/'- 3 -'!D33*100</f>
        <v>11.909886774233753</v>
      </c>
      <c r="G33" s="286">
        <f>E33/'- 7 -'!E33</f>
        <v>1549.3800698097439</v>
      </c>
      <c r="H33" s="286">
        <f>SUM('- 33 -'!B33,'- 33 -'!D33,'- 33 -'!F33)</f>
        <v>447604</v>
      </c>
      <c r="I33" s="292">
        <f>H33/'- 3 -'!D33*100</f>
        <v>1.6914973691706876</v>
      </c>
      <c r="J33" s="286">
        <f>H33/'- 7 -'!E33</f>
        <v>220.05014502728477</v>
      </c>
    </row>
    <row r="34" spans="1:10" ht="14.1" customHeight="1">
      <c r="A34" s="19" t="s">
        <v>132</v>
      </c>
      <c r="B34" s="20">
        <f>SUM('- 30 -'!D34,'- 30 -'!B34,'- 29 -'!F34,'- 29 -'!D34,'- 29 -'!B34)</f>
        <v>2586736</v>
      </c>
      <c r="C34" s="70">
        <f>B34/'- 3 -'!D34*100</f>
        <v>9.2731097326254126</v>
      </c>
      <c r="D34" s="20">
        <f>B34/'- 7 -'!E34</f>
        <v>1305.4038232503685</v>
      </c>
      <c r="E34" s="20">
        <f>SUM('- 32 -'!D34,'- 32 -'!B34,'- 31 -'!F34,'- 31 -'!D34,'- 31 -'!B34)</f>
        <v>2789500</v>
      </c>
      <c r="F34" s="70">
        <f>E34/'- 3 -'!D34*100</f>
        <v>9.9999921132881688</v>
      </c>
      <c r="G34" s="20">
        <f>E34/'- 7 -'!E34</f>
        <v>1407.7292638123499</v>
      </c>
      <c r="H34" s="20">
        <f>SUM('- 33 -'!B34,'- 33 -'!D34,'- 33 -'!F34)</f>
        <v>509346</v>
      </c>
      <c r="I34" s="70">
        <f>H34/'- 3 -'!D34*100</f>
        <v>1.8259386925738936</v>
      </c>
      <c r="J34" s="20">
        <f>H34/'- 7 -'!E34</f>
        <v>257.04293586870949</v>
      </c>
    </row>
    <row r="35" spans="1:10" ht="14.1" customHeight="1">
      <c r="A35" s="285" t="s">
        <v>133</v>
      </c>
      <c r="B35" s="286">
        <f>SUM('- 30 -'!D35,'- 30 -'!B35,'- 29 -'!F35,'- 29 -'!D35,'- 29 -'!B35)</f>
        <v>4091112</v>
      </c>
      <c r="C35" s="292">
        <f>B35/'- 3 -'!D35*100</f>
        <v>2.2660466188413753</v>
      </c>
      <c r="D35" s="286">
        <f>B35/'- 7 -'!E35</f>
        <v>265.1658942865476</v>
      </c>
      <c r="E35" s="286">
        <f>SUM('- 32 -'!D35,'- 32 -'!B35,'- 31 -'!F35,'- 31 -'!D35,'- 31 -'!B35)</f>
        <v>20584073</v>
      </c>
      <c r="F35" s="292">
        <f>E35/'- 3 -'!D35*100</f>
        <v>11.401415806664312</v>
      </c>
      <c r="G35" s="286">
        <f>E35/'- 7 -'!E35</f>
        <v>1334.1590562919273</v>
      </c>
      <c r="H35" s="286">
        <f>SUM('- 33 -'!B35,'- 33 -'!D35,'- 33 -'!F35)</f>
        <v>3118513</v>
      </c>
      <c r="I35" s="292">
        <f>H35/'- 3 -'!D35*100</f>
        <v>1.7273288630237633</v>
      </c>
      <c r="J35" s="286">
        <f>H35/'- 7 -'!E35</f>
        <v>202.12677836471465</v>
      </c>
    </row>
    <row r="36" spans="1:10" ht="14.1" customHeight="1">
      <c r="A36" s="19" t="s">
        <v>134</v>
      </c>
      <c r="B36" s="20">
        <f>SUM('- 30 -'!D36,'- 30 -'!B36,'- 29 -'!F36,'- 29 -'!D36,'- 29 -'!B36)</f>
        <v>1531106</v>
      </c>
      <c r="C36" s="70">
        <f>B36/'- 3 -'!D36*100</f>
        <v>6.8235867084128961</v>
      </c>
      <c r="D36" s="20">
        <f>B36/'- 7 -'!E36</f>
        <v>935.59792239535591</v>
      </c>
      <c r="E36" s="20">
        <f>SUM('- 32 -'!D36,'- 32 -'!B36,'- 31 -'!F36,'- 31 -'!D36,'- 31 -'!B36)</f>
        <v>2686855</v>
      </c>
      <c r="F36" s="70">
        <f>E36/'- 3 -'!D36*100</f>
        <v>11.974342772762128</v>
      </c>
      <c r="G36" s="20">
        <f>E36/'- 7 -'!E36</f>
        <v>1641.8301252673389</v>
      </c>
      <c r="H36" s="20">
        <f>SUM('- 33 -'!B36,'- 33 -'!D36,'- 33 -'!F36)</f>
        <v>396569</v>
      </c>
      <c r="I36" s="70">
        <f>H36/'- 3 -'!D36*100</f>
        <v>1.7673648704717986</v>
      </c>
      <c r="J36" s="20">
        <f>H36/'- 7 -'!E36</f>
        <v>242.32752826153376</v>
      </c>
    </row>
    <row r="37" spans="1:10" ht="14.1" customHeight="1">
      <c r="A37" s="285" t="s">
        <v>135</v>
      </c>
      <c r="B37" s="286">
        <f>SUM('- 30 -'!D37,'- 30 -'!B37,'- 29 -'!F37,'- 29 -'!D37,'- 29 -'!B37)</f>
        <v>3108546</v>
      </c>
      <c r="C37" s="292">
        <f>B37/'- 3 -'!D37*100</f>
        <v>6.5085056545587996</v>
      </c>
      <c r="D37" s="286">
        <f>B37/'- 7 -'!E37</f>
        <v>757.53527476544411</v>
      </c>
      <c r="E37" s="286">
        <f>SUM('- 32 -'!D37,'- 32 -'!B37,'- 31 -'!F37,'- 31 -'!D37,'- 31 -'!B37)</f>
        <v>4719866</v>
      </c>
      <c r="F37" s="292">
        <f>E37/'- 3 -'!D37*100</f>
        <v>9.8822004080878401</v>
      </c>
      <c r="G37" s="286">
        <f>E37/'- 7 -'!E37</f>
        <v>1150.2049469964663</v>
      </c>
      <c r="H37" s="286">
        <f>SUM('- 33 -'!B37,'- 33 -'!D37,'- 33 -'!F37)</f>
        <v>815555</v>
      </c>
      <c r="I37" s="292">
        <f>H37/'- 3 -'!D37*100</f>
        <v>1.70756499312016</v>
      </c>
      <c r="J37" s="286">
        <f>H37/'- 7 -'!E37</f>
        <v>198.74619227488728</v>
      </c>
    </row>
    <row r="38" spans="1:10" ht="14.1" customHeight="1">
      <c r="A38" s="19" t="s">
        <v>136</v>
      </c>
      <c r="B38" s="20">
        <f>SUM('- 30 -'!D38,'- 30 -'!B38,'- 29 -'!F38,'- 29 -'!D38,'- 29 -'!B38)</f>
        <v>3890292</v>
      </c>
      <c r="C38" s="70">
        <f>B38/'- 3 -'!D38*100</f>
        <v>3.0646491361044101</v>
      </c>
      <c r="D38" s="20">
        <f>B38/'- 7 -'!E38</f>
        <v>360.23557082403488</v>
      </c>
      <c r="E38" s="20">
        <f>SUM('- 32 -'!D38,'- 32 -'!B38,'- 31 -'!F38,'- 31 -'!D38,'- 31 -'!B38)</f>
        <v>12078151</v>
      </c>
      <c r="F38" s="70">
        <f>E38/'- 3 -'!D38*100</f>
        <v>9.5147857867452146</v>
      </c>
      <c r="G38" s="20">
        <f>E38/'- 7 -'!E38</f>
        <v>1118.4198049873601</v>
      </c>
      <c r="H38" s="20">
        <f>SUM('- 33 -'!B38,'- 33 -'!D38,'- 33 -'!F38)</f>
        <v>2224844</v>
      </c>
      <c r="I38" s="70">
        <f>H38/'- 3 -'!D38*100</f>
        <v>1.7526618162767935</v>
      </c>
      <c r="J38" s="20">
        <f>H38/'- 7 -'!E38</f>
        <v>206.01742705545729</v>
      </c>
    </row>
    <row r="39" spans="1:10" ht="14.1" customHeight="1">
      <c r="A39" s="285" t="s">
        <v>137</v>
      </c>
      <c r="B39" s="286">
        <f>SUM('- 30 -'!D39,'- 30 -'!B39,'- 29 -'!F39,'- 29 -'!D39,'- 29 -'!B39)</f>
        <v>1792058</v>
      </c>
      <c r="C39" s="292">
        <f>B39/'- 3 -'!D39*100</f>
        <v>8.66713289689541</v>
      </c>
      <c r="D39" s="286">
        <f>B39/'- 7 -'!E39</f>
        <v>1130.7073001451195</v>
      </c>
      <c r="E39" s="286">
        <f>SUM('- 32 -'!D39,'- 32 -'!B39,'- 31 -'!F39,'- 31 -'!D39,'- 31 -'!B39)</f>
        <v>2259684</v>
      </c>
      <c r="F39" s="292">
        <f>E39/'- 3 -'!D39*100</f>
        <v>10.92876543783081</v>
      </c>
      <c r="G39" s="286">
        <f>E39/'- 7 -'!E39</f>
        <v>1425.7580919931856</v>
      </c>
      <c r="H39" s="286">
        <f>SUM('- 33 -'!B39,'- 33 -'!D39,'- 33 -'!F39)</f>
        <v>405585</v>
      </c>
      <c r="I39" s="292">
        <f>H39/'- 3 -'!D39*100</f>
        <v>1.9615766319992571</v>
      </c>
      <c r="J39" s="286">
        <f>H39/'- 7 -'!E39</f>
        <v>255.90573537762634</v>
      </c>
    </row>
    <row r="40" spans="1:10" ht="14.1" customHeight="1">
      <c r="A40" s="19" t="s">
        <v>138</v>
      </c>
      <c r="B40" s="20">
        <f>SUM('- 30 -'!D40,'- 30 -'!B40,'- 29 -'!F40,'- 29 -'!D40,'- 29 -'!B40)</f>
        <v>2108214</v>
      </c>
      <c r="C40" s="70">
        <f>B40/'- 3 -'!D40*100</f>
        <v>2.0699549400449513</v>
      </c>
      <c r="D40" s="20">
        <f>B40/'- 7 -'!E40</f>
        <v>264.88761009687266</v>
      </c>
      <c r="E40" s="20">
        <f>SUM('- 32 -'!D40,'- 32 -'!B40,'- 31 -'!F40,'- 31 -'!D40,'- 31 -'!B40)</f>
        <v>10848005</v>
      </c>
      <c r="F40" s="70">
        <f>E40/'- 3 -'!D40*100</f>
        <v>10.651139561440317</v>
      </c>
      <c r="G40" s="20">
        <f>E40/'- 7 -'!E40</f>
        <v>1363.0030531857417</v>
      </c>
      <c r="H40" s="20">
        <f>SUM('- 33 -'!B40,'- 33 -'!D40,'- 33 -'!F40)</f>
        <v>1733685</v>
      </c>
      <c r="I40" s="70">
        <f>H40/'- 3 -'!D40*100</f>
        <v>1.7022227488442028</v>
      </c>
      <c r="J40" s="20">
        <f>H40/'- 7 -'!E40</f>
        <v>217.82972521328324</v>
      </c>
    </row>
    <row r="41" spans="1:10" ht="14.1" customHeight="1">
      <c r="A41" s="285" t="s">
        <v>139</v>
      </c>
      <c r="B41" s="286">
        <f>SUM('- 30 -'!D41,'- 30 -'!B41,'- 29 -'!F41,'- 29 -'!D41,'- 29 -'!B41)</f>
        <v>4974014</v>
      </c>
      <c r="C41" s="292">
        <f>B41/'- 3 -'!D41*100</f>
        <v>8.0474087141833479</v>
      </c>
      <c r="D41" s="286">
        <f>B41/'- 7 -'!E41</f>
        <v>1134.0661194710442</v>
      </c>
      <c r="E41" s="286">
        <f>SUM('- 32 -'!D41,'- 32 -'!B41,'- 31 -'!F41,'- 31 -'!D41,'- 31 -'!B41)</f>
        <v>6565973</v>
      </c>
      <c r="F41" s="292">
        <f>E41/'- 3 -'!D41*100</f>
        <v>10.623023645951255</v>
      </c>
      <c r="G41" s="286">
        <f>E41/'- 7 -'!E41</f>
        <v>1497.0298677610579</v>
      </c>
      <c r="H41" s="286">
        <f>SUM('- 33 -'!B41,'- 33 -'!D41,'- 33 -'!F41)</f>
        <v>1117516</v>
      </c>
      <c r="I41" s="292">
        <f>H41/'- 3 -'!D41*100</f>
        <v>1.8080182316815592</v>
      </c>
      <c r="J41" s="286">
        <f>H41/'- 7 -'!E41</f>
        <v>254.79160966712266</v>
      </c>
    </row>
    <row r="42" spans="1:10" ht="14.1" customHeight="1">
      <c r="A42" s="19" t="s">
        <v>140</v>
      </c>
      <c r="B42" s="20">
        <f>SUM('- 30 -'!D42,'- 30 -'!B42,'- 29 -'!F42,'- 29 -'!D42,'- 29 -'!B42)</f>
        <v>1586819</v>
      </c>
      <c r="C42" s="70">
        <f>B42/'- 3 -'!D42*100</f>
        <v>7.9242249815742003</v>
      </c>
      <c r="D42" s="20">
        <f>B42/'- 7 -'!E42</f>
        <v>1146.3798584019653</v>
      </c>
      <c r="E42" s="20">
        <f>SUM('- 32 -'!D42,'- 32 -'!B42,'- 31 -'!F42,'- 31 -'!D42,'- 31 -'!B42)</f>
        <v>2421642</v>
      </c>
      <c r="F42" s="70">
        <f>E42/'- 3 -'!D42*100</f>
        <v>12.093147380280492</v>
      </c>
      <c r="G42" s="20">
        <f>E42/'- 7 -'!E42</f>
        <v>1749.4885132206332</v>
      </c>
      <c r="H42" s="20">
        <f>SUM('- 33 -'!B42,'- 33 -'!D42,'- 33 -'!F42)</f>
        <v>312874</v>
      </c>
      <c r="I42" s="70">
        <f>H42/'- 3 -'!D42*100</f>
        <v>1.5624239228828531</v>
      </c>
      <c r="J42" s="20">
        <f>H42/'- 7 -'!E42</f>
        <v>226.03236526513513</v>
      </c>
    </row>
    <row r="43" spans="1:10" ht="14.1" customHeight="1">
      <c r="A43" s="285" t="s">
        <v>141</v>
      </c>
      <c r="B43" s="286">
        <f>SUM('- 30 -'!D43,'- 30 -'!B43,'- 29 -'!F43,'- 29 -'!D43,'- 29 -'!B43)</f>
        <v>1047306</v>
      </c>
      <c r="C43" s="292">
        <f>B43/'- 3 -'!D43*100</f>
        <v>8.2348914432396079</v>
      </c>
      <c r="D43" s="286">
        <f>B43/'- 7 -'!E43</f>
        <v>1106.2702017534596</v>
      </c>
      <c r="E43" s="286">
        <f>SUM('- 32 -'!D43,'- 32 -'!B43,'- 31 -'!F43,'- 31 -'!D43,'- 31 -'!B43)</f>
        <v>1033894</v>
      </c>
      <c r="F43" s="292">
        <f>E43/'- 3 -'!D43*100</f>
        <v>8.1294338558327475</v>
      </c>
      <c r="G43" s="286">
        <f>E43/'- 7 -'!E43</f>
        <v>1092.1030949614451</v>
      </c>
      <c r="H43" s="286">
        <f>SUM('- 33 -'!B43,'- 33 -'!D43,'- 33 -'!F43)</f>
        <v>266426</v>
      </c>
      <c r="I43" s="292">
        <f>H43/'- 3 -'!D43*100</f>
        <v>2.0948883971413852</v>
      </c>
      <c r="J43" s="286">
        <f>H43/'- 7 -'!E43</f>
        <v>281.42600612654485</v>
      </c>
    </row>
    <row r="44" spans="1:10" ht="14.1" customHeight="1">
      <c r="A44" s="19" t="s">
        <v>142</v>
      </c>
      <c r="B44" s="20">
        <f>SUM('- 30 -'!D44,'- 30 -'!B44,'- 29 -'!F44,'- 29 -'!D44,'- 29 -'!B44)</f>
        <v>1033734</v>
      </c>
      <c r="C44" s="70">
        <f>B44/'- 3 -'!D44*100</f>
        <v>9.5138908637899888</v>
      </c>
      <c r="D44" s="20">
        <f>B44/'- 7 -'!E44</f>
        <v>1517.964757709251</v>
      </c>
      <c r="E44" s="20">
        <f>SUM('- 32 -'!D44,'- 32 -'!B44,'- 31 -'!F44,'- 31 -'!D44,'- 31 -'!B44)</f>
        <v>1324058</v>
      </c>
      <c r="F44" s="70">
        <f>E44/'- 3 -'!D44*100</f>
        <v>12.185865328341764</v>
      </c>
      <c r="G44" s="20">
        <f>E44/'- 7 -'!E44</f>
        <v>1944.2848751835536</v>
      </c>
      <c r="H44" s="20">
        <f>SUM('- 33 -'!B44,'- 33 -'!D44,'- 33 -'!F44)</f>
        <v>171128</v>
      </c>
      <c r="I44" s="70">
        <f>H44/'- 3 -'!D44*100</f>
        <v>1.5749633036532158</v>
      </c>
      <c r="J44" s="20">
        <f>H44/'- 7 -'!E44</f>
        <v>251.28928046989722</v>
      </c>
    </row>
    <row r="45" spans="1:10" ht="14.1" customHeight="1">
      <c r="A45" s="285" t="s">
        <v>143</v>
      </c>
      <c r="B45" s="286">
        <f>SUM('- 30 -'!D45,'- 30 -'!B45,'- 29 -'!F45,'- 29 -'!D45,'- 29 -'!B45)</f>
        <v>752837</v>
      </c>
      <c r="C45" s="292">
        <f>B45/'- 3 -'!D45*100</f>
        <v>4.1064966023519878</v>
      </c>
      <c r="D45" s="286">
        <f>B45/'- 7 -'!E45</f>
        <v>453.51626506024098</v>
      </c>
      <c r="E45" s="286">
        <f>SUM('- 32 -'!D45,'- 32 -'!B45,'- 31 -'!F45,'- 31 -'!D45,'- 31 -'!B45)</f>
        <v>1828079</v>
      </c>
      <c r="F45" s="292">
        <f>E45/'- 3 -'!D45*100</f>
        <v>9.9716143100445667</v>
      </c>
      <c r="G45" s="286">
        <f>E45/'- 7 -'!E45</f>
        <v>1101.2524096385541</v>
      </c>
      <c r="H45" s="286">
        <f>SUM('- 33 -'!B45,'- 33 -'!D45,'- 33 -'!F45)</f>
        <v>340438</v>
      </c>
      <c r="I45" s="292">
        <f>H45/'- 3 -'!D45*100</f>
        <v>1.8569856294410425</v>
      </c>
      <c r="J45" s="286">
        <f>H45/'- 7 -'!E45</f>
        <v>205.08313253012048</v>
      </c>
    </row>
    <row r="46" spans="1:10" ht="14.1" customHeight="1">
      <c r="A46" s="19" t="s">
        <v>144</v>
      </c>
      <c r="B46" s="20">
        <f>SUM('- 30 -'!D46,'- 30 -'!B46,'- 29 -'!F46,'- 29 -'!D46,'- 29 -'!B46)</f>
        <v>6494651</v>
      </c>
      <c r="C46" s="70">
        <f>B46/'- 3 -'!D46*100</f>
        <v>1.7021497516559791</v>
      </c>
      <c r="D46" s="20">
        <f>B46/'- 7 -'!E46</f>
        <v>217.68563767387298</v>
      </c>
      <c r="E46" s="20">
        <f>SUM('- 32 -'!D46,'- 32 -'!B46,'- 31 -'!F46,'- 31 -'!D46,'- 31 -'!B46)</f>
        <v>45965985</v>
      </c>
      <c r="F46" s="70">
        <f>E46/'- 3 -'!D46*100</f>
        <v>12.046989122644538</v>
      </c>
      <c r="G46" s="20">
        <f>E46/'- 7 -'!E46</f>
        <v>1540.6732026143791</v>
      </c>
      <c r="H46" s="20">
        <f>SUM('- 33 -'!B46,'- 33 -'!D46,'- 33 -'!F46)</f>
        <v>6974465</v>
      </c>
      <c r="I46" s="70">
        <f>H46/'- 3 -'!D46*100</f>
        <v>1.8279017406298381</v>
      </c>
      <c r="J46" s="20">
        <f>H46/'- 7 -'!E46</f>
        <v>233.76789006200772</v>
      </c>
    </row>
    <row r="47" spans="1:10" ht="5.0999999999999996" customHeight="1">
      <c r="A47" s="21"/>
      <c r="B47" s="22"/>
      <c r="C47"/>
      <c r="D47"/>
      <c r="E47"/>
      <c r="F47"/>
      <c r="G47"/>
      <c r="H47"/>
      <c r="I47"/>
      <c r="J47"/>
    </row>
    <row r="48" spans="1:10" ht="14.1" customHeight="1">
      <c r="A48" s="287" t="s">
        <v>145</v>
      </c>
      <c r="B48" s="288">
        <f>SUM(B11:B46)</f>
        <v>94677921</v>
      </c>
      <c r="C48" s="295">
        <f>B48/'- 3 -'!D48*100</f>
        <v>4.2734274303949107</v>
      </c>
      <c r="D48" s="288">
        <f>B48/'- 7 -'!E48</f>
        <v>544.10398630518409</v>
      </c>
      <c r="E48" s="288">
        <f>SUM(E11:E46)</f>
        <v>253487970</v>
      </c>
      <c r="F48" s="295">
        <f>E48/'- 3 -'!D48*100</f>
        <v>11.441552928407903</v>
      </c>
      <c r="G48" s="288">
        <f>E48/'- 7 -'!E48</f>
        <v>1456.768521114959</v>
      </c>
      <c r="H48" s="288">
        <f>SUM(H11:H46)</f>
        <v>37631677</v>
      </c>
      <c r="I48" s="295">
        <f>H48/'- 3 -'!D48*100</f>
        <v>1.6985611750342644</v>
      </c>
      <c r="J48" s="288">
        <f>H48/'- 7 -'!E48</f>
        <v>216.26526280661687</v>
      </c>
    </row>
    <row r="49" spans="1:10" ht="5.0999999999999996" customHeight="1">
      <c r="A49" s="21" t="s">
        <v>7</v>
      </c>
      <c r="B49" s="22"/>
      <c r="C49"/>
      <c r="D49"/>
      <c r="E49"/>
      <c r="F49"/>
      <c r="G49"/>
      <c r="H49"/>
      <c r="I49"/>
      <c r="J49"/>
    </row>
    <row r="50" spans="1:10" ht="14.1" customHeight="1">
      <c r="A50" s="285" t="s">
        <v>146</v>
      </c>
      <c r="B50" s="286">
        <f>SUM('- 30 -'!D50,'- 30 -'!B50,'- 29 -'!F50,'- 29 -'!D50,'- 29 -'!B50)</f>
        <v>46908</v>
      </c>
      <c r="C50" s="292">
        <f>B50/'- 3 -'!D50*100</f>
        <v>1.396456701000544</v>
      </c>
      <c r="D50" s="286">
        <f>B50/'- 7 -'!E50</f>
        <v>274.31578947368422</v>
      </c>
      <c r="E50" s="286">
        <f>SUM('- 32 -'!D50,'- 32 -'!B50,'- 31 -'!F50,'- 31 -'!D50,'- 31 -'!B50)</f>
        <v>416276</v>
      </c>
      <c r="F50" s="292">
        <f>E50/'- 3 -'!D50*100</f>
        <v>12.39258569254077</v>
      </c>
      <c r="G50" s="286">
        <f>E50/'- 7 -'!E50</f>
        <v>2434.3625730994154</v>
      </c>
      <c r="H50" s="286">
        <f>SUM('- 33 -'!B50,'- 33 -'!D50,'- 33 -'!F50)</f>
        <v>39475</v>
      </c>
      <c r="I50" s="292">
        <f>H50/'- 3 -'!D50*100</f>
        <v>1.1751754129785212</v>
      </c>
      <c r="J50" s="286">
        <f>H50/'- 7 -'!E50</f>
        <v>230.84795321637426</v>
      </c>
    </row>
    <row r="51" spans="1:10" ht="14.1" customHeight="1">
      <c r="A51" s="19" t="s">
        <v>612</v>
      </c>
      <c r="B51" s="20">
        <f>SUM('- 30 -'!D51,'- 30 -'!B51,'- 29 -'!F51,'- 29 -'!D51,'- 29 -'!B51)</f>
        <v>0</v>
      </c>
      <c r="C51" s="70">
        <f>B51/'- 3 -'!D51*100</f>
        <v>0</v>
      </c>
      <c r="D51" s="20">
        <f>B51/'- 7 -'!E51</f>
        <v>0</v>
      </c>
      <c r="E51" s="20">
        <f>SUM('- 32 -'!D51,'- 32 -'!B51,'- 31 -'!F51,'- 31 -'!D51,'- 31 -'!B51)</f>
        <v>3053699</v>
      </c>
      <c r="F51" s="70">
        <f>E51/'- 3 -'!D51*100</f>
        <v>11.51794120684467</v>
      </c>
      <c r="G51" s="20">
        <f>E51/'- 7 -'!E51</f>
        <v>3005.6092519685039</v>
      </c>
      <c r="H51" s="20">
        <f>SUM('- 33 -'!B51,'- 33 -'!D51,'- 33 -'!F51)</f>
        <v>451418</v>
      </c>
      <c r="I51" s="70">
        <f>H51/'- 3 -'!D51*100</f>
        <v>1.7026583116775449</v>
      </c>
      <c r="J51" s="20">
        <f>H51/'- 7 -'!E51</f>
        <v>444.30905511811022</v>
      </c>
    </row>
    <row r="52" spans="1:10" ht="50.1" customHeight="1"/>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sheetPr codeName="Sheet13">
    <pageSetUpPr fitToPage="1"/>
  </sheetPr>
  <dimension ref="A1:G52"/>
  <sheetViews>
    <sheetView showGridLines="0" showZeros="0" workbookViewId="0"/>
  </sheetViews>
  <sheetFormatPr defaultColWidth="15.83203125" defaultRowHeight="12"/>
  <cols>
    <col min="1" max="1" width="33.83203125" style="2" customWidth="1"/>
    <col min="2" max="2" width="21.83203125" style="2" customWidth="1"/>
    <col min="3" max="3" width="12.83203125" style="2" customWidth="1"/>
    <col min="4" max="4" width="15.33203125" style="2" customWidth="1"/>
    <col min="5" max="5" width="20.83203125" style="2" customWidth="1"/>
    <col min="6" max="6" width="12.83203125" style="2" customWidth="1"/>
    <col min="7" max="7" width="15.33203125" style="2" customWidth="1"/>
    <col min="8" max="16384" width="15.83203125" style="2"/>
  </cols>
  <sheetData>
    <row r="1" spans="1:7" ht="6.95" customHeight="1">
      <c r="A1" s="7"/>
      <c r="B1" s="89"/>
      <c r="C1" s="89"/>
      <c r="D1" s="89"/>
      <c r="E1" s="89"/>
      <c r="F1" s="89"/>
      <c r="G1" s="89"/>
    </row>
    <row r="2" spans="1:7" ht="15.95" customHeight="1">
      <c r="A2" s="134"/>
      <c r="B2" s="90" t="s">
        <v>263</v>
      </c>
      <c r="C2" s="201"/>
      <c r="D2" s="91"/>
      <c r="E2" s="91"/>
      <c r="F2" s="91"/>
      <c r="G2" s="396" t="s">
        <v>402</v>
      </c>
    </row>
    <row r="3" spans="1:7" ht="15.95" customHeight="1">
      <c r="A3" s="543"/>
      <c r="B3" s="202" t="str">
        <f>OPYEAR</f>
        <v>OPERATING FUND 2015/2016 ACTUAL</v>
      </c>
      <c r="C3" s="94"/>
      <c r="D3" s="203"/>
      <c r="E3" s="94"/>
      <c r="F3" s="94"/>
      <c r="G3" s="96"/>
    </row>
    <row r="4" spans="1:7" ht="15.95" customHeight="1">
      <c r="B4" s="89"/>
      <c r="C4" s="89"/>
      <c r="D4" s="89"/>
      <c r="E4" s="89"/>
      <c r="F4" s="89"/>
      <c r="G4" s="89"/>
    </row>
    <row r="5" spans="1:7" ht="15.95" customHeight="1">
      <c r="B5" s="188" t="s">
        <v>13</v>
      </c>
      <c r="C5" s="175"/>
      <c r="D5" s="176"/>
      <c r="E5" s="176"/>
      <c r="F5" s="176"/>
      <c r="G5" s="177"/>
    </row>
    <row r="6" spans="1:7" ht="15.95" customHeight="1">
      <c r="B6" s="310"/>
      <c r="C6" s="313"/>
      <c r="D6" s="311"/>
      <c r="E6" s="643" t="s">
        <v>482</v>
      </c>
      <c r="F6" s="651"/>
      <c r="G6" s="644"/>
    </row>
    <row r="7" spans="1:7" ht="15.95" customHeight="1">
      <c r="B7" s="648" t="s">
        <v>19</v>
      </c>
      <c r="C7" s="650"/>
      <c r="D7" s="649"/>
      <c r="E7" s="645"/>
      <c r="F7" s="652"/>
      <c r="G7" s="646"/>
    </row>
    <row r="8" spans="1:7" ht="15.95" customHeight="1">
      <c r="A8" s="67"/>
      <c r="B8" s="137"/>
      <c r="C8" s="138"/>
      <c r="D8" s="596" t="s">
        <v>480</v>
      </c>
      <c r="E8" s="137"/>
      <c r="F8" s="139"/>
      <c r="G8" s="596" t="s">
        <v>481</v>
      </c>
    </row>
    <row r="9" spans="1:7" ht="15.95" customHeight="1">
      <c r="A9" s="35" t="s">
        <v>42</v>
      </c>
      <c r="B9" s="77" t="s">
        <v>43</v>
      </c>
      <c r="C9" s="77" t="s">
        <v>44</v>
      </c>
      <c r="D9" s="598"/>
      <c r="E9" s="77" t="s">
        <v>43</v>
      </c>
      <c r="F9" s="77" t="s">
        <v>44</v>
      </c>
      <c r="G9" s="598"/>
    </row>
    <row r="10" spans="1:7" ht="5.0999999999999996" customHeight="1">
      <c r="A10" s="6"/>
    </row>
    <row r="11" spans="1:7" ht="14.1" customHeight="1">
      <c r="A11" s="285" t="s">
        <v>110</v>
      </c>
      <c r="B11" s="286">
        <v>1271616</v>
      </c>
      <c r="C11" s="292">
        <f>B11/'- 3 -'!D11*100</f>
        <v>7.0885260248925874</v>
      </c>
      <c r="D11" s="286">
        <f>B11/'- 7 -'!C11</f>
        <v>758.72076372315041</v>
      </c>
      <c r="E11" s="286">
        <v>0</v>
      </c>
      <c r="F11" s="292">
        <f>E11/'- 3 -'!D11*100</f>
        <v>0</v>
      </c>
      <c r="G11" s="286" t="str">
        <f>IF('- 7 -'!B11=0,"",E11/'- 7 -'!B11)</f>
        <v/>
      </c>
    </row>
    <row r="12" spans="1:7" ht="14.1" customHeight="1">
      <c r="A12" s="19" t="s">
        <v>111</v>
      </c>
      <c r="B12" s="20">
        <v>2704776</v>
      </c>
      <c r="C12" s="70">
        <f>B12/'- 3 -'!D12*100</f>
        <v>8.3746319965550011</v>
      </c>
      <c r="D12" s="20">
        <f>B12/'- 7 -'!C12</f>
        <v>1272.8956656783848</v>
      </c>
      <c r="E12" s="20">
        <v>1405108</v>
      </c>
      <c r="F12" s="70">
        <f>E12/'- 3 -'!D12*100</f>
        <v>4.3505497000178224</v>
      </c>
      <c r="G12" s="20">
        <f>IF('- 7 -'!B12=0,"",E12/'- 7 -'!B12)</f>
        <v>8700.3591331269345</v>
      </c>
    </row>
    <row r="13" spans="1:7" ht="14.1" customHeight="1">
      <c r="A13" s="285" t="s">
        <v>112</v>
      </c>
      <c r="B13" s="286">
        <v>6264993</v>
      </c>
      <c r="C13" s="292">
        <f>B13/'- 3 -'!D13*100</f>
        <v>6.9026057437412298</v>
      </c>
      <c r="D13" s="286">
        <f>B13/'- 7 -'!C13</f>
        <v>759.39309090909092</v>
      </c>
      <c r="E13" s="286">
        <v>3319069</v>
      </c>
      <c r="F13" s="292">
        <f>E13/'- 3 -'!D13*100</f>
        <v>3.656863582014132</v>
      </c>
      <c r="G13" s="286">
        <f>IF('- 7 -'!B13=0,"",E13/'- 7 -'!B13)</f>
        <v>8600.8525524747347</v>
      </c>
    </row>
    <row r="14" spans="1:7" ht="14.1" customHeight="1">
      <c r="A14" s="19" t="s">
        <v>359</v>
      </c>
      <c r="B14" s="20">
        <v>5894016</v>
      </c>
      <c r="C14" s="70">
        <f>B14/'- 3 -'!D14*100</f>
        <v>7.2572919856627127</v>
      </c>
      <c r="D14" s="20">
        <f>B14/'- 7 -'!C14</f>
        <v>1103.1285794497473</v>
      </c>
      <c r="E14" s="20">
        <v>0</v>
      </c>
      <c r="F14" s="70">
        <f>E14/'- 3 -'!D14*100</f>
        <v>0</v>
      </c>
      <c r="G14" s="20" t="str">
        <f>IF('- 7 -'!B14=0,"",E14/'- 7 -'!B14)</f>
        <v/>
      </c>
    </row>
    <row r="15" spans="1:7" ht="14.1" customHeight="1">
      <c r="A15" s="285" t="s">
        <v>113</v>
      </c>
      <c r="B15" s="286">
        <v>1610606</v>
      </c>
      <c r="C15" s="292">
        <f>B15/'- 3 -'!D15*100</f>
        <v>8.1201929277245029</v>
      </c>
      <c r="D15" s="286">
        <f>B15/'- 7 -'!C15</f>
        <v>1142.2737588652483</v>
      </c>
      <c r="E15" s="286">
        <v>123148</v>
      </c>
      <c r="F15" s="292">
        <f>E15/'- 3 -'!D15*100</f>
        <v>0.62087532187475836</v>
      </c>
      <c r="G15" s="286">
        <f>IF('- 7 -'!B15=0,"",E15/'- 7 -'!B15)</f>
        <v>6157.4</v>
      </c>
    </row>
    <row r="16" spans="1:7" ht="14.1" customHeight="1">
      <c r="A16" s="19" t="s">
        <v>114</v>
      </c>
      <c r="B16" s="20">
        <v>1169654</v>
      </c>
      <c r="C16" s="70">
        <f>B16/'- 3 -'!D16*100</f>
        <v>8.3428454451529248</v>
      </c>
      <c r="D16" s="20">
        <f>B16/'- 7 -'!C16</f>
        <v>1254.3206434316353</v>
      </c>
      <c r="E16" s="20">
        <v>37880</v>
      </c>
      <c r="F16" s="70">
        <f>E16/'- 3 -'!D16*100</f>
        <v>0.2701884364627426</v>
      </c>
      <c r="G16" s="20">
        <f>IF('- 7 -'!B16=0,"",E16/'- 7 -'!B16)</f>
        <v>5050.666666666667</v>
      </c>
    </row>
    <row r="17" spans="1:7" ht="14.1" customHeight="1">
      <c r="A17" s="285" t="s">
        <v>115</v>
      </c>
      <c r="B17" s="286">
        <v>1277300</v>
      </c>
      <c r="C17" s="292">
        <f>B17/'- 3 -'!D17*100</f>
        <v>7.3532882836723958</v>
      </c>
      <c r="D17" s="286">
        <f>B17/'- 7 -'!C17</f>
        <v>951.77824379131584</v>
      </c>
      <c r="E17" s="286">
        <v>194766</v>
      </c>
      <c r="F17" s="292">
        <f>E17/'- 3 -'!D17*100</f>
        <v>1.1212483722365441</v>
      </c>
      <c r="G17" s="286">
        <f>IF('- 7 -'!B17=0,"",E17/'- 7 -'!B17)</f>
        <v>8574.6037735849059</v>
      </c>
    </row>
    <row r="18" spans="1:7" ht="14.1" customHeight="1">
      <c r="A18" s="19" t="s">
        <v>116</v>
      </c>
      <c r="B18" s="20">
        <v>7180373</v>
      </c>
      <c r="C18" s="70">
        <f>B18/'- 3 -'!D18*100</f>
        <v>5.6648872849342196</v>
      </c>
      <c r="D18" s="20">
        <f>B18/'- 7 -'!C18</f>
        <v>1161.3089115316191</v>
      </c>
      <c r="E18" s="20">
        <v>757948</v>
      </c>
      <c r="F18" s="70">
        <f>E18/'- 3 -'!D18*100</f>
        <v>0.59797589733030887</v>
      </c>
      <c r="G18" s="20">
        <f>IF('- 7 -'!B18=0,"",E18/'- 7 -'!B18)</f>
        <v>15158.96</v>
      </c>
    </row>
    <row r="19" spans="1:7" ht="14.1" customHeight="1">
      <c r="A19" s="285" t="s">
        <v>117</v>
      </c>
      <c r="B19" s="286">
        <v>2877504</v>
      </c>
      <c r="C19" s="292">
        <f>B19/'- 3 -'!D19*100</f>
        <v>6.4332665168829921</v>
      </c>
      <c r="D19" s="286">
        <f>B19/'- 7 -'!C19</f>
        <v>679.50598625640544</v>
      </c>
      <c r="E19" s="286">
        <v>1535757</v>
      </c>
      <c r="F19" s="292">
        <f>E19/'- 3 -'!D19*100</f>
        <v>3.433508376067826</v>
      </c>
      <c r="G19" s="286">
        <f>IF('- 7 -'!B19=0,"",E19/'- 7 -'!B19)</f>
        <v>13103.72866894198</v>
      </c>
    </row>
    <row r="20" spans="1:7" ht="14.1" customHeight="1">
      <c r="A20" s="19" t="s">
        <v>118</v>
      </c>
      <c r="B20" s="20">
        <v>6032241</v>
      </c>
      <c r="C20" s="70">
        <f>B20/'- 3 -'!D20*100</f>
        <v>7.7047055081474971</v>
      </c>
      <c r="D20" s="20">
        <f>B20/'- 7 -'!C20</f>
        <v>797.34067372066431</v>
      </c>
      <c r="E20" s="20">
        <v>2732927</v>
      </c>
      <c r="F20" s="70">
        <f>E20/'- 3 -'!D20*100</f>
        <v>3.4906426500972048</v>
      </c>
      <c r="G20" s="20">
        <f>IF('- 7 -'!B20=0,"",E20/'- 7 -'!B20)</f>
        <v>6153.1622199707308</v>
      </c>
    </row>
    <row r="21" spans="1:7" ht="14.1" customHeight="1">
      <c r="A21" s="285" t="s">
        <v>119</v>
      </c>
      <c r="B21" s="286">
        <v>3102880</v>
      </c>
      <c r="C21" s="292">
        <f>B21/'- 3 -'!D21*100</f>
        <v>8.8342380592099623</v>
      </c>
      <c r="D21" s="286">
        <f>B21/'- 7 -'!C21</f>
        <v>1155.1617586835935</v>
      </c>
      <c r="E21" s="286">
        <v>0</v>
      </c>
      <c r="F21" s="292">
        <f>E21/'- 3 -'!D21*100</f>
        <v>0</v>
      </c>
      <c r="G21" s="286" t="str">
        <f>IF('- 7 -'!B21=0,"",E21/'- 7 -'!B21)</f>
        <v/>
      </c>
    </row>
    <row r="22" spans="1:7" ht="14.1" customHeight="1">
      <c r="A22" s="19" t="s">
        <v>120</v>
      </c>
      <c r="B22" s="20">
        <v>1504762</v>
      </c>
      <c r="C22" s="70">
        <f>B22/'- 3 -'!D22*100</f>
        <v>7.5294397621101297</v>
      </c>
      <c r="D22" s="20">
        <f>B22/'- 7 -'!C22</f>
        <v>982.28474443501523</v>
      </c>
      <c r="E22" s="20">
        <v>0</v>
      </c>
      <c r="F22" s="70">
        <f>E22/'- 3 -'!D22*100</f>
        <v>0</v>
      </c>
      <c r="G22" s="20" t="str">
        <f>IF('- 7 -'!B22=0,"",E22/'- 7 -'!B22)</f>
        <v/>
      </c>
    </row>
    <row r="23" spans="1:7" ht="14.1" customHeight="1">
      <c r="A23" s="285" t="s">
        <v>121</v>
      </c>
      <c r="B23" s="286">
        <v>1062899</v>
      </c>
      <c r="C23" s="292">
        <f>B23/'- 3 -'!D23*100</f>
        <v>6.5864440455986353</v>
      </c>
      <c r="D23" s="286">
        <f>B23/'- 7 -'!C23</f>
        <v>957.13552453849616</v>
      </c>
      <c r="E23" s="286">
        <v>236872</v>
      </c>
      <c r="F23" s="292">
        <f>E23/'- 3 -'!D23*100</f>
        <v>1.4678197777672572</v>
      </c>
      <c r="G23" s="286">
        <f>IF('- 7 -'!B23=0,"",E23/'- 7 -'!B23)</f>
        <v>11279.619047619048</v>
      </c>
    </row>
    <row r="24" spans="1:7" ht="14.1" customHeight="1">
      <c r="A24" s="19" t="s">
        <v>122</v>
      </c>
      <c r="B24" s="20">
        <v>4431928</v>
      </c>
      <c r="C24" s="70">
        <f>B24/'- 3 -'!D24*100</f>
        <v>7.9565760652501538</v>
      </c>
      <c r="D24" s="20">
        <f>B24/'- 7 -'!C24</f>
        <v>1110.3414756357258</v>
      </c>
      <c r="E24" s="20">
        <v>1856593</v>
      </c>
      <c r="F24" s="70">
        <f>E24/'- 3 -'!D24*100</f>
        <v>3.3331144880311636</v>
      </c>
      <c r="G24" s="20">
        <f>IF('- 7 -'!B24=0,"",E24/'- 7 -'!B24)</f>
        <v>7182.1779497098642</v>
      </c>
    </row>
    <row r="25" spans="1:7" ht="14.1" customHeight="1">
      <c r="A25" s="285" t="s">
        <v>123</v>
      </c>
      <c r="B25" s="286">
        <v>13438925</v>
      </c>
      <c r="C25" s="292">
        <f>B25/'- 3 -'!D25*100</f>
        <v>7.9974977017703193</v>
      </c>
      <c r="D25" s="286">
        <f>B25/'- 7 -'!C25</f>
        <v>949.30456465535497</v>
      </c>
      <c r="E25" s="286">
        <v>1429161</v>
      </c>
      <c r="F25" s="292">
        <f>E25/'- 3 -'!D25*100</f>
        <v>0.85049301286819978</v>
      </c>
      <c r="G25" s="286">
        <f>IF('- 7 -'!B25=0,"",E25/'- 7 -'!B25)</f>
        <v>16973.408551068882</v>
      </c>
    </row>
    <row r="26" spans="1:7" ht="14.1" customHeight="1">
      <c r="A26" s="19" t="s">
        <v>124</v>
      </c>
      <c r="B26" s="20">
        <v>3303826</v>
      </c>
      <c r="C26" s="70">
        <f>B26/'- 3 -'!D26*100</f>
        <v>8.3364382145295526</v>
      </c>
      <c r="D26" s="20">
        <f>B26/'- 7 -'!C26</f>
        <v>1074.0656697009103</v>
      </c>
      <c r="E26" s="20">
        <v>877502</v>
      </c>
      <c r="F26" s="70">
        <f>E26/'- 3 -'!D26*100</f>
        <v>2.2141726610681407</v>
      </c>
      <c r="G26" s="20">
        <f>IF('- 7 -'!B26=0,"",E26/'- 7 -'!B26)</f>
        <v>6476.0295202952029</v>
      </c>
    </row>
    <row r="27" spans="1:7" ht="14.1" customHeight="1">
      <c r="A27" s="285" t="s">
        <v>125</v>
      </c>
      <c r="B27" s="286">
        <v>2908712</v>
      </c>
      <c r="C27" s="292">
        <f>B27/'- 3 -'!D27*100</f>
        <v>6.9230871209808713</v>
      </c>
      <c r="D27" s="286">
        <f>B27/'- 7 -'!C27</f>
        <v>1001.2054206064278</v>
      </c>
      <c r="E27" s="286">
        <v>1064803</v>
      </c>
      <c r="F27" s="292">
        <f>E27/'- 3 -'!D27*100</f>
        <v>2.5343602033070978</v>
      </c>
      <c r="G27" s="286">
        <f>IF('- 7 -'!B27=0,"",E27/'- 7 -'!B27)</f>
        <v>8821.1664319443298</v>
      </c>
    </row>
    <row r="28" spans="1:7" ht="14.1" customHeight="1">
      <c r="A28" s="19" t="s">
        <v>126</v>
      </c>
      <c r="B28" s="20">
        <v>2037840</v>
      </c>
      <c r="C28" s="70">
        <f>B28/'- 3 -'!D28*100</f>
        <v>7.3289347880385129</v>
      </c>
      <c r="D28" s="20">
        <f>B28/'- 7 -'!C28</f>
        <v>1024.2975622015581</v>
      </c>
      <c r="E28" s="20">
        <v>0</v>
      </c>
      <c r="F28" s="70">
        <f>E28/'- 3 -'!D28*100</f>
        <v>0</v>
      </c>
      <c r="G28" s="20" t="str">
        <f>IF('- 7 -'!B28=0,"",E28/'- 7 -'!B28)</f>
        <v/>
      </c>
    </row>
    <row r="29" spans="1:7" ht="14.1" customHeight="1">
      <c r="A29" s="285" t="s">
        <v>127</v>
      </c>
      <c r="B29" s="286">
        <v>11926799</v>
      </c>
      <c r="C29" s="292">
        <f>B29/'- 3 -'!D29*100</f>
        <v>7.9309612649965402</v>
      </c>
      <c r="D29" s="286">
        <f>B29/'- 7 -'!C29</f>
        <v>939.61373322934151</v>
      </c>
      <c r="E29" s="286">
        <v>0</v>
      </c>
      <c r="F29" s="292">
        <f>E29/'- 3 -'!D29*100</f>
        <v>0</v>
      </c>
      <c r="G29" s="286" t="str">
        <f>IF('- 7 -'!B29=0,"",E29/'- 7 -'!B29)</f>
        <v/>
      </c>
    </row>
    <row r="30" spans="1:7" ht="14.1" customHeight="1">
      <c r="A30" s="19" t="s">
        <v>128</v>
      </c>
      <c r="B30" s="20">
        <v>1000990</v>
      </c>
      <c r="C30" s="70">
        <f>B30/'- 3 -'!D30*100</f>
        <v>7.2069136375607652</v>
      </c>
      <c r="D30" s="20">
        <f>B30/'- 7 -'!C30</f>
        <v>997.00199203187253</v>
      </c>
      <c r="E30" s="20">
        <v>173799</v>
      </c>
      <c r="F30" s="70">
        <f>E30/'- 3 -'!D30*100</f>
        <v>1.2513155808693626</v>
      </c>
      <c r="G30" s="20">
        <f>IF('- 7 -'!B30=0,"",E30/'- 7 -'!B30)</f>
        <v>6274.3321299638992</v>
      </c>
    </row>
    <row r="31" spans="1:7" ht="14.1" customHeight="1">
      <c r="A31" s="285" t="s">
        <v>129</v>
      </c>
      <c r="B31" s="286">
        <v>2923490</v>
      </c>
      <c r="C31" s="292">
        <f>B31/'- 3 -'!D31*100</f>
        <v>8.1678206657270174</v>
      </c>
      <c r="D31" s="286">
        <f>B31/'- 7 -'!C31</f>
        <v>894.44393452654117</v>
      </c>
      <c r="E31" s="286">
        <v>865183</v>
      </c>
      <c r="F31" s="292">
        <f>E31/'- 3 -'!D31*100</f>
        <v>2.4171998491651068</v>
      </c>
      <c r="G31" s="286">
        <f>IF('- 7 -'!B31=0,"",E31/'- 7 -'!B31)</f>
        <v>6524.7586726998497</v>
      </c>
    </row>
    <row r="32" spans="1:7" ht="14.1" customHeight="1">
      <c r="A32" s="19" t="s">
        <v>130</v>
      </c>
      <c r="B32" s="20">
        <v>2131060</v>
      </c>
      <c r="C32" s="70">
        <f>B32/'- 3 -'!D32*100</f>
        <v>7.6327686485207922</v>
      </c>
      <c r="D32" s="20">
        <f>B32/'- 7 -'!C32</f>
        <v>1008.9290786857304</v>
      </c>
      <c r="E32" s="20">
        <v>784936</v>
      </c>
      <c r="F32" s="70">
        <f>E32/'- 3 -'!D32*100</f>
        <v>2.8113872401036653</v>
      </c>
      <c r="G32" s="20">
        <f>IF('- 7 -'!B32=0,"",E32/'- 7 -'!B32)</f>
        <v>6990.2573693116037</v>
      </c>
    </row>
    <row r="33" spans="1:7" ht="14.1" customHeight="1">
      <c r="A33" s="285" t="s">
        <v>131</v>
      </c>
      <c r="B33" s="286">
        <v>2243242</v>
      </c>
      <c r="C33" s="292">
        <f>B33/'- 3 -'!D33*100</f>
        <v>8.4772208054735696</v>
      </c>
      <c r="D33" s="286">
        <f>B33/'- 7 -'!C33</f>
        <v>1102.8179538862396</v>
      </c>
      <c r="E33" s="286">
        <v>223376</v>
      </c>
      <c r="F33" s="292">
        <f>E33/'- 3 -'!D33*100</f>
        <v>0.84413882882161806</v>
      </c>
      <c r="G33" s="286">
        <f>IF('- 7 -'!B33=0,"",E33/'- 7 -'!B33)</f>
        <v>3891.5679442508713</v>
      </c>
    </row>
    <row r="34" spans="1:7" ht="14.1" customHeight="1">
      <c r="A34" s="19" t="s">
        <v>132</v>
      </c>
      <c r="B34" s="20">
        <v>2441669</v>
      </c>
      <c r="C34" s="70">
        <f>B34/'- 3 -'!D34*100</f>
        <v>8.7530635394372514</v>
      </c>
      <c r="D34" s="20">
        <f>B34/'- 7 -'!C34</f>
        <v>1232.1953410444296</v>
      </c>
      <c r="E34" s="20">
        <v>323849</v>
      </c>
      <c r="F34" s="70">
        <f>E34/'- 3 -'!D34*100</f>
        <v>1.1609562451680446</v>
      </c>
      <c r="G34" s="20">
        <f>IF('- 7 -'!B34=0,"",E34/'- 7 -'!B34)</f>
        <v>15254.309938765897</v>
      </c>
    </row>
    <row r="35" spans="1:7" ht="14.1" customHeight="1">
      <c r="A35" s="285" t="s">
        <v>133</v>
      </c>
      <c r="B35" s="286">
        <v>12634123</v>
      </c>
      <c r="C35" s="292">
        <f>B35/'- 3 -'!D35*100</f>
        <v>6.9979779840239171</v>
      </c>
      <c r="D35" s="286">
        <f>B35/'- 7 -'!C35</f>
        <v>818.88213371358199</v>
      </c>
      <c r="E35" s="286">
        <v>4102387</v>
      </c>
      <c r="F35" s="292">
        <f>E35/'- 3 -'!D35*100</f>
        <v>2.2722917853456015</v>
      </c>
      <c r="G35" s="286">
        <f>IF('- 7 -'!B35=0,"",E35/'- 7 -'!B35)</f>
        <v>6595.4774919614147</v>
      </c>
    </row>
    <row r="36" spans="1:7" ht="14.1" customHeight="1">
      <c r="A36" s="19" t="s">
        <v>134</v>
      </c>
      <c r="B36" s="20">
        <v>1835176</v>
      </c>
      <c r="C36" s="70">
        <f>B36/'- 3 -'!D36*100</f>
        <v>8.1787169282847465</v>
      </c>
      <c r="D36" s="20">
        <f>B36/'- 7 -'!C36</f>
        <v>1121.4029941949282</v>
      </c>
      <c r="E36" s="20">
        <v>130618</v>
      </c>
      <c r="F36" s="70">
        <f>E36/'- 3 -'!D36*100</f>
        <v>0.58211727253336842</v>
      </c>
      <c r="G36" s="20">
        <f>IF('- 7 -'!B36=0,"",E36/'- 7 -'!B36)</f>
        <v>14676.179775280898</v>
      </c>
    </row>
    <row r="37" spans="1:7" ht="14.1" customHeight="1">
      <c r="A37" s="285" t="s">
        <v>135</v>
      </c>
      <c r="B37" s="286">
        <v>4117580</v>
      </c>
      <c r="C37" s="292">
        <f>B37/'- 3 -'!D37*100</f>
        <v>8.6211665238662132</v>
      </c>
      <c r="D37" s="286">
        <f>B37/'- 7 -'!C37</f>
        <v>1003.431217253564</v>
      </c>
      <c r="E37" s="286">
        <v>0</v>
      </c>
      <c r="F37" s="292">
        <f>E37/'- 3 -'!D37*100</f>
        <v>0</v>
      </c>
      <c r="G37" s="286" t="str">
        <f>IF('- 7 -'!B37=0,"",E37/'- 7 -'!B37)</f>
        <v/>
      </c>
    </row>
    <row r="38" spans="1:7" ht="14.1" customHeight="1">
      <c r="A38" s="19" t="s">
        <v>136</v>
      </c>
      <c r="B38" s="20">
        <v>9856016</v>
      </c>
      <c r="C38" s="70">
        <f>B38/'- 3 -'!D38*100</f>
        <v>7.7642580350861179</v>
      </c>
      <c r="D38" s="20">
        <f>B38/'- 7 -'!C38</f>
        <v>912.65322752400607</v>
      </c>
      <c r="E38" s="20">
        <v>1093519</v>
      </c>
      <c r="F38" s="70">
        <f>E38/'- 3 -'!D38*100</f>
        <v>0.86143972191901241</v>
      </c>
      <c r="G38" s="20">
        <f>IF('- 7 -'!B38=0,"",E38/'- 7 -'!B38)</f>
        <v>6102.2265625</v>
      </c>
    </row>
    <row r="39" spans="1:7" ht="14.1" customHeight="1">
      <c r="A39" s="285" t="s">
        <v>137</v>
      </c>
      <c r="B39" s="286">
        <v>1255531</v>
      </c>
      <c r="C39" s="292">
        <f>B39/'- 3 -'!D39*100</f>
        <v>6.0722666527377971</v>
      </c>
      <c r="D39" s="286">
        <f>B39/'- 7 -'!C39</f>
        <v>792.1831030348917</v>
      </c>
      <c r="E39" s="286">
        <v>268691</v>
      </c>
      <c r="F39" s="292">
        <f>E39/'- 3 -'!D39*100</f>
        <v>1.2995006887052341</v>
      </c>
      <c r="G39" s="286">
        <f>IF('- 7 -'!B39=0,"",E39/'- 7 -'!B39)</f>
        <v>5716.8297872340427</v>
      </c>
    </row>
    <row r="40" spans="1:7" ht="14.1" customHeight="1">
      <c r="A40" s="19" t="s">
        <v>138</v>
      </c>
      <c r="B40" s="20">
        <v>7854353</v>
      </c>
      <c r="C40" s="70">
        <f>B40/'- 3 -'!D40*100</f>
        <v>7.7118152109827962</v>
      </c>
      <c r="D40" s="20">
        <f>B40/'- 7 -'!C40</f>
        <v>986.8641395167673</v>
      </c>
      <c r="E40" s="20">
        <v>1802657</v>
      </c>
      <c r="F40" s="70">
        <f>E40/'- 3 -'!D40*100</f>
        <v>1.7699430714133442</v>
      </c>
      <c r="G40" s="20">
        <f>IF('- 7 -'!B40=0,"",E40/'- 7 -'!B40)</f>
        <v>6401.480823863636</v>
      </c>
    </row>
    <row r="41" spans="1:7" ht="14.1" customHeight="1">
      <c r="A41" s="285" t="s">
        <v>139</v>
      </c>
      <c r="B41" s="286">
        <v>3977717</v>
      </c>
      <c r="C41" s="292">
        <f>B41/'- 3 -'!D41*100</f>
        <v>6.4355095197470789</v>
      </c>
      <c r="D41" s="286">
        <f>B41/'- 7 -'!C41</f>
        <v>906.91222070223444</v>
      </c>
      <c r="E41" s="286">
        <v>0</v>
      </c>
      <c r="F41" s="292">
        <f>E41/'- 3 -'!D41*100</f>
        <v>0</v>
      </c>
      <c r="G41" s="286" t="str">
        <f>IF('- 7 -'!B41=0,"",E41/'- 7 -'!B41)</f>
        <v/>
      </c>
    </row>
    <row r="42" spans="1:7" ht="14.1" customHeight="1">
      <c r="A42" s="19" t="s">
        <v>140</v>
      </c>
      <c r="B42" s="20">
        <v>1649940</v>
      </c>
      <c r="C42" s="70">
        <f>B42/'- 3 -'!D42*100</f>
        <v>8.2394373687853104</v>
      </c>
      <c r="D42" s="20">
        <f>B42/'- 7 -'!C42</f>
        <v>1191.9809276116171</v>
      </c>
      <c r="E42" s="20">
        <v>1307708</v>
      </c>
      <c r="F42" s="70">
        <f>E42/'- 3 -'!D42*100</f>
        <v>6.5304060527410082</v>
      </c>
      <c r="G42" s="20">
        <f>IF('- 7 -'!B42=0,"",E42/'- 7 -'!B42)</f>
        <v>9300.9103840682783</v>
      </c>
    </row>
    <row r="43" spans="1:7" ht="14.1" customHeight="1">
      <c r="A43" s="285" t="s">
        <v>141</v>
      </c>
      <c r="B43" s="286">
        <v>773266</v>
      </c>
      <c r="C43" s="292">
        <f>B43/'- 3 -'!D43*100</f>
        <v>6.0801347139690964</v>
      </c>
      <c r="D43" s="286">
        <f>B43/'- 7 -'!C43</f>
        <v>816.80152107320168</v>
      </c>
      <c r="E43" s="286">
        <v>133082</v>
      </c>
      <c r="F43" s="292">
        <f>E43/'- 3 -'!D43*100</f>
        <v>1.0464141550313029</v>
      </c>
      <c r="G43" s="286">
        <f>IF('- 7 -'!B43=0,"",E43/'- 7 -'!B43)</f>
        <v>4604.9134948096889</v>
      </c>
    </row>
    <row r="44" spans="1:7" ht="14.1" customHeight="1">
      <c r="A44" s="19" t="s">
        <v>142</v>
      </c>
      <c r="B44" s="20">
        <v>626079</v>
      </c>
      <c r="C44" s="70">
        <f>B44/'- 3 -'!D44*100</f>
        <v>5.7620696214991218</v>
      </c>
      <c r="D44" s="20">
        <f>B44/'- 7 -'!C44</f>
        <v>919.35242290748897</v>
      </c>
      <c r="E44" s="20">
        <v>0</v>
      </c>
      <c r="F44" s="70">
        <f>E44/'- 3 -'!D44*100</f>
        <v>0</v>
      </c>
      <c r="G44" s="20" t="str">
        <f>IF('- 7 -'!B44=0,"",E44/'- 7 -'!B44)</f>
        <v/>
      </c>
    </row>
    <row r="45" spans="1:7" ht="14.1" customHeight="1">
      <c r="A45" s="285" t="s">
        <v>143</v>
      </c>
      <c r="B45" s="286">
        <v>1157401</v>
      </c>
      <c r="C45" s="292">
        <f>B45/'- 3 -'!D45*100</f>
        <v>6.3132700359557159</v>
      </c>
      <c r="D45" s="286">
        <f>B45/'- 7 -'!C45</f>
        <v>697.22951807228912</v>
      </c>
      <c r="E45" s="286">
        <v>338006</v>
      </c>
      <c r="F45" s="292">
        <f>E45/'- 3 -'!D45*100</f>
        <v>1.8437198099649541</v>
      </c>
      <c r="G45" s="286">
        <f>IF('- 7 -'!B45=0,"",E45/'- 7 -'!B45)</f>
        <v>7191.6170212765956</v>
      </c>
    </row>
    <row r="46" spans="1:7" ht="14.1" customHeight="1">
      <c r="A46" s="19" t="s">
        <v>144</v>
      </c>
      <c r="B46" s="20">
        <v>28971745</v>
      </c>
      <c r="C46" s="70">
        <f>B46/'- 3 -'!D46*100</f>
        <v>7.5930559712585568</v>
      </c>
      <c r="D46" s="20">
        <f>B46/'- 7 -'!C46</f>
        <v>971.06569465393</v>
      </c>
      <c r="E46" s="20">
        <v>5480098</v>
      </c>
      <c r="F46" s="70">
        <f>E46/'- 3 -'!D46*100</f>
        <v>1.4362507623197041</v>
      </c>
      <c r="G46" s="20">
        <f>IF('- 7 -'!B46=0,"",E46/'- 7 -'!B46)</f>
        <v>6131.2351756545095</v>
      </c>
    </row>
    <row r="47" spans="1:7" ht="5.0999999999999996" customHeight="1">
      <c r="A47" s="21"/>
      <c r="B47" s="22"/>
      <c r="C47"/>
      <c r="D47" s="22"/>
      <c r="E47" s="22"/>
      <c r="F47"/>
      <c r="G47" s="22"/>
    </row>
    <row r="48" spans="1:7" ht="14.1" customHeight="1">
      <c r="A48" s="287" t="s">
        <v>145</v>
      </c>
      <c r="B48" s="288">
        <f>SUM(B11:B46)</f>
        <v>165451028</v>
      </c>
      <c r="C48" s="295">
        <f>B48/'- 3 -'!D48*100</f>
        <v>7.4678758677246035</v>
      </c>
      <c r="D48" s="288">
        <f>B48/'- 7 -'!C48</f>
        <v>950.82953789290139</v>
      </c>
      <c r="E48" s="288">
        <f>SUM(E11:E46)</f>
        <v>32599443</v>
      </c>
      <c r="F48" s="295">
        <f>E48/'- 3 -'!D48*100</f>
        <v>1.4714238806721935</v>
      </c>
      <c r="G48" s="288">
        <f>E48/'- 7 -'!B48</f>
        <v>7360.2955586533981</v>
      </c>
    </row>
    <row r="49" spans="1:7" ht="5.0999999999999996" customHeight="1">
      <c r="A49" s="21" t="s">
        <v>7</v>
      </c>
      <c r="B49" s="22"/>
      <c r="C49"/>
      <c r="D49" s="22"/>
      <c r="E49" s="22"/>
      <c r="F49"/>
    </row>
    <row r="50" spans="1:7" ht="14.1" customHeight="1">
      <c r="A50" s="19" t="s">
        <v>146</v>
      </c>
      <c r="B50" s="20">
        <v>195837</v>
      </c>
      <c r="C50" s="70">
        <f>B50/'- 3 -'!D50*100</f>
        <v>5.8300906232165843</v>
      </c>
      <c r="D50" s="20">
        <f>B50/'- 7 -'!C50</f>
        <v>1145.2456140350878</v>
      </c>
      <c r="E50" s="20">
        <v>0</v>
      </c>
      <c r="F50" s="70">
        <f>E50/'- 3 -'!D50*100</f>
        <v>0</v>
      </c>
      <c r="G50" s="20" t="str">
        <f>IF('- 7 -'!B50=0,"",E50/'- 7 -'!B50)</f>
        <v/>
      </c>
    </row>
    <row r="51" spans="1:7" ht="14.1" customHeight="1">
      <c r="A51" s="285" t="s">
        <v>612</v>
      </c>
      <c r="B51" s="286">
        <v>1033072</v>
      </c>
      <c r="C51" s="292">
        <f>B51/'- 3 -'!D51*100</f>
        <v>3.8965407390962361</v>
      </c>
      <c r="D51" s="286">
        <f>B51/'- 7 -'!C51</f>
        <v>1016.8031496062993</v>
      </c>
      <c r="E51" s="286">
        <v>4155920</v>
      </c>
      <c r="F51" s="292">
        <f>E51/'- 3 -'!D51*100</f>
        <v>15.675298128712065</v>
      </c>
      <c r="G51" s="286">
        <f>IF('- 7 -'!B51=0,"",E51/'- 7 -'!B51)</f>
        <v>4630.5515320334262</v>
      </c>
    </row>
    <row r="52" spans="1:7" ht="50.1" customHeight="1">
      <c r="B52" s="85"/>
      <c r="C52" s="85"/>
      <c r="D52" s="85"/>
      <c r="E52" s="85"/>
      <c r="F52" s="85"/>
      <c r="G52" s="85"/>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sheetPr codeName="Sheet14">
    <pageSetUpPr fitToPage="1"/>
  </sheetPr>
  <dimension ref="A1:J53"/>
  <sheetViews>
    <sheetView showGridLines="0" showZeros="0" workbookViewId="0"/>
  </sheetViews>
  <sheetFormatPr defaultColWidth="15.83203125" defaultRowHeight="12"/>
  <cols>
    <col min="1" max="1" width="32.83203125" style="2" customWidth="1"/>
    <col min="2" max="2" width="16.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c r="A1" s="7"/>
      <c r="B1" s="7"/>
      <c r="C1" s="7"/>
      <c r="D1" s="7"/>
      <c r="E1" s="7"/>
      <c r="F1" s="7"/>
      <c r="G1" s="7"/>
      <c r="H1" s="89"/>
      <c r="I1" s="89"/>
      <c r="J1" s="89"/>
    </row>
    <row r="2" spans="1:10" ht="15.95" customHeight="1">
      <c r="A2" s="134"/>
      <c r="B2" s="90" t="s">
        <v>263</v>
      </c>
      <c r="C2" s="91"/>
      <c r="D2" s="91"/>
      <c r="E2" s="169"/>
      <c r="F2" s="169"/>
      <c r="G2" s="169"/>
      <c r="H2" s="169"/>
      <c r="I2" s="63"/>
      <c r="J2" s="396" t="s">
        <v>403</v>
      </c>
    </row>
    <row r="3" spans="1:10" ht="15.95" customHeight="1">
      <c r="A3" s="543"/>
      <c r="B3" s="74" t="str">
        <f>OPYEAR</f>
        <v>OPERATING FUND 2015/2016 ACTUAL</v>
      </c>
      <c r="C3" s="94"/>
      <c r="D3" s="94"/>
      <c r="E3" s="29"/>
      <c r="F3" s="29"/>
      <c r="G3" s="29"/>
      <c r="H3" s="29"/>
      <c r="I3" s="65"/>
      <c r="J3" s="186"/>
    </row>
    <row r="4" spans="1:10" ht="15.95" customHeight="1">
      <c r="H4" s="89"/>
      <c r="I4" s="89"/>
      <c r="J4" s="89"/>
    </row>
    <row r="5" spans="1:10" ht="15.95" customHeight="1">
      <c r="B5" s="188" t="s">
        <v>13</v>
      </c>
      <c r="C5" s="39"/>
      <c r="D5" s="39"/>
      <c r="E5" s="39"/>
      <c r="F5" s="39"/>
      <c r="G5" s="39"/>
      <c r="H5" s="39"/>
      <c r="I5" s="198"/>
      <c r="J5" s="199"/>
    </row>
    <row r="6" spans="1:10" ht="15.95" customHeight="1">
      <c r="B6" s="325" t="s">
        <v>244</v>
      </c>
      <c r="C6" s="326"/>
      <c r="D6" s="326"/>
      <c r="E6" s="326"/>
      <c r="F6" s="326"/>
      <c r="G6" s="327"/>
      <c r="H6" s="328"/>
      <c r="I6" s="326"/>
      <c r="J6" s="327"/>
    </row>
    <row r="7" spans="1:10" ht="15.95" customHeight="1">
      <c r="B7" s="653" t="s">
        <v>20</v>
      </c>
      <c r="C7" s="654"/>
      <c r="D7" s="655"/>
      <c r="E7" s="653" t="s">
        <v>21</v>
      </c>
      <c r="F7" s="654"/>
      <c r="G7" s="655"/>
      <c r="H7" s="653" t="s">
        <v>22</v>
      </c>
      <c r="I7" s="654"/>
      <c r="J7" s="655"/>
    </row>
    <row r="8" spans="1:10" ht="15.95" customHeight="1">
      <c r="A8" s="67"/>
      <c r="B8" s="200"/>
      <c r="C8" s="191"/>
      <c r="D8" s="596" t="s">
        <v>480</v>
      </c>
      <c r="E8" s="200"/>
      <c r="F8" s="191"/>
      <c r="G8" s="596" t="s">
        <v>480</v>
      </c>
      <c r="H8" s="179"/>
      <c r="I8" s="178"/>
      <c r="J8" s="596" t="s">
        <v>480</v>
      </c>
    </row>
    <row r="9" spans="1:10" ht="15.95" customHeight="1">
      <c r="A9" s="35" t="s">
        <v>42</v>
      </c>
      <c r="B9" s="101" t="s">
        <v>43</v>
      </c>
      <c r="C9" s="101" t="s">
        <v>44</v>
      </c>
      <c r="D9" s="598"/>
      <c r="E9" s="101" t="s">
        <v>43</v>
      </c>
      <c r="F9" s="101" t="s">
        <v>44</v>
      </c>
      <c r="G9" s="598"/>
      <c r="H9" s="180" t="s">
        <v>43</v>
      </c>
      <c r="I9" s="101" t="s">
        <v>44</v>
      </c>
      <c r="J9" s="598"/>
    </row>
    <row r="10" spans="1:10" ht="5.0999999999999996" customHeight="1">
      <c r="A10" s="6"/>
      <c r="B10" s="85"/>
      <c r="C10" s="85"/>
      <c r="D10" s="85"/>
      <c r="E10" s="85"/>
      <c r="F10" s="85"/>
      <c r="G10" s="85"/>
      <c r="H10" s="85"/>
      <c r="I10" s="85"/>
      <c r="J10" s="85"/>
    </row>
    <row r="11" spans="1:10" ht="14.1" customHeight="1">
      <c r="A11" s="285" t="s">
        <v>110</v>
      </c>
      <c r="B11" s="286">
        <v>10007534</v>
      </c>
      <c r="C11" s="292">
        <f>B11/'- 3 -'!D11*100</f>
        <v>55.786232010290384</v>
      </c>
      <c r="D11" s="286">
        <f>B11/'- 6 -'!B11</f>
        <v>5971.082338902148</v>
      </c>
      <c r="E11" s="286">
        <v>0</v>
      </c>
      <c r="F11" s="292">
        <f>E11/'- 3 -'!D11*100</f>
        <v>0</v>
      </c>
      <c r="G11" s="286" t="str">
        <f>IF('- 6 -'!C11=0,"",E11/'- 6 -'!C11)</f>
        <v/>
      </c>
      <c r="H11" s="286">
        <v>0</v>
      </c>
      <c r="I11" s="292">
        <f>H11/'- 3 -'!D11*100</f>
        <v>0</v>
      </c>
      <c r="J11" s="286" t="str">
        <f>IF('- 6 -'!D11=0,"",H11/'- 6 -'!D11)</f>
        <v/>
      </c>
    </row>
    <row r="12" spans="1:10" ht="14.1" customHeight="1">
      <c r="A12" s="19" t="s">
        <v>111</v>
      </c>
      <c r="B12" s="20">
        <v>14821025</v>
      </c>
      <c r="C12" s="70">
        <f>B12/'- 3 -'!D12*100</f>
        <v>45.88943046919286</v>
      </c>
      <c r="D12" s="20">
        <f>B12/'- 6 -'!B12</f>
        <v>7548.6528471019656</v>
      </c>
      <c r="E12" s="20">
        <v>0</v>
      </c>
      <c r="F12" s="70">
        <f>E12/'- 3 -'!D12*100</f>
        <v>0</v>
      </c>
      <c r="G12" s="20" t="str">
        <f>IF('- 6 -'!C12=0,"",E12/'- 6 -'!C12)</f>
        <v/>
      </c>
      <c r="H12" s="20">
        <v>0</v>
      </c>
      <c r="I12" s="70">
        <f>H12/'- 3 -'!D12*100</f>
        <v>0</v>
      </c>
      <c r="J12" s="20" t="str">
        <f>IF('- 6 -'!D12=0,"",H12/'- 6 -'!D12)</f>
        <v/>
      </c>
    </row>
    <row r="13" spans="1:10" ht="14.1" customHeight="1">
      <c r="A13" s="285" t="s">
        <v>112</v>
      </c>
      <c r="B13" s="286">
        <v>36061578</v>
      </c>
      <c r="C13" s="292">
        <f>B13/'- 3 -'!D13*100</f>
        <v>39.731705275835481</v>
      </c>
      <c r="D13" s="286">
        <f>B13/'- 6 -'!B13</f>
        <v>5935.9645108722489</v>
      </c>
      <c r="E13" s="286">
        <v>0</v>
      </c>
      <c r="F13" s="292">
        <f>E13/'- 3 -'!D13*100</f>
        <v>0</v>
      </c>
      <c r="G13" s="286" t="str">
        <f>IF('- 6 -'!C13=0,"",E13/'- 6 -'!C13)</f>
        <v/>
      </c>
      <c r="H13" s="286">
        <v>1695404</v>
      </c>
      <c r="I13" s="292">
        <f>H13/'- 3 -'!D13*100</f>
        <v>1.8679518697565753</v>
      </c>
      <c r="J13" s="286">
        <f>IF('- 6 -'!D13=0,"",H13/'- 6 -'!D13)</f>
        <v>4986.482352941176</v>
      </c>
    </row>
    <row r="14" spans="1:10" ht="14.1" customHeight="1">
      <c r="A14" s="19" t="s">
        <v>359</v>
      </c>
      <c r="B14" s="20">
        <v>0</v>
      </c>
      <c r="C14" s="70">
        <f>B14/'- 3 -'!D14*100</f>
        <v>0</v>
      </c>
      <c r="D14" s="20"/>
      <c r="E14" s="20">
        <v>40056867</v>
      </c>
      <c r="F14" s="70">
        <f>E14/'- 3 -'!D14*100</f>
        <v>49.321952951918895</v>
      </c>
      <c r="G14" s="20">
        <f>IF('- 6 -'!C14=0,"",E14/'- 6 -'!C14)</f>
        <v>7497.0741156653567</v>
      </c>
      <c r="H14" s="20">
        <v>0</v>
      </c>
      <c r="I14" s="70">
        <f>H14/'- 3 -'!D14*100</f>
        <v>0</v>
      </c>
      <c r="J14" s="20" t="str">
        <f>IF('- 6 -'!D14=0,"",H14/'- 6 -'!D14)</f>
        <v/>
      </c>
    </row>
    <row r="15" spans="1:10" ht="14.1" customHeight="1">
      <c r="A15" s="285" t="s">
        <v>113</v>
      </c>
      <c r="B15" s="286">
        <v>9092319</v>
      </c>
      <c r="C15" s="292">
        <f>B15/'- 3 -'!D15*100</f>
        <v>45.840748414208761</v>
      </c>
      <c r="D15" s="286">
        <f>B15/'- 6 -'!B15</f>
        <v>6541.2366906474817</v>
      </c>
      <c r="E15" s="286">
        <v>0</v>
      </c>
      <c r="F15" s="292">
        <f>E15/'- 3 -'!D15*100</f>
        <v>0</v>
      </c>
      <c r="G15" s="286" t="str">
        <f>IF('- 6 -'!C15=0,"",E15/'- 6 -'!C15)</f>
        <v/>
      </c>
      <c r="H15" s="286">
        <v>0</v>
      </c>
      <c r="I15" s="292">
        <f>H15/'- 3 -'!D15*100</f>
        <v>0</v>
      </c>
      <c r="J15" s="286" t="str">
        <f>IF('- 6 -'!D15=0,"",H15/'- 6 -'!D15)</f>
        <v/>
      </c>
    </row>
    <row r="16" spans="1:10" ht="14.1" customHeight="1">
      <c r="A16" s="19" t="s">
        <v>114</v>
      </c>
      <c r="B16" s="20">
        <v>4005891</v>
      </c>
      <c r="C16" s="70">
        <f>B16/'- 3 -'!D16*100</f>
        <v>28.573004908399486</v>
      </c>
      <c r="D16" s="20">
        <f>B16/'- 6 -'!B16</f>
        <v>7674.1206896551721</v>
      </c>
      <c r="E16" s="20">
        <v>0</v>
      </c>
      <c r="F16" s="70">
        <f>E16/'- 3 -'!D16*100</f>
        <v>0</v>
      </c>
      <c r="G16" s="20" t="str">
        <f>IF('- 6 -'!C16=0,"",E16/'- 6 -'!C16)</f>
        <v/>
      </c>
      <c r="H16" s="20">
        <v>0</v>
      </c>
      <c r="I16" s="70">
        <f>H16/'- 3 -'!D16*100</f>
        <v>0</v>
      </c>
      <c r="J16" s="20" t="str">
        <f>IF('- 6 -'!D16=0,"",H16/'- 6 -'!D16)</f>
        <v/>
      </c>
    </row>
    <row r="17" spans="1:10" ht="14.1" customHeight="1">
      <c r="A17" s="285" t="s">
        <v>115</v>
      </c>
      <c r="B17" s="286">
        <v>8238763</v>
      </c>
      <c r="C17" s="292">
        <f>B17/'- 3 -'!D17*100</f>
        <v>47.429734157874918</v>
      </c>
      <c r="D17" s="286">
        <f>B17/'- 6 -'!B17</f>
        <v>6244.7987569165471</v>
      </c>
      <c r="E17" s="286">
        <v>0</v>
      </c>
      <c r="F17" s="292">
        <f>E17/'- 3 -'!D17*100</f>
        <v>0</v>
      </c>
      <c r="G17" s="286" t="str">
        <f>IF('- 6 -'!C17=0,"",E17/'- 6 -'!C17)</f>
        <v/>
      </c>
      <c r="H17" s="286">
        <v>0</v>
      </c>
      <c r="I17" s="292">
        <f>H17/'- 3 -'!D17*100</f>
        <v>0</v>
      </c>
      <c r="J17" s="286" t="str">
        <f>IF('- 6 -'!D17=0,"",H17/'- 6 -'!D17)</f>
        <v/>
      </c>
    </row>
    <row r="18" spans="1:10" ht="14.1" customHeight="1">
      <c r="A18" s="19" t="s">
        <v>116</v>
      </c>
      <c r="B18" s="20">
        <v>46919690</v>
      </c>
      <c r="C18" s="70">
        <f>B18/'- 3 -'!D18*100</f>
        <v>37.016845126855564</v>
      </c>
      <c r="D18" s="20">
        <f>B18/'- 6 -'!B18</f>
        <v>7650.3652372411543</v>
      </c>
      <c r="E18" s="20">
        <v>0</v>
      </c>
      <c r="F18" s="70">
        <f>E18/'- 3 -'!D18*100</f>
        <v>0</v>
      </c>
      <c r="G18" s="20" t="str">
        <f>IF('- 6 -'!C18=0,"",E18/'- 6 -'!C18)</f>
        <v/>
      </c>
      <c r="H18" s="20">
        <v>0</v>
      </c>
      <c r="I18" s="70">
        <f>H18/'- 3 -'!D18*100</f>
        <v>0</v>
      </c>
      <c r="J18" s="20" t="str">
        <f>IF('- 6 -'!D18=0,"",H18/'- 6 -'!D18)</f>
        <v/>
      </c>
    </row>
    <row r="19" spans="1:10" ht="14.1" customHeight="1">
      <c r="A19" s="285" t="s">
        <v>117</v>
      </c>
      <c r="B19" s="286">
        <v>21812246</v>
      </c>
      <c r="C19" s="292">
        <f>B19/'- 3 -'!D19*100</f>
        <v>48.765872036951116</v>
      </c>
      <c r="D19" s="286">
        <f>B19/'- 6 -'!B19</f>
        <v>5297.4489374620525</v>
      </c>
      <c r="E19" s="286">
        <v>0</v>
      </c>
      <c r="F19" s="292">
        <f>E19/'- 3 -'!D19*100</f>
        <v>0</v>
      </c>
      <c r="G19" s="286" t="str">
        <f>IF('- 6 -'!C19=0,"",E19/'- 6 -'!C19)</f>
        <v/>
      </c>
      <c r="H19" s="286">
        <v>0</v>
      </c>
      <c r="I19" s="292">
        <f>H19/'- 3 -'!D19*100</f>
        <v>0</v>
      </c>
      <c r="J19" s="286" t="str">
        <f>IF('- 6 -'!D19=0,"",H19/'- 6 -'!D19)</f>
        <v/>
      </c>
    </row>
    <row r="20" spans="1:10" ht="14.1" customHeight="1">
      <c r="A20" s="19" t="s">
        <v>118</v>
      </c>
      <c r="B20" s="20">
        <v>39568597</v>
      </c>
      <c r="C20" s="70">
        <f>B20/'- 3 -'!D20*100</f>
        <v>50.539159038169814</v>
      </c>
      <c r="D20" s="20">
        <f>B20/'- 6 -'!B20</f>
        <v>5556.3727128473729</v>
      </c>
      <c r="E20" s="20">
        <v>0</v>
      </c>
      <c r="F20" s="70">
        <f>E20/'- 3 -'!D20*100</f>
        <v>0</v>
      </c>
      <c r="G20" s="20" t="str">
        <f>IF('- 6 -'!C20=0,"",E20/'- 6 -'!C20)</f>
        <v/>
      </c>
      <c r="H20" s="20">
        <v>0</v>
      </c>
      <c r="I20" s="70">
        <f>H20/'- 3 -'!D20*100</f>
        <v>0</v>
      </c>
      <c r="J20" s="20" t="str">
        <f>IF('- 6 -'!D20=0,"",H20/'- 6 -'!D20)</f>
        <v/>
      </c>
    </row>
    <row r="21" spans="1:10" ht="14.1" customHeight="1">
      <c r="A21" s="285" t="s">
        <v>119</v>
      </c>
      <c r="B21" s="286">
        <v>13072308</v>
      </c>
      <c r="C21" s="292">
        <f>B21/'- 3 -'!D21*100</f>
        <v>37.21828780207899</v>
      </c>
      <c r="D21" s="286">
        <f>B21/'- 6 -'!B21</f>
        <v>6676.0165466523677</v>
      </c>
      <c r="E21" s="286">
        <v>0</v>
      </c>
      <c r="F21" s="292">
        <f>E21/'- 3 -'!D21*100</f>
        <v>0</v>
      </c>
      <c r="G21" s="286" t="str">
        <f>IF('- 6 -'!C21=0,"",E21/'- 6 -'!C21)</f>
        <v/>
      </c>
      <c r="H21" s="286">
        <v>0</v>
      </c>
      <c r="I21" s="292">
        <f>H21/'- 3 -'!D21*100</f>
        <v>0</v>
      </c>
      <c r="J21" s="286" t="str">
        <f>IF('- 6 -'!D21=0,"",H21/'- 6 -'!D21)</f>
        <v/>
      </c>
    </row>
    <row r="22" spans="1:10" ht="14.1" customHeight="1">
      <c r="A22" s="19" t="s">
        <v>120</v>
      </c>
      <c r="B22" s="20">
        <v>4549280</v>
      </c>
      <c r="C22" s="70">
        <f>B22/'- 3 -'!D22*100</f>
        <v>22.763420209290487</v>
      </c>
      <c r="D22" s="20">
        <f>B22/'- 6 -'!B22</f>
        <v>5132.3104693140795</v>
      </c>
      <c r="E22" s="20">
        <v>0</v>
      </c>
      <c r="F22" s="70">
        <f>E22/'- 3 -'!D22*100</f>
        <v>0</v>
      </c>
      <c r="G22" s="20" t="str">
        <f>IF('- 6 -'!C22=0,"",E22/'- 6 -'!C22)</f>
        <v/>
      </c>
      <c r="H22" s="20">
        <v>0</v>
      </c>
      <c r="I22" s="70">
        <f>H22/'- 3 -'!D22*100</f>
        <v>0</v>
      </c>
      <c r="J22" s="20" t="str">
        <f>IF('- 6 -'!D22=0,"",H22/'- 6 -'!D22)</f>
        <v/>
      </c>
    </row>
    <row r="23" spans="1:10" ht="14.1" customHeight="1">
      <c r="A23" s="285" t="s">
        <v>121</v>
      </c>
      <c r="B23" s="286">
        <v>7077081</v>
      </c>
      <c r="C23" s="292">
        <f>B23/'- 3 -'!D23*100</f>
        <v>43.854400100733216</v>
      </c>
      <c r="D23" s="286">
        <f>B23/'- 6 -'!B23</f>
        <v>6495.7145479577784</v>
      </c>
      <c r="E23" s="286">
        <v>0</v>
      </c>
      <c r="F23" s="292">
        <f>E23/'- 3 -'!D23*100</f>
        <v>0</v>
      </c>
      <c r="G23" s="286" t="str">
        <f>IF('- 6 -'!C23=0,"",E23/'- 6 -'!C23)</f>
        <v/>
      </c>
      <c r="H23" s="286">
        <v>0</v>
      </c>
      <c r="I23" s="292">
        <f>H23/'- 3 -'!D23*100</f>
        <v>0</v>
      </c>
      <c r="J23" s="286" t="str">
        <f>IF('- 6 -'!D23=0,"",H23/'- 6 -'!D23)</f>
        <v/>
      </c>
    </row>
    <row r="24" spans="1:10" ht="14.1" customHeight="1">
      <c r="A24" s="19" t="s">
        <v>122</v>
      </c>
      <c r="B24" s="20">
        <v>20572175</v>
      </c>
      <c r="C24" s="70">
        <f>B24/'- 3 -'!D24*100</f>
        <v>36.932927433644586</v>
      </c>
      <c r="D24" s="20">
        <f>B24/'- 6 -'!B24</f>
        <v>7199.3613298337705</v>
      </c>
      <c r="E24" s="20">
        <v>0</v>
      </c>
      <c r="F24" s="70">
        <f>E24/'- 3 -'!D24*100</f>
        <v>0</v>
      </c>
      <c r="G24" s="20" t="str">
        <f>IF('- 6 -'!C24=0,"",E24/'- 6 -'!C24)</f>
        <v/>
      </c>
      <c r="H24" s="20">
        <v>1587410</v>
      </c>
      <c r="I24" s="70">
        <f>H24/'- 3 -'!D24*100</f>
        <v>2.8498541519038096</v>
      </c>
      <c r="J24" s="20">
        <f>IF('- 6 -'!D24=0,"",H24/'- 6 -'!D24)</f>
        <v>6754.9361702127662</v>
      </c>
    </row>
    <row r="25" spans="1:10" ht="14.1" customHeight="1">
      <c r="A25" s="285" t="s">
        <v>123</v>
      </c>
      <c r="B25" s="286">
        <v>55063159</v>
      </c>
      <c r="C25" s="292">
        <f>B25/'- 3 -'!D25*100</f>
        <v>32.768059019208287</v>
      </c>
      <c r="D25" s="286">
        <f>B25/'- 6 -'!B25</f>
        <v>5681.4757988794536</v>
      </c>
      <c r="E25" s="286">
        <v>0</v>
      </c>
      <c r="F25" s="292">
        <f>E25/'- 3 -'!D25*100</f>
        <v>0</v>
      </c>
      <c r="G25" s="286" t="str">
        <f>IF('- 6 -'!C25=0,"",E25/'- 6 -'!C25)</f>
        <v/>
      </c>
      <c r="H25" s="286">
        <v>23518746</v>
      </c>
      <c r="I25" s="292">
        <f>H25/'- 3 -'!D25*100</f>
        <v>13.995994254266609</v>
      </c>
      <c r="J25" s="286">
        <f>IF('- 6 -'!D25=0,"",H25/'- 6 -'!D25)</f>
        <v>5368.7186979249891</v>
      </c>
    </row>
    <row r="26" spans="1:10" ht="14.1" customHeight="1">
      <c r="A26" s="19" t="s">
        <v>124</v>
      </c>
      <c r="B26" s="20">
        <v>15627902</v>
      </c>
      <c r="C26" s="70">
        <f>B26/'- 3 -'!D26*100</f>
        <v>39.433384035879257</v>
      </c>
      <c r="D26" s="20">
        <f>B26/'- 6 -'!B26</f>
        <v>6537.5034511608446</v>
      </c>
      <c r="E26" s="20">
        <v>0</v>
      </c>
      <c r="F26" s="70">
        <f>E26/'- 3 -'!D26*100</f>
        <v>0</v>
      </c>
      <c r="G26" s="20" t="str">
        <f>IF('- 6 -'!C26=0,"",E26/'- 6 -'!C26)</f>
        <v/>
      </c>
      <c r="H26" s="20">
        <v>1091096</v>
      </c>
      <c r="I26" s="70">
        <f>H26/'- 3 -'!D26*100</f>
        <v>2.753127552758631</v>
      </c>
      <c r="J26" s="20">
        <f>IF('- 6 -'!D26=0,"",H26/'- 6 -'!D26)</f>
        <v>5195.695238095238</v>
      </c>
    </row>
    <row r="27" spans="1:10" ht="14.1" customHeight="1">
      <c r="A27" s="285" t="s">
        <v>125</v>
      </c>
      <c r="B27" s="286">
        <v>17622217</v>
      </c>
      <c r="C27" s="292">
        <f>B27/'- 3 -'!D27*100</f>
        <v>41.94301242468493</v>
      </c>
      <c r="D27" s="286">
        <f>B27/'- 6 -'!B27</f>
        <v>7189.8070175438597</v>
      </c>
      <c r="E27" s="286">
        <v>0</v>
      </c>
      <c r="F27" s="292">
        <f>E27/'- 3 -'!D27*100</f>
        <v>0</v>
      </c>
      <c r="G27" s="286" t="str">
        <f>IF('- 6 -'!C27=0,"",E27/'- 6 -'!C27)</f>
        <v/>
      </c>
      <c r="H27" s="286">
        <v>0</v>
      </c>
      <c r="I27" s="292">
        <f>H27/'- 3 -'!D27*100</f>
        <v>0</v>
      </c>
      <c r="J27" s="286" t="str">
        <f>IF('- 6 -'!D27=0,"",H27/'- 6 -'!D27)</f>
        <v/>
      </c>
    </row>
    <row r="28" spans="1:10" ht="14.1" customHeight="1">
      <c r="A28" s="19" t="s">
        <v>126</v>
      </c>
      <c r="B28" s="20">
        <v>14554931</v>
      </c>
      <c r="C28" s="70">
        <f>B28/'- 3 -'!D28*100</f>
        <v>52.345689624013744</v>
      </c>
      <c r="D28" s="20">
        <f>B28/'- 6 -'!B28</f>
        <v>7315.8738376476504</v>
      </c>
      <c r="E28" s="20">
        <v>0</v>
      </c>
      <c r="F28" s="70">
        <f>E28/'- 3 -'!D28*100</f>
        <v>0</v>
      </c>
      <c r="G28" s="20" t="str">
        <f>IF('- 6 -'!C28=0,"",E28/'- 6 -'!C28)</f>
        <v/>
      </c>
      <c r="H28" s="20">
        <v>0</v>
      </c>
      <c r="I28" s="70">
        <f>H28/'- 3 -'!D28*100</f>
        <v>0</v>
      </c>
      <c r="J28" s="20" t="str">
        <f>IF('- 6 -'!D28=0,"",H28/'- 6 -'!D28)</f>
        <v/>
      </c>
    </row>
    <row r="29" spans="1:10" ht="14.1" customHeight="1">
      <c r="A29" s="285" t="s">
        <v>127</v>
      </c>
      <c r="B29" s="286">
        <v>46998383</v>
      </c>
      <c r="C29" s="292">
        <f>B29/'- 3 -'!D29*100</f>
        <v>31.252505814047165</v>
      </c>
      <c r="D29" s="286">
        <f>B29/'- 6 -'!B29</f>
        <v>5882.6659406956805</v>
      </c>
      <c r="E29" s="286">
        <v>0</v>
      </c>
      <c r="F29" s="292">
        <f>E29/'- 3 -'!D29*100</f>
        <v>0</v>
      </c>
      <c r="G29" s="286" t="str">
        <f>IF('- 6 -'!C29=0,"",E29/'- 6 -'!C29)</f>
        <v/>
      </c>
      <c r="H29" s="286">
        <v>7099830</v>
      </c>
      <c r="I29" s="292">
        <f>H29/'- 3 -'!D29*100</f>
        <v>4.7211726061670349</v>
      </c>
      <c r="J29" s="286">
        <f>IF('- 6 -'!D29=0,"",H29/'- 6 -'!D29)</f>
        <v>5630.3172085646311</v>
      </c>
    </row>
    <row r="30" spans="1:10" ht="14.1" customHeight="1">
      <c r="A30" s="19" t="s">
        <v>128</v>
      </c>
      <c r="B30" s="20">
        <v>7356398</v>
      </c>
      <c r="C30" s="70">
        <f>B30/'- 3 -'!D30*100</f>
        <v>52.964490224202777</v>
      </c>
      <c r="D30" s="20">
        <f>B30/'- 6 -'!B30</f>
        <v>7534.9769538051833</v>
      </c>
      <c r="E30" s="20">
        <v>0</v>
      </c>
      <c r="F30" s="70">
        <f>E30/'- 3 -'!D30*100</f>
        <v>0</v>
      </c>
      <c r="G30" s="20" t="str">
        <f>IF('- 6 -'!C30=0,"",E30/'- 6 -'!C30)</f>
        <v/>
      </c>
      <c r="H30" s="20">
        <v>0</v>
      </c>
      <c r="I30" s="70">
        <f>H30/'- 3 -'!D30*100</f>
        <v>0</v>
      </c>
      <c r="J30" s="20" t="str">
        <f>IF('- 6 -'!D30=0,"",H30/'- 6 -'!D30)</f>
        <v/>
      </c>
    </row>
    <row r="31" spans="1:10" ht="14.1" customHeight="1">
      <c r="A31" s="285" t="s">
        <v>129</v>
      </c>
      <c r="B31" s="286">
        <v>14297534</v>
      </c>
      <c r="C31" s="292">
        <f>B31/'- 3 -'!D31*100</f>
        <v>39.945302933868312</v>
      </c>
      <c r="D31" s="286">
        <f>B31/'- 6 -'!B31</f>
        <v>5915.6497993297198</v>
      </c>
      <c r="E31" s="286">
        <v>0</v>
      </c>
      <c r="F31" s="292">
        <f>E31/'- 3 -'!D31*100</f>
        <v>0</v>
      </c>
      <c r="G31" s="286" t="str">
        <f>IF('- 6 -'!C31=0,"",E31/'- 6 -'!C31)</f>
        <v/>
      </c>
      <c r="H31" s="286">
        <v>0</v>
      </c>
      <c r="I31" s="292">
        <f>H31/'- 3 -'!D31*100</f>
        <v>0</v>
      </c>
      <c r="J31" s="286" t="str">
        <f>IF('- 6 -'!D31=0,"",H31/'- 6 -'!D31)</f>
        <v/>
      </c>
    </row>
    <row r="32" spans="1:10" ht="14.1" customHeight="1">
      <c r="A32" s="19" t="s">
        <v>130</v>
      </c>
      <c r="B32" s="20">
        <v>11387926</v>
      </c>
      <c r="C32" s="70">
        <f>B32/'- 3 -'!D32*100</f>
        <v>40.787872957342728</v>
      </c>
      <c r="D32" s="20">
        <f>B32/'- 6 -'!B32</f>
        <v>6679.4880668187761</v>
      </c>
      <c r="E32" s="20">
        <v>0</v>
      </c>
      <c r="F32" s="70">
        <f>E32/'- 3 -'!D32*100</f>
        <v>0</v>
      </c>
      <c r="G32" s="20" t="str">
        <f>IF('- 6 -'!C32=0,"",E32/'- 6 -'!C32)</f>
        <v/>
      </c>
      <c r="H32" s="20">
        <v>629106</v>
      </c>
      <c r="I32" s="70">
        <f>H32/'- 3 -'!D32*100</f>
        <v>2.2532545087404023</v>
      </c>
      <c r="J32" s="20">
        <f>IF('- 6 -'!D32=0,"",H32/'- 6 -'!D32)</f>
        <v>5518.4736842105267</v>
      </c>
    </row>
    <row r="33" spans="1:10" ht="14.1" customHeight="1">
      <c r="A33" s="285" t="s">
        <v>131</v>
      </c>
      <c r="B33" s="286">
        <v>10596090</v>
      </c>
      <c r="C33" s="292">
        <f>B33/'- 3 -'!D33*100</f>
        <v>40.042667979946181</v>
      </c>
      <c r="D33" s="286">
        <f>B33/'- 6 -'!B33</f>
        <v>6493.8959367530797</v>
      </c>
      <c r="E33" s="286">
        <v>0</v>
      </c>
      <c r="F33" s="292">
        <f>E33/'- 3 -'!D33*100</f>
        <v>0</v>
      </c>
      <c r="G33" s="286" t="str">
        <f>IF('- 6 -'!C33=0,"",E33/'- 6 -'!C33)</f>
        <v/>
      </c>
      <c r="H33" s="286">
        <v>0</v>
      </c>
      <c r="I33" s="292">
        <f>H33/'- 3 -'!D33*100</f>
        <v>0</v>
      </c>
      <c r="J33" s="286" t="str">
        <f>IF('- 6 -'!D33=0,"",H33/'- 6 -'!D33)</f>
        <v/>
      </c>
    </row>
    <row r="34" spans="1:10" ht="14.1" customHeight="1">
      <c r="A34" s="19" t="s">
        <v>132</v>
      </c>
      <c r="B34" s="20">
        <v>9929576</v>
      </c>
      <c r="C34" s="70">
        <f>B34/'- 3 -'!D34*100</f>
        <v>35.596229320055741</v>
      </c>
      <c r="D34" s="20">
        <f>B34/'- 6 -'!B34</f>
        <v>6396.4389703419311</v>
      </c>
      <c r="E34" s="20">
        <v>0</v>
      </c>
      <c r="F34" s="70">
        <f>E34/'- 3 -'!D34*100</f>
        <v>0</v>
      </c>
      <c r="G34" s="20" t="str">
        <f>IF('- 6 -'!C34=0,"",E34/'- 6 -'!C34)</f>
        <v/>
      </c>
      <c r="H34" s="20">
        <v>1617137</v>
      </c>
      <c r="I34" s="70">
        <f>H34/'- 3 -'!D34*100</f>
        <v>5.7972243219596677</v>
      </c>
      <c r="J34" s="20">
        <f>IF('- 6 -'!D34=0,"",H34/'- 6 -'!D34)</f>
        <v>7575.4766477725207</v>
      </c>
    </row>
    <row r="35" spans="1:10" ht="14.1" customHeight="1">
      <c r="A35" s="285" t="s">
        <v>133</v>
      </c>
      <c r="B35" s="286">
        <v>54230681</v>
      </c>
      <c r="C35" s="292">
        <f>B35/'- 3 -'!D35*100</f>
        <v>30.038104876501848</v>
      </c>
      <c r="D35" s="286">
        <f>B35/'- 6 -'!B35</f>
        <v>5879.3019297484825</v>
      </c>
      <c r="E35" s="286">
        <v>0</v>
      </c>
      <c r="F35" s="292">
        <f>E35/'- 3 -'!D35*100</f>
        <v>0</v>
      </c>
      <c r="G35" s="286" t="str">
        <f>IF('- 6 -'!C35=0,"",E35/'- 6 -'!C35)</f>
        <v/>
      </c>
      <c r="H35" s="286">
        <v>5963761</v>
      </c>
      <c r="I35" s="292">
        <f>H35/'- 3 -'!D35*100</f>
        <v>3.3032975996814704</v>
      </c>
      <c r="J35" s="286">
        <f>IF('- 6 -'!D35=0,"",H35/'- 6 -'!D35)</f>
        <v>5058.3214588634437</v>
      </c>
    </row>
    <row r="36" spans="1:10" ht="14.1" customHeight="1">
      <c r="A36" s="19" t="s">
        <v>134</v>
      </c>
      <c r="B36" s="20">
        <v>11198105</v>
      </c>
      <c r="C36" s="70">
        <f>B36/'- 3 -'!D36*100</f>
        <v>49.905911437491582</v>
      </c>
      <c r="D36" s="20">
        <f>B36/'- 6 -'!B36</f>
        <v>6880.1333251413125</v>
      </c>
      <c r="E36" s="20">
        <v>0</v>
      </c>
      <c r="F36" s="70">
        <f>E36/'- 3 -'!D36*100</f>
        <v>0</v>
      </c>
      <c r="G36" s="20" t="str">
        <f>IF('- 6 -'!C36=0,"",E36/'- 6 -'!C36)</f>
        <v/>
      </c>
      <c r="H36" s="20">
        <v>0</v>
      </c>
      <c r="I36" s="70">
        <f>H36/'- 3 -'!D36*100</f>
        <v>0</v>
      </c>
      <c r="J36" s="20" t="str">
        <f>IF('- 6 -'!D36=0,"",H36/'- 6 -'!D36)</f>
        <v/>
      </c>
    </row>
    <row r="37" spans="1:10" ht="14.1" customHeight="1">
      <c r="A37" s="285" t="s">
        <v>135</v>
      </c>
      <c r="B37" s="286">
        <v>11732425</v>
      </c>
      <c r="C37" s="292">
        <f>B37/'- 3 -'!D37*100</f>
        <v>24.564717541315783</v>
      </c>
      <c r="D37" s="286">
        <f>B37/'- 6 -'!B37</f>
        <v>5592.1949475691135</v>
      </c>
      <c r="E37" s="286">
        <v>0</v>
      </c>
      <c r="F37" s="292">
        <f>E37/'- 3 -'!D37*100</f>
        <v>0</v>
      </c>
      <c r="G37" s="286" t="str">
        <f>IF('- 6 -'!C37=0,"",E37/'- 6 -'!C37)</f>
        <v/>
      </c>
      <c r="H37" s="286">
        <v>4157033</v>
      </c>
      <c r="I37" s="292">
        <f>H37/'- 3 -'!D37*100</f>
        <v>8.7037710835508069</v>
      </c>
      <c r="J37" s="286">
        <f>IF('- 6 -'!D37=0,"",H37/'- 6 -'!D37)</f>
        <v>5706.2910089224433</v>
      </c>
    </row>
    <row r="38" spans="1:10" ht="14.1" customHeight="1">
      <c r="A38" s="19" t="s">
        <v>136</v>
      </c>
      <c r="B38" s="20">
        <v>37492168</v>
      </c>
      <c r="C38" s="70">
        <f>B38/'- 3 -'!D38*100</f>
        <v>29.535145503700338</v>
      </c>
      <c r="D38" s="20">
        <f>B38/'- 6 -'!B38</f>
        <v>6101.049274230294</v>
      </c>
      <c r="E38" s="20">
        <v>0</v>
      </c>
      <c r="F38" s="70">
        <f>E38/'- 3 -'!D38*100</f>
        <v>0</v>
      </c>
      <c r="G38" s="20" t="str">
        <f>IF('- 6 -'!C38=0,"",E38/'- 6 -'!C38)</f>
        <v/>
      </c>
      <c r="H38" s="20">
        <v>1798105</v>
      </c>
      <c r="I38" s="70">
        <f>H38/'- 3 -'!D38*100</f>
        <v>1.4164903135484483</v>
      </c>
      <c r="J38" s="20">
        <f>IF('- 6 -'!D38=0,"",H38/'- 6 -'!D38)</f>
        <v>5800.3387096774195</v>
      </c>
    </row>
    <row r="39" spans="1:10" ht="14.1" customHeight="1">
      <c r="A39" s="285" t="s">
        <v>137</v>
      </c>
      <c r="B39" s="286">
        <v>10240459</v>
      </c>
      <c r="C39" s="292">
        <f>B39/'- 3 -'!D39*100</f>
        <v>49.52709068468134</v>
      </c>
      <c r="D39" s="286">
        <f>B39/'- 6 -'!B39</f>
        <v>6658.7287860068918</v>
      </c>
      <c r="E39" s="286">
        <v>0</v>
      </c>
      <c r="F39" s="292">
        <f>E39/'- 3 -'!D39*100</f>
        <v>0</v>
      </c>
      <c r="G39" s="286" t="str">
        <f>IF('- 6 -'!C39=0,"",E39/'- 6 -'!C39)</f>
        <v/>
      </c>
      <c r="H39" s="286">
        <v>0</v>
      </c>
      <c r="I39" s="292">
        <f>H39/'- 3 -'!D39*100</f>
        <v>0</v>
      </c>
      <c r="J39" s="286" t="str">
        <f>IF('- 6 -'!D39=0,"",H39/'- 6 -'!D39)</f>
        <v/>
      </c>
    </row>
    <row r="40" spans="1:10" ht="14.1" customHeight="1">
      <c r="A40" s="19" t="s">
        <v>138</v>
      </c>
      <c r="B40" s="20">
        <v>34146792</v>
      </c>
      <c r="C40" s="70">
        <f>B40/'- 3 -'!D40*100</f>
        <v>33.527109101394558</v>
      </c>
      <c r="D40" s="20">
        <f>B40/'- 6 -'!B40</f>
        <v>6392.7346251053077</v>
      </c>
      <c r="E40" s="20">
        <v>0</v>
      </c>
      <c r="F40" s="70">
        <f>E40/'- 3 -'!D40*100</f>
        <v>0</v>
      </c>
      <c r="G40" s="20" t="str">
        <f>IF('- 6 -'!C40=0,"",E40/'- 6 -'!C40)</f>
        <v/>
      </c>
      <c r="H40" s="20">
        <v>4884204</v>
      </c>
      <c r="I40" s="70">
        <f>H40/'- 3 -'!D40*100</f>
        <v>4.7955673370859468</v>
      </c>
      <c r="J40" s="20">
        <f>IF('- 6 -'!D40=0,"",H40/'- 6 -'!D40)</f>
        <v>5457.2111731843579</v>
      </c>
    </row>
    <row r="41" spans="1:10" ht="14.1" customHeight="1">
      <c r="A41" s="285" t="s">
        <v>139</v>
      </c>
      <c r="B41" s="286">
        <v>14347812</v>
      </c>
      <c r="C41" s="292">
        <f>B41/'- 3 -'!D41*100</f>
        <v>23.213185028885004</v>
      </c>
      <c r="D41" s="286">
        <f>B41/'- 6 -'!B41</f>
        <v>6851.8681948424073</v>
      </c>
      <c r="E41" s="286">
        <v>0</v>
      </c>
      <c r="F41" s="292">
        <f>E41/'- 3 -'!D41*100</f>
        <v>0</v>
      </c>
      <c r="G41" s="286" t="str">
        <f>IF('- 6 -'!C41=0,"",E41/'- 6 -'!C41)</f>
        <v/>
      </c>
      <c r="H41" s="286">
        <v>0</v>
      </c>
      <c r="I41" s="292">
        <f>H41/'- 3 -'!D41*100</f>
        <v>0</v>
      </c>
      <c r="J41" s="286" t="str">
        <f>IF('- 6 -'!D41=0,"",H41/'- 6 -'!D41)</f>
        <v/>
      </c>
    </row>
    <row r="42" spans="1:10" ht="14.1" customHeight="1">
      <c r="A42" s="19" t="s">
        <v>140</v>
      </c>
      <c r="B42" s="20">
        <v>6841858</v>
      </c>
      <c r="C42" s="70">
        <f>B42/'- 3 -'!D42*100</f>
        <v>34.166733624933464</v>
      </c>
      <c r="D42" s="20">
        <f>B42/'- 6 -'!B42</f>
        <v>6807.1415779524423</v>
      </c>
      <c r="E42" s="20">
        <v>0</v>
      </c>
      <c r="F42" s="70">
        <f>E42/'- 3 -'!D42*100</f>
        <v>0</v>
      </c>
      <c r="G42" s="20" t="str">
        <f>IF('- 6 -'!C42=0,"",E42/'- 6 -'!C42)</f>
        <v/>
      </c>
      <c r="H42" s="20">
        <v>0</v>
      </c>
      <c r="I42" s="70">
        <f>H42/'- 3 -'!D42*100</f>
        <v>0</v>
      </c>
      <c r="J42" s="20" t="str">
        <f>IF('- 6 -'!D42=0,"",H42/'- 6 -'!D42)</f>
        <v/>
      </c>
    </row>
    <row r="43" spans="1:10" ht="14.1" customHeight="1">
      <c r="A43" s="285" t="s">
        <v>141</v>
      </c>
      <c r="B43" s="286">
        <v>6056200</v>
      </c>
      <c r="C43" s="292">
        <f>B43/'- 3 -'!D43*100</f>
        <v>47.619463230944646</v>
      </c>
      <c r="D43" s="286">
        <f>B43/'- 6 -'!B43</f>
        <v>6598.6053606450214</v>
      </c>
      <c r="E43" s="286">
        <v>0</v>
      </c>
      <c r="F43" s="292">
        <f>E43/'- 3 -'!D43*100</f>
        <v>0</v>
      </c>
      <c r="G43" s="286" t="str">
        <f>IF('- 6 -'!C43=0,"",E43/'- 6 -'!C43)</f>
        <v/>
      </c>
      <c r="H43" s="286">
        <v>0</v>
      </c>
      <c r="I43" s="292">
        <f>H43/'- 3 -'!D43*100</f>
        <v>0</v>
      </c>
      <c r="J43" s="286" t="str">
        <f>IF('- 6 -'!D43=0,"",H43/'- 6 -'!D43)</f>
        <v/>
      </c>
    </row>
    <row r="44" spans="1:10" ht="14.1" customHeight="1">
      <c r="A44" s="19" t="s">
        <v>142</v>
      </c>
      <c r="B44" s="20">
        <v>4986910</v>
      </c>
      <c r="C44" s="70">
        <f>B44/'- 3 -'!D44*100</f>
        <v>45.896640226153863</v>
      </c>
      <c r="D44" s="20">
        <f>B44/'- 6 -'!B44</f>
        <v>7707.7434312210198</v>
      </c>
      <c r="E44" s="20">
        <v>363372</v>
      </c>
      <c r="F44" s="70">
        <f>E44/'- 3 -'!D44*100</f>
        <v>3.3442660790465402</v>
      </c>
      <c r="G44" s="20">
        <f>IF('- 6 -'!C44=0,"",E44/'- 6 -'!C44)</f>
        <v>10687.411764705883</v>
      </c>
      <c r="H44" s="20">
        <v>0</v>
      </c>
      <c r="I44" s="70">
        <f>H44/'- 3 -'!D44*100</f>
        <v>0</v>
      </c>
      <c r="J44" s="20" t="str">
        <f>IF('- 6 -'!D44=0,"",H44/'- 6 -'!D44)</f>
        <v/>
      </c>
    </row>
    <row r="45" spans="1:10" ht="14.1" customHeight="1">
      <c r="A45" s="285" t="s">
        <v>143</v>
      </c>
      <c r="B45" s="286">
        <v>4662171</v>
      </c>
      <c r="C45" s="292">
        <f>B45/'- 3 -'!D45*100</f>
        <v>25.43072321244037</v>
      </c>
      <c r="D45" s="286">
        <f>B45/'- 6 -'!B45</f>
        <v>6439.4627071823206</v>
      </c>
      <c r="E45" s="286">
        <v>0</v>
      </c>
      <c r="F45" s="292">
        <f>E45/'- 3 -'!D45*100</f>
        <v>0</v>
      </c>
      <c r="G45" s="286" t="str">
        <f>IF('- 6 -'!C45=0,"",E45/'- 6 -'!C45)</f>
        <v/>
      </c>
      <c r="H45" s="286">
        <v>0</v>
      </c>
      <c r="I45" s="292">
        <f>H45/'- 3 -'!D45*100</f>
        <v>0</v>
      </c>
      <c r="J45" s="286" t="str">
        <f>IF('- 6 -'!D45=0,"",H45/'- 6 -'!D45)</f>
        <v/>
      </c>
    </row>
    <row r="46" spans="1:10" ht="14.1" customHeight="1">
      <c r="A46" s="19" t="s">
        <v>144</v>
      </c>
      <c r="B46" s="20">
        <v>130912560</v>
      </c>
      <c r="C46" s="70">
        <f>B46/'- 3 -'!D46*100</f>
        <v>34.310201039693816</v>
      </c>
      <c r="D46" s="20">
        <f>B46/'- 6 -'!B46</f>
        <v>5958.0997806318892</v>
      </c>
      <c r="E46" s="20">
        <v>0</v>
      </c>
      <c r="F46" s="70">
        <f>E46/'- 3 -'!D46*100</f>
        <v>0</v>
      </c>
      <c r="G46" s="20" t="str">
        <f>IF('- 6 -'!C46=0,"",E46/'- 6 -'!C46)</f>
        <v/>
      </c>
      <c r="H46" s="20">
        <v>7262171</v>
      </c>
      <c r="I46" s="70">
        <f>H46/'- 3 -'!D46*100</f>
        <v>1.9033051297341852</v>
      </c>
      <c r="J46" s="20">
        <f>IF('- 6 -'!D46=0,"",H46/'- 6 -'!D46)</f>
        <v>5870.7930476960391</v>
      </c>
    </row>
    <row r="47" spans="1:10" ht="5.0999999999999996" customHeight="1">
      <c r="A47" s="21"/>
      <c r="B47" s="22"/>
      <c r="C47"/>
      <c r="D47" s="22"/>
      <c r="E47" s="22"/>
      <c r="F47"/>
      <c r="G47" s="22"/>
      <c r="H47" s="22"/>
      <c r="I47"/>
      <c r="J47"/>
    </row>
    <row r="48" spans="1:10" ht="14.1" customHeight="1">
      <c r="A48" s="287" t="s">
        <v>145</v>
      </c>
      <c r="B48" s="288">
        <f>SUM(B11:B46)</f>
        <v>766080744</v>
      </c>
      <c r="C48" s="295">
        <f>B48/'- 3 -'!D48*100</f>
        <v>34.578182861735435</v>
      </c>
      <c r="D48" s="288">
        <f>B48/'- 6 -'!B48</f>
        <v>6216.2921907661757</v>
      </c>
      <c r="E48" s="288">
        <f>SUM(E11:E46)</f>
        <v>40420239</v>
      </c>
      <c r="F48" s="295">
        <f>E48/'- 3 -'!D48*100</f>
        <v>1.8244270286175608</v>
      </c>
      <c r="G48" s="288">
        <f>E48/'- 6 -'!C48</f>
        <v>7517.2473498233212</v>
      </c>
      <c r="H48" s="288">
        <f>SUM(H11:H46)</f>
        <v>61304003</v>
      </c>
      <c r="I48" s="295">
        <f>H48/'- 3 -'!D48*100</f>
        <v>2.7670464797511967</v>
      </c>
      <c r="J48" s="288">
        <f>H48/'- 6 -'!D48</f>
        <v>5521.0577223566625</v>
      </c>
    </row>
    <row r="49" spans="1:10" ht="5.0999999999999996" customHeight="1">
      <c r="A49" s="21" t="s">
        <v>7</v>
      </c>
      <c r="B49" s="22"/>
      <c r="C49"/>
      <c r="D49" s="22"/>
      <c r="E49" s="22"/>
      <c r="F49"/>
      <c r="I49"/>
      <c r="J49"/>
    </row>
    <row r="50" spans="1:10" ht="14.1" customHeight="1">
      <c r="A50" s="19" t="s">
        <v>146</v>
      </c>
      <c r="B50" s="20">
        <v>1819428</v>
      </c>
      <c r="C50" s="70">
        <f>B50/'- 3 -'!D50*100</f>
        <v>54.164586479662688</v>
      </c>
      <c r="D50" s="20">
        <f>B50/'- 6 -'!B50</f>
        <v>10639.929824561403</v>
      </c>
      <c r="E50" s="20">
        <v>0</v>
      </c>
      <c r="F50" s="70">
        <f>E50/'- 3 -'!D50*100</f>
        <v>0</v>
      </c>
      <c r="G50" s="20" t="str">
        <f>IF('- 6 -'!C50=0,"",E50/'- 6 -'!C50)</f>
        <v/>
      </c>
      <c r="H50" s="20">
        <v>0</v>
      </c>
      <c r="I50" s="70">
        <f>H50/'- 3 -'!D50*100</f>
        <v>0</v>
      </c>
      <c r="J50" s="20" t="str">
        <f>IF('- 6 -'!D50=0,"",H50/'- 6 -'!D50)</f>
        <v/>
      </c>
    </row>
    <row r="51" spans="1:10" ht="14.1" customHeight="1">
      <c r="A51" s="285" t="s">
        <v>612</v>
      </c>
      <c r="B51" s="286">
        <v>265299</v>
      </c>
      <c r="C51" s="292">
        <f>B51/'- 3 -'!D51*100</f>
        <v>1.00065470900527</v>
      </c>
      <c r="D51" s="286">
        <f>B51/'- 6 -'!B51</f>
        <v>2238.8101265822784</v>
      </c>
      <c r="E51" s="286">
        <v>0</v>
      </c>
      <c r="F51" s="292">
        <f>E51/'- 3 -'!D51*100</f>
        <v>0</v>
      </c>
      <c r="G51" s="286" t="str">
        <f>IF('- 6 -'!C51=0,"",E51/'- 6 -'!C51)</f>
        <v/>
      </c>
      <c r="H51" s="286">
        <v>0</v>
      </c>
      <c r="I51" s="292">
        <f>H51/'- 3 -'!D51*100</f>
        <v>0</v>
      </c>
      <c r="J51" s="286" t="str">
        <f>IF('- 6 -'!D51=0,"",H51/'- 6 -'!D51)</f>
        <v/>
      </c>
    </row>
    <row r="52" spans="1:10" ht="50.1" customHeight="1">
      <c r="A52" s="23"/>
      <c r="B52" s="23"/>
      <c r="C52" s="23"/>
      <c r="D52" s="23"/>
      <c r="E52" s="23"/>
      <c r="F52" s="23"/>
      <c r="G52" s="23"/>
      <c r="H52" s="108"/>
      <c r="I52" s="108"/>
      <c r="J52" s="108"/>
    </row>
    <row r="53" spans="1:10" ht="15" customHeight="1">
      <c r="A53" s="85" t="s">
        <v>343</v>
      </c>
      <c r="B53" s="85"/>
      <c r="C53" s="85"/>
      <c r="D53" s="85"/>
      <c r="E53" s="85"/>
      <c r="F53" s="85"/>
      <c r="G53" s="85"/>
      <c r="I53" s="85"/>
      <c r="J53" s="85"/>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J53"/>
  <sheetViews>
    <sheetView showGridLines="0" showZeros="0" workbookViewId="0"/>
  </sheetViews>
  <sheetFormatPr defaultColWidth="15.83203125" defaultRowHeight="12"/>
  <cols>
    <col min="1" max="1" width="31.83203125" style="2" customWidth="1"/>
    <col min="2" max="2" width="14.83203125" style="2" customWidth="1"/>
    <col min="3" max="3" width="7.83203125" style="2" customWidth="1"/>
    <col min="4" max="4" width="9.83203125" style="2" customWidth="1"/>
    <col min="5" max="5" width="10.83203125" style="2" customWidth="1"/>
    <col min="6" max="7" width="13.83203125" style="2" customWidth="1"/>
    <col min="8" max="8" width="15.83203125" style="2" customWidth="1"/>
    <col min="9" max="9" width="13.83203125" style="2" customWidth="1"/>
    <col min="10" max="16384" width="15.83203125" style="2"/>
  </cols>
  <sheetData>
    <row r="1" spans="1:9" ht="6.95" customHeight="1">
      <c r="A1" s="7"/>
      <c r="B1" s="89"/>
      <c r="C1" s="89"/>
      <c r="D1" s="89"/>
      <c r="E1" s="89"/>
      <c r="F1" s="89"/>
      <c r="G1" s="89"/>
      <c r="H1" s="89"/>
      <c r="I1" s="89"/>
    </row>
    <row r="2" spans="1:9" ht="15.95" customHeight="1">
      <c r="A2" s="134"/>
      <c r="B2" s="90" t="s">
        <v>263</v>
      </c>
      <c r="C2" s="91"/>
      <c r="D2" s="91"/>
      <c r="E2" s="91"/>
      <c r="F2" s="91"/>
      <c r="G2" s="91"/>
      <c r="H2" s="185"/>
      <c r="I2" s="396" t="s">
        <v>404</v>
      </c>
    </row>
    <row r="3" spans="1:9" ht="15.95" customHeight="1">
      <c r="A3" s="543"/>
      <c r="B3" s="74" t="str">
        <f>OPYEAR</f>
        <v>OPERATING FUND 2015/2016 ACTUAL</v>
      </c>
      <c r="C3" s="94"/>
      <c r="D3" s="94"/>
      <c r="E3" s="94"/>
      <c r="F3" s="94"/>
      <c r="G3" s="94"/>
      <c r="H3" s="186"/>
      <c r="I3" s="187"/>
    </row>
    <row r="4" spans="1:9" ht="15.95" customHeight="1">
      <c r="B4" s="89"/>
      <c r="C4" s="89"/>
      <c r="D4" s="89"/>
      <c r="E4" s="89"/>
      <c r="F4" s="89"/>
      <c r="G4" s="89"/>
      <c r="H4" s="89"/>
      <c r="I4" s="89"/>
    </row>
    <row r="5" spans="1:9" ht="15.95" customHeight="1">
      <c r="B5" s="188" t="s">
        <v>13</v>
      </c>
      <c r="C5" s="189"/>
      <c r="D5" s="189"/>
      <c r="E5" s="189"/>
      <c r="F5" s="189"/>
      <c r="G5" s="189"/>
      <c r="H5" s="189"/>
      <c r="I5" s="190"/>
    </row>
    <row r="6" spans="1:9" ht="15.95" customHeight="1">
      <c r="B6" s="329" t="s">
        <v>245</v>
      </c>
      <c r="C6" s="330"/>
      <c r="D6" s="330"/>
      <c r="E6" s="330"/>
      <c r="F6" s="330"/>
      <c r="G6" s="330"/>
      <c r="H6" s="330"/>
      <c r="I6" s="331"/>
    </row>
    <row r="7" spans="1:9" ht="15.95" customHeight="1">
      <c r="B7" s="179"/>
      <c r="C7" s="191"/>
      <c r="D7" s="191"/>
      <c r="E7" s="658" t="s">
        <v>483</v>
      </c>
      <c r="F7" s="661" t="s">
        <v>83</v>
      </c>
      <c r="G7" s="662"/>
      <c r="H7" s="662"/>
      <c r="I7" s="663"/>
    </row>
    <row r="8" spans="1:9" ht="15.95" customHeight="1">
      <c r="A8" s="67"/>
      <c r="B8" s="192"/>
      <c r="C8" s="192"/>
      <c r="D8" s="656" t="s">
        <v>327</v>
      </c>
      <c r="E8" s="659"/>
      <c r="F8" s="192"/>
      <c r="G8" s="193"/>
      <c r="H8" s="664" t="s">
        <v>22</v>
      </c>
      <c r="I8" s="192"/>
    </row>
    <row r="9" spans="1:9" ht="15.95" customHeight="1">
      <c r="A9" s="35" t="s">
        <v>42</v>
      </c>
      <c r="B9" s="101" t="s">
        <v>43</v>
      </c>
      <c r="C9" s="101" t="s">
        <v>44</v>
      </c>
      <c r="D9" s="657"/>
      <c r="E9" s="660"/>
      <c r="F9" s="101" t="s">
        <v>38</v>
      </c>
      <c r="G9" s="194" t="s">
        <v>21</v>
      </c>
      <c r="H9" s="665"/>
      <c r="I9" s="101" t="s">
        <v>24</v>
      </c>
    </row>
    <row r="10" spans="1:9" ht="5.0999999999999996" customHeight="1">
      <c r="A10" s="6"/>
      <c r="B10" s="85"/>
      <c r="C10" s="85"/>
      <c r="D10" s="85"/>
      <c r="E10" s="85"/>
      <c r="F10" s="85"/>
      <c r="G10" s="85"/>
      <c r="H10" s="85"/>
      <c r="I10" s="85"/>
    </row>
    <row r="11" spans="1:9" ht="14.1" customHeight="1">
      <c r="A11" s="332" t="s">
        <v>110</v>
      </c>
      <c r="B11" s="286">
        <v>0</v>
      </c>
      <c r="C11" s="292">
        <f>B11/'- 3 -'!D11*100</f>
        <v>0</v>
      </c>
      <c r="D11" s="333" t="str">
        <f>IF(E11=0,"",B11/E11)</f>
        <v/>
      </c>
      <c r="E11" s="334">
        <f>SUM('- 6 -'!E11:H11)</f>
        <v>0</v>
      </c>
      <c r="F11" s="292" t="str">
        <f>IF(E11=0,"",'- 6 -'!E11/E11*100)</f>
        <v/>
      </c>
      <c r="G11" s="292" t="str">
        <f>IF(E11=0,"",'- 6 -'!F11/E11*100)</f>
        <v/>
      </c>
      <c r="H11" s="292" t="str">
        <f>IF(E11=0,"",'- 6 -'!G11/E11*100)</f>
        <v/>
      </c>
      <c r="I11" s="292" t="str">
        <f>IF(E11=0,"",'- 6 -'!H11/E11*100)</f>
        <v/>
      </c>
    </row>
    <row r="12" spans="1:9" ht="14.1" customHeight="1">
      <c r="A12" s="19" t="s">
        <v>111</v>
      </c>
      <c r="B12" s="20">
        <v>0</v>
      </c>
      <c r="C12" s="70">
        <f>B12/'- 3 -'!D12*100</f>
        <v>0</v>
      </c>
      <c r="D12" s="195" t="str">
        <f t="shared" ref="D12:D46" si="0">IF(E12=0,"",B12/E12)</f>
        <v/>
      </c>
      <c r="E12" s="196">
        <f>SUM('- 6 -'!E12:H12)</f>
        <v>0</v>
      </c>
      <c r="F12" s="70" t="str">
        <f>IF(E12=0,"",'- 6 -'!E12/E12*100)</f>
        <v/>
      </c>
      <c r="G12" s="70" t="str">
        <f>IF(E12=0,"",'- 6 -'!F12/E12*100)</f>
        <v/>
      </c>
      <c r="H12" s="70" t="str">
        <f>IF(E12=0,"",'- 6 -'!G12/E12*100)</f>
        <v/>
      </c>
      <c r="I12" s="70" t="str">
        <f>IF(E12=0,"",'- 6 -'!H12/E12*100)</f>
        <v/>
      </c>
    </row>
    <row r="13" spans="1:9" ht="14.1" customHeight="1">
      <c r="A13" s="332" t="s">
        <v>112</v>
      </c>
      <c r="B13" s="286">
        <v>6968667</v>
      </c>
      <c r="C13" s="292">
        <f>B13/'- 3 -'!D13*100</f>
        <v>7.6778953879788796</v>
      </c>
      <c r="D13" s="333">
        <f t="shared" si="0"/>
        <v>4809.2939958592133</v>
      </c>
      <c r="E13" s="334">
        <f>SUM('- 6 -'!E13:H13)</f>
        <v>1449</v>
      </c>
      <c r="F13" s="292">
        <f>IF(E13=0,"",'- 6 -'!E13/E13*100)</f>
        <v>71.187025534851628</v>
      </c>
      <c r="G13" s="292">
        <f>IF(E13=0,"",'- 6 -'!F13/E13*100)</f>
        <v>0</v>
      </c>
      <c r="H13" s="292">
        <f>IF(E13=0,"",'- 6 -'!G13/E13*100)</f>
        <v>28.812974465148379</v>
      </c>
      <c r="I13" s="292">
        <f>IF(E13=0,"",'- 6 -'!H13/E13*100)</f>
        <v>0</v>
      </c>
    </row>
    <row r="14" spans="1:9" ht="14.1" customHeight="1">
      <c r="A14" s="19" t="s">
        <v>359</v>
      </c>
      <c r="B14" s="20">
        <v>0</v>
      </c>
      <c r="C14" s="70">
        <f>B14/'- 3 -'!D14*100</f>
        <v>0</v>
      </c>
      <c r="D14" s="195" t="str">
        <f t="shared" si="0"/>
        <v/>
      </c>
      <c r="E14" s="196">
        <f>SUM('- 6 -'!E14:H14)</f>
        <v>0</v>
      </c>
      <c r="F14" s="70" t="str">
        <f>IF(E14=0,"",'- 6 -'!E14/E14*100)</f>
        <v/>
      </c>
      <c r="G14" s="70" t="str">
        <f>IF(E14=0,"",'- 6 -'!F14/E14*100)</f>
        <v/>
      </c>
      <c r="H14" s="70" t="str">
        <f>IF(E14=0,"",'- 6 -'!G14/E14*100)</f>
        <v/>
      </c>
      <c r="I14" s="70" t="str">
        <f>IF(E14=0,"",'- 6 -'!H14/E14*100)</f>
        <v/>
      </c>
    </row>
    <row r="15" spans="1:9" ht="14.1" customHeight="1">
      <c r="A15" s="332" t="s">
        <v>113</v>
      </c>
      <c r="B15" s="286">
        <v>0</v>
      </c>
      <c r="C15" s="292">
        <f>B15/'- 3 -'!D15*100</f>
        <v>0</v>
      </c>
      <c r="D15" s="333" t="str">
        <f t="shared" si="0"/>
        <v/>
      </c>
      <c r="E15" s="334">
        <f>SUM('- 6 -'!E15:H15)</f>
        <v>0</v>
      </c>
      <c r="F15" s="292" t="str">
        <f>IF(E15=0,"",'- 6 -'!E15/E15*100)</f>
        <v/>
      </c>
      <c r="G15" s="292" t="str">
        <f>IF(E15=0,"",'- 6 -'!F15/E15*100)</f>
        <v/>
      </c>
      <c r="H15" s="292" t="str">
        <f>IF(E15=0,"",'- 6 -'!G15/E15*100)</f>
        <v/>
      </c>
      <c r="I15" s="292" t="str">
        <f>IF(E15=0,"",'- 6 -'!H15/E15*100)</f>
        <v/>
      </c>
    </row>
    <row r="16" spans="1:9" ht="14.1" customHeight="1">
      <c r="A16" s="19" t="s">
        <v>114</v>
      </c>
      <c r="B16" s="20">
        <v>2439022</v>
      </c>
      <c r="C16" s="70">
        <f>B16/'- 3 -'!D16*100</f>
        <v>17.396925572286996</v>
      </c>
      <c r="D16" s="195">
        <f t="shared" si="0"/>
        <v>6052.1637717121585</v>
      </c>
      <c r="E16" s="196">
        <f>SUM('- 6 -'!E16:H16)</f>
        <v>403</v>
      </c>
      <c r="F16" s="70">
        <f>IF(E16=0,"",'- 6 -'!E16/E16*100)</f>
        <v>78.535980148883382</v>
      </c>
      <c r="G16" s="70">
        <f>IF(E16=0,"",'- 6 -'!F16/E16*100)</f>
        <v>0</v>
      </c>
      <c r="H16" s="70">
        <f>IF(E16=0,"",'- 6 -'!G16/E16*100)</f>
        <v>21.464019851116625</v>
      </c>
      <c r="I16" s="70">
        <f>IF(E16=0,"",'- 6 -'!H16/E16*100)</f>
        <v>0</v>
      </c>
    </row>
    <row r="17" spans="1:9" ht="14.1" customHeight="1">
      <c r="A17" s="332" t="s">
        <v>115</v>
      </c>
      <c r="B17" s="286">
        <v>0</v>
      </c>
      <c r="C17" s="292">
        <f>B17/'- 3 -'!D17*100</f>
        <v>0</v>
      </c>
      <c r="D17" s="333" t="str">
        <f t="shared" si="0"/>
        <v/>
      </c>
      <c r="E17" s="334">
        <f>SUM('- 6 -'!E17:H17)</f>
        <v>0</v>
      </c>
      <c r="F17" s="292" t="str">
        <f>IF(E17=0,"",'- 6 -'!E17/E17*100)</f>
        <v/>
      </c>
      <c r="G17" s="292" t="str">
        <f>IF(E17=0,"",'- 6 -'!F17/E17*100)</f>
        <v/>
      </c>
      <c r="H17" s="292" t="str">
        <f>IF(E17=0,"",'- 6 -'!G17/E17*100)</f>
        <v/>
      </c>
      <c r="I17" s="292" t="str">
        <f>IF(E17=0,"",'- 6 -'!H17/E17*100)</f>
        <v/>
      </c>
    </row>
    <row r="18" spans="1:9" ht="14.1" customHeight="1">
      <c r="A18" s="19" t="s">
        <v>116</v>
      </c>
      <c r="B18" s="20">
        <v>0</v>
      </c>
      <c r="C18" s="70">
        <f>B18/'- 3 -'!D18*100</f>
        <v>0</v>
      </c>
      <c r="D18" s="195" t="str">
        <f t="shared" si="0"/>
        <v/>
      </c>
      <c r="E18" s="196">
        <f>SUM('- 6 -'!E18:H18)</f>
        <v>0</v>
      </c>
      <c r="F18" s="70" t="str">
        <f>IF(E18=0,"",'- 6 -'!E18/E18*100)</f>
        <v/>
      </c>
      <c r="G18" s="70" t="str">
        <f>IF(E18=0,"",'- 6 -'!F18/E18*100)</f>
        <v/>
      </c>
      <c r="H18" s="70" t="str">
        <f>IF(E18=0,"",'- 6 -'!G18/E18*100)</f>
        <v/>
      </c>
      <c r="I18" s="70" t="str">
        <f>IF(E18=0,"",'- 6 -'!H18/E18*100)</f>
        <v/>
      </c>
    </row>
    <row r="19" spans="1:9" ht="14.1" customHeight="1">
      <c r="A19" s="332" t="s">
        <v>117</v>
      </c>
      <c r="B19" s="286">
        <v>0</v>
      </c>
      <c r="C19" s="292">
        <f>B19/'- 3 -'!D19*100</f>
        <v>0</v>
      </c>
      <c r="D19" s="333" t="str">
        <f t="shared" si="0"/>
        <v/>
      </c>
      <c r="E19" s="334">
        <f>SUM('- 6 -'!E19:H19)</f>
        <v>0</v>
      </c>
      <c r="F19" s="292" t="str">
        <f>IF(E19=0,"",'- 6 -'!E19/E19*100)</f>
        <v/>
      </c>
      <c r="G19" s="292" t="str">
        <f>IF(E19=0,"",'- 6 -'!F19/E19*100)</f>
        <v/>
      </c>
      <c r="H19" s="292" t="str">
        <f>IF(E19=0,"",'- 6 -'!G19/E19*100)</f>
        <v/>
      </c>
      <c r="I19" s="292" t="str">
        <f>IF(E19=0,"",'- 6 -'!H19/E19*100)</f>
        <v/>
      </c>
    </row>
    <row r="20" spans="1:9" ht="14.1" customHeight="1">
      <c r="A20" s="19" t="s">
        <v>118</v>
      </c>
      <c r="B20" s="20">
        <v>0</v>
      </c>
      <c r="C20" s="70">
        <f>B20/'- 3 -'!D20*100</f>
        <v>0</v>
      </c>
      <c r="D20" s="195" t="str">
        <f t="shared" si="0"/>
        <v/>
      </c>
      <c r="E20" s="196">
        <f>SUM('- 6 -'!E20:H20)</f>
        <v>0</v>
      </c>
      <c r="F20" s="70" t="str">
        <f>IF(E20=0,"",'- 6 -'!E20/E20*100)</f>
        <v/>
      </c>
      <c r="G20" s="70" t="str">
        <f>IF(E20=0,"",'- 6 -'!F20/E20*100)</f>
        <v/>
      </c>
      <c r="H20" s="70" t="str">
        <f>IF(E20=0,"",'- 6 -'!G20/E20*100)</f>
        <v/>
      </c>
      <c r="I20" s="70" t="str">
        <f>IF(E20=0,"",'- 6 -'!H20/E20*100)</f>
        <v/>
      </c>
    </row>
    <row r="21" spans="1:9" ht="14.1" customHeight="1">
      <c r="A21" s="332" t="s">
        <v>119</v>
      </c>
      <c r="B21" s="286">
        <v>4229664</v>
      </c>
      <c r="C21" s="292">
        <f>B21/'- 3 -'!D21*100</f>
        <v>12.042315102894809</v>
      </c>
      <c r="D21" s="333">
        <f t="shared" si="0"/>
        <v>5809.9780219780223</v>
      </c>
      <c r="E21" s="334">
        <f>SUM('- 6 -'!E21:H21)</f>
        <v>728</v>
      </c>
      <c r="F21" s="292">
        <f>IF(E21=0,"",'- 6 -'!E21/E21*100)</f>
        <v>67.170329670329664</v>
      </c>
      <c r="G21" s="292">
        <f>IF(E21=0,"",'- 6 -'!F21/E21*100)</f>
        <v>0</v>
      </c>
      <c r="H21" s="292">
        <f>IF(E21=0,"",'- 6 -'!G21/E21*100)</f>
        <v>32.829670329670328</v>
      </c>
      <c r="I21" s="292">
        <f>IF(E21=0,"",'- 6 -'!H21/E21*100)</f>
        <v>0</v>
      </c>
    </row>
    <row r="22" spans="1:9" ht="14.1" customHeight="1">
      <c r="A22" s="19" t="s">
        <v>120</v>
      </c>
      <c r="B22" s="20">
        <v>3914404</v>
      </c>
      <c r="C22" s="70">
        <f>B22/'- 3 -'!D22*100</f>
        <v>19.586664949382655</v>
      </c>
      <c r="D22" s="195">
        <f t="shared" si="0"/>
        <v>6064.1425251742839</v>
      </c>
      <c r="E22" s="196">
        <f>SUM('- 6 -'!E22:H22)</f>
        <v>645.5</v>
      </c>
      <c r="F22" s="70">
        <f>IF(E22=0,"",'- 6 -'!E22/E22*100)</f>
        <v>75.135553834237029</v>
      </c>
      <c r="G22" s="70">
        <f>IF(E22=0,"",'- 6 -'!F22/E22*100)</f>
        <v>0</v>
      </c>
      <c r="H22" s="70">
        <f>IF(E22=0,"",'- 6 -'!G22/E22*100)</f>
        <v>24.864446165762974</v>
      </c>
      <c r="I22" s="70">
        <f>IF(E22=0,"",'- 6 -'!H22/E22*100)</f>
        <v>0</v>
      </c>
    </row>
    <row r="23" spans="1:9" ht="14.1" customHeight="1">
      <c r="A23" s="332" t="s">
        <v>121</v>
      </c>
      <c r="B23" s="286">
        <v>0</v>
      </c>
      <c r="C23" s="292">
        <f>B23/'- 3 -'!D23*100</f>
        <v>0</v>
      </c>
      <c r="D23" s="333" t="str">
        <f t="shared" si="0"/>
        <v/>
      </c>
      <c r="E23" s="334">
        <f>SUM('- 6 -'!E23:H23)</f>
        <v>0</v>
      </c>
      <c r="F23" s="292" t="str">
        <f>IF(E23=0,"",'- 6 -'!E23/E23*100)</f>
        <v/>
      </c>
      <c r="G23" s="292" t="str">
        <f>IF(E23=0,"",'- 6 -'!F23/E23*100)</f>
        <v/>
      </c>
      <c r="H23" s="292" t="str">
        <f>IF(E23=0,"",'- 6 -'!G23/E23*100)</f>
        <v/>
      </c>
      <c r="I23" s="292" t="str">
        <f>IF(E23=0,"",'- 6 -'!H23/E23*100)</f>
        <v/>
      </c>
    </row>
    <row r="24" spans="1:9" ht="14.1" customHeight="1">
      <c r="A24" s="19" t="s">
        <v>122</v>
      </c>
      <c r="B24" s="20">
        <v>4272088</v>
      </c>
      <c r="C24" s="70">
        <f>B24/'- 3 -'!D24*100</f>
        <v>7.6696176312978013</v>
      </c>
      <c r="D24" s="195">
        <f t="shared" si="0"/>
        <v>6669.9266198282594</v>
      </c>
      <c r="E24" s="196">
        <f>SUM('- 6 -'!E24:H24)</f>
        <v>640.5</v>
      </c>
      <c r="F24" s="70">
        <f>IF(E24=0,"",'- 6 -'!E24/E24*100)</f>
        <v>72.287275565964094</v>
      </c>
      <c r="G24" s="70">
        <f>IF(E24=0,"",'- 6 -'!F24/E24*100)</f>
        <v>0</v>
      </c>
      <c r="H24" s="70">
        <f>IF(E24=0,"",'- 6 -'!G24/E24*100)</f>
        <v>16.237314597970336</v>
      </c>
      <c r="I24" s="70">
        <f>IF(E24=0,"",'- 6 -'!H24/E24*100)</f>
        <v>11.475409836065573</v>
      </c>
    </row>
    <row r="25" spans="1:9" ht="14.1" customHeight="1">
      <c r="A25" s="332" t="s">
        <v>123</v>
      </c>
      <c r="B25" s="286">
        <v>0</v>
      </c>
      <c r="C25" s="292">
        <f>B25/'- 3 -'!D25*100</f>
        <v>0</v>
      </c>
      <c r="D25" s="333" t="str">
        <f t="shared" si="0"/>
        <v/>
      </c>
      <c r="E25" s="334">
        <f>SUM('- 6 -'!E25:H25)</f>
        <v>0</v>
      </c>
      <c r="F25" s="292" t="str">
        <f>IF(E25=0,"",'- 6 -'!E25/E25*100)</f>
        <v/>
      </c>
      <c r="G25" s="292" t="str">
        <f>IF(E25=0,"",'- 6 -'!F25/E25*100)</f>
        <v/>
      </c>
      <c r="H25" s="292" t="str">
        <f>IF(E25=0,"",'- 6 -'!G25/E25*100)</f>
        <v/>
      </c>
      <c r="I25" s="292" t="str">
        <f>IF(E25=0,"",'- 6 -'!H25/E25*100)</f>
        <v/>
      </c>
    </row>
    <row r="26" spans="1:9" ht="14.1" customHeight="1">
      <c r="A26" s="19" t="s">
        <v>124</v>
      </c>
      <c r="B26" s="20">
        <v>1718218</v>
      </c>
      <c r="C26" s="70">
        <f>B26/'- 3 -'!D26*100</f>
        <v>4.3355243878135648</v>
      </c>
      <c r="D26" s="195">
        <f t="shared" si="0"/>
        <v>5053.5823529411764</v>
      </c>
      <c r="E26" s="196">
        <f>SUM('- 6 -'!E26:H26)</f>
        <v>340</v>
      </c>
      <c r="F26" s="70">
        <f>IF(E26=0,"",'- 6 -'!E26/E26*100)</f>
        <v>66.470588235294116</v>
      </c>
      <c r="G26" s="70">
        <f>IF(E26=0,"",'- 6 -'!F26/E26*100)</f>
        <v>0</v>
      </c>
      <c r="H26" s="70">
        <f>IF(E26=0,"",'- 6 -'!G26/E26*100)</f>
        <v>11.76470588235294</v>
      </c>
      <c r="I26" s="70">
        <f>IF(E26=0,"",'- 6 -'!H26/E26*100)</f>
        <v>21.764705882352942</v>
      </c>
    </row>
    <row r="27" spans="1:9" ht="14.1" customHeight="1">
      <c r="A27" s="332" t="s">
        <v>125</v>
      </c>
      <c r="B27" s="286">
        <v>2481881</v>
      </c>
      <c r="C27" s="292">
        <f>B27/'- 3 -'!D27*100</f>
        <v>5.907177605382425</v>
      </c>
      <c r="D27" s="333">
        <f t="shared" si="0"/>
        <v>7441.9220389805096</v>
      </c>
      <c r="E27" s="334">
        <f>SUM('- 6 -'!E27:H27)</f>
        <v>333.5</v>
      </c>
      <c r="F27" s="292">
        <f>IF(E27=0,"",'- 6 -'!E27/E27*100)</f>
        <v>32.833583208395801</v>
      </c>
      <c r="G27" s="292">
        <f>IF(E27=0,"",'- 6 -'!F27/E27*100)</f>
        <v>0</v>
      </c>
      <c r="H27" s="292">
        <f>IF(E27=0,"",'- 6 -'!G27/E27*100)</f>
        <v>67.166416791604206</v>
      </c>
      <c r="I27" s="292">
        <f>IF(E27=0,"",'- 6 -'!H27/E27*100)</f>
        <v>0</v>
      </c>
    </row>
    <row r="28" spans="1:9" ht="14.1" customHeight="1">
      <c r="A28" s="19" t="s">
        <v>126</v>
      </c>
      <c r="B28" s="20">
        <v>0</v>
      </c>
      <c r="C28" s="70">
        <f>B28/'- 3 -'!D28*100</f>
        <v>0</v>
      </c>
      <c r="D28" s="195" t="str">
        <f t="shared" si="0"/>
        <v/>
      </c>
      <c r="E28" s="196">
        <f>SUM('- 6 -'!E28:H28)</f>
        <v>0</v>
      </c>
      <c r="F28" s="70" t="str">
        <f>IF(E28=0,"",'- 6 -'!E28/E28*100)</f>
        <v/>
      </c>
      <c r="G28" s="70" t="str">
        <f>IF(E28=0,"",'- 6 -'!F28/E28*100)</f>
        <v/>
      </c>
      <c r="H28" s="70" t="str">
        <f>IF(E28=0,"",'- 6 -'!G28/E28*100)</f>
        <v/>
      </c>
      <c r="I28" s="70" t="str">
        <f>IF(E28=0,"",'- 6 -'!H28/E28*100)</f>
        <v/>
      </c>
    </row>
    <row r="29" spans="1:9" ht="14.1" customHeight="1">
      <c r="A29" s="332" t="s">
        <v>127</v>
      </c>
      <c r="B29" s="286">
        <v>18983032</v>
      </c>
      <c r="C29" s="292">
        <f>B29/'- 3 -'!D29*100</f>
        <v>12.623143182356792</v>
      </c>
      <c r="D29" s="333">
        <f t="shared" si="0"/>
        <v>5513.5149578855653</v>
      </c>
      <c r="E29" s="334">
        <f>SUM('- 6 -'!E29:H29)</f>
        <v>3443</v>
      </c>
      <c r="F29" s="292">
        <f>IF(E29=0,"",'- 6 -'!E29/E29*100)</f>
        <v>61.356375254138825</v>
      </c>
      <c r="G29" s="292">
        <f>IF(E29=0,"",'- 6 -'!F29/E29*100)</f>
        <v>0</v>
      </c>
      <c r="H29" s="292">
        <f>IF(E29=0,"",'- 6 -'!G29/E29*100)</f>
        <v>38.643624745861167</v>
      </c>
      <c r="I29" s="292">
        <f>IF(E29=0,"",'- 6 -'!H29/E29*100)</f>
        <v>0</v>
      </c>
    </row>
    <row r="30" spans="1:9" ht="14.1" customHeight="1">
      <c r="A30" s="19" t="s">
        <v>128</v>
      </c>
      <c r="B30" s="20">
        <v>0</v>
      </c>
      <c r="C30" s="70">
        <f>B30/'- 3 -'!D30*100</f>
        <v>0</v>
      </c>
      <c r="D30" s="195" t="str">
        <f t="shared" si="0"/>
        <v/>
      </c>
      <c r="E30" s="196">
        <f>SUM('- 6 -'!E30:H30)</f>
        <v>0</v>
      </c>
      <c r="F30" s="70" t="str">
        <f>IF(E30=0,"",'- 6 -'!E30/E30*100)</f>
        <v/>
      </c>
      <c r="G30" s="70" t="str">
        <f>IF(E30=0,"",'- 6 -'!F30/E30*100)</f>
        <v/>
      </c>
      <c r="H30" s="70" t="str">
        <f>IF(E30=0,"",'- 6 -'!G30/E30*100)</f>
        <v/>
      </c>
      <c r="I30" s="70" t="str">
        <f>IF(E30=0,"",'- 6 -'!H30/E30*100)</f>
        <v/>
      </c>
    </row>
    <row r="31" spans="1:9" ht="14.1" customHeight="1">
      <c r="A31" s="332" t="s">
        <v>129</v>
      </c>
      <c r="B31" s="286">
        <v>3035504</v>
      </c>
      <c r="C31" s="292">
        <f>B31/'- 3 -'!D31*100</f>
        <v>8.4807720574029766</v>
      </c>
      <c r="D31" s="333">
        <f t="shared" si="0"/>
        <v>4221.8414464534071</v>
      </c>
      <c r="E31" s="334">
        <f>SUM('- 6 -'!E31:H31)</f>
        <v>719</v>
      </c>
      <c r="F31" s="292">
        <f>IF(E31=0,"",'- 6 -'!E31/E31*100)</f>
        <v>61.891515994436716</v>
      </c>
      <c r="G31" s="292">
        <f>IF(E31=0,"",'- 6 -'!F31/E31*100)</f>
        <v>0</v>
      </c>
      <c r="H31" s="292">
        <f>IF(E31=0,"",'- 6 -'!G31/E31*100)</f>
        <v>38.108484005563284</v>
      </c>
      <c r="I31" s="292">
        <f>IF(E31=0,"",'- 6 -'!H31/E31*100)</f>
        <v>0</v>
      </c>
    </row>
    <row r="32" spans="1:9" ht="14.1" customHeight="1">
      <c r="A32" s="19" t="s">
        <v>130</v>
      </c>
      <c r="B32" s="20">
        <v>1358834</v>
      </c>
      <c r="C32" s="70">
        <f>B32/'- 3 -'!D32*100</f>
        <v>4.8669045234503505</v>
      </c>
      <c r="D32" s="195">
        <f t="shared" si="0"/>
        <v>7507.370165745856</v>
      </c>
      <c r="E32" s="196">
        <f>SUM('- 6 -'!E32:H32)</f>
        <v>181</v>
      </c>
      <c r="F32" s="70">
        <f>IF(E32=0,"",'- 6 -'!E32/E32*100)</f>
        <v>70.165745856353595</v>
      </c>
      <c r="G32" s="70">
        <f>IF(E32=0,"",'- 6 -'!F32/E32*100)</f>
        <v>0</v>
      </c>
      <c r="H32" s="70">
        <f>IF(E32=0,"",'- 6 -'!G32/E32*100)</f>
        <v>29.834254143646412</v>
      </c>
      <c r="I32" s="70">
        <f>IF(E32=0,"",'- 6 -'!H32/E32*100)</f>
        <v>0</v>
      </c>
    </row>
    <row r="33" spans="1:10" ht="14.1" customHeight="1">
      <c r="A33" s="332" t="s">
        <v>131</v>
      </c>
      <c r="B33" s="286">
        <v>2568258</v>
      </c>
      <c r="C33" s="292">
        <f>B33/'- 3 -'!D33*100</f>
        <v>9.705457615105253</v>
      </c>
      <c r="D33" s="333">
        <f t="shared" si="0"/>
        <v>7444.2260869565216</v>
      </c>
      <c r="E33" s="334">
        <f>SUM('- 6 -'!E33:H33)</f>
        <v>345</v>
      </c>
      <c r="F33" s="292">
        <f>IF(E33=0,"",'- 6 -'!E33/E33*100)</f>
        <v>47.246376811594203</v>
      </c>
      <c r="G33" s="292">
        <f>IF(E33=0,"",'- 6 -'!F33/E33*100)</f>
        <v>25.79710144927536</v>
      </c>
      <c r="H33" s="292">
        <f>IF(E33=0,"",'- 6 -'!G33/E33*100)</f>
        <v>26.956521739130434</v>
      </c>
      <c r="I33" s="292">
        <f>IF(E33=0,"",'- 6 -'!H33/E33*100)</f>
        <v>0</v>
      </c>
    </row>
    <row r="34" spans="1:10" ht="14.1" customHeight="1">
      <c r="A34" s="19" t="s">
        <v>132</v>
      </c>
      <c r="B34" s="20">
        <v>1317470</v>
      </c>
      <c r="C34" s="70">
        <f>B34/'- 3 -'!D34*100</f>
        <v>4.7229573792772062</v>
      </c>
      <c r="D34" s="195">
        <f t="shared" si="0"/>
        <v>6773.6246786632391</v>
      </c>
      <c r="E34" s="196">
        <f>SUM('- 6 -'!E34:H34)</f>
        <v>194.5</v>
      </c>
      <c r="F34" s="70">
        <f>IF(E34=0,"",'- 6 -'!E34/E34*100)</f>
        <v>35.732647814910024</v>
      </c>
      <c r="G34" s="70">
        <f>IF(E34=0,"",'- 6 -'!F34/E34*100)</f>
        <v>64.267352185089976</v>
      </c>
      <c r="H34" s="70">
        <f>IF(E34=0,"",'- 6 -'!G34/E34*100)</f>
        <v>0</v>
      </c>
      <c r="I34" s="70">
        <f>IF(E34=0,"",'- 6 -'!H34/E34*100)</f>
        <v>0</v>
      </c>
    </row>
    <row r="35" spans="1:10" ht="14.1" customHeight="1">
      <c r="A35" s="332" t="s">
        <v>133</v>
      </c>
      <c r="B35" s="286">
        <v>26003209</v>
      </c>
      <c r="C35" s="292">
        <f>B35/'- 3 -'!D35*100</f>
        <v>14.403048323652742</v>
      </c>
      <c r="D35" s="333">
        <f t="shared" si="0"/>
        <v>5905.1229703644831</v>
      </c>
      <c r="E35" s="334">
        <f>SUM('- 6 -'!E35:H35)</f>
        <v>4403.5</v>
      </c>
      <c r="F35" s="292">
        <f>IF(E35=0,"",'- 6 -'!E35/E35*100)</f>
        <v>55.058476212104011</v>
      </c>
      <c r="G35" s="292">
        <f>IF(E35=0,"",'- 6 -'!F35/E35*100)</f>
        <v>0</v>
      </c>
      <c r="H35" s="292">
        <f>IF(E35=0,"",'- 6 -'!G35/E35*100)</f>
        <v>36.936527762007493</v>
      </c>
      <c r="I35" s="292">
        <f>IF(E35=0,"",'- 6 -'!H35/E35*100)</f>
        <v>8.0049960258884969</v>
      </c>
    </row>
    <row r="36" spans="1:10" ht="14.1" customHeight="1">
      <c r="A36" s="19" t="s">
        <v>134</v>
      </c>
      <c r="B36" s="20">
        <v>0</v>
      </c>
      <c r="C36" s="70">
        <f>B36/'- 3 -'!D36*100</f>
        <v>0</v>
      </c>
      <c r="D36" s="195" t="str">
        <f t="shared" si="0"/>
        <v/>
      </c>
      <c r="E36" s="196">
        <f>SUM('- 6 -'!E36:H36)</f>
        <v>0</v>
      </c>
      <c r="F36" s="70" t="str">
        <f>IF(E36=0,"",'- 6 -'!E36/E36*100)</f>
        <v/>
      </c>
      <c r="G36" s="70" t="str">
        <f>IF(E36=0,"",'- 6 -'!F36/E36*100)</f>
        <v/>
      </c>
      <c r="H36" s="70" t="str">
        <f>IF(E36=0,"",'- 6 -'!G36/E36*100)</f>
        <v/>
      </c>
      <c r="I36" s="70" t="str">
        <f>IF(E36=0,"",'- 6 -'!H36/E36*100)</f>
        <v/>
      </c>
    </row>
    <row r="37" spans="1:10" ht="14.1" customHeight="1">
      <c r="A37" s="332" t="s">
        <v>135</v>
      </c>
      <c r="B37" s="286">
        <v>7178645</v>
      </c>
      <c r="C37" s="292">
        <f>B37/'- 3 -'!D37*100</f>
        <v>15.030259026107462</v>
      </c>
      <c r="D37" s="333">
        <f t="shared" si="0"/>
        <v>5621.4917776037591</v>
      </c>
      <c r="E37" s="334">
        <f>SUM('- 6 -'!E37:H37)</f>
        <v>1277</v>
      </c>
      <c r="F37" s="292">
        <f>IF(E37=0,"",'- 6 -'!E37/E37*100)</f>
        <v>59.27956147220047</v>
      </c>
      <c r="G37" s="292">
        <f>IF(E37=0,"",'- 6 -'!F37/E37*100)</f>
        <v>0</v>
      </c>
      <c r="H37" s="292">
        <f>IF(E37=0,"",'- 6 -'!G37/E37*100)</f>
        <v>40.72043852779953</v>
      </c>
      <c r="I37" s="292">
        <f>IF(E37=0,"",'- 6 -'!H37/E37*100)</f>
        <v>0</v>
      </c>
    </row>
    <row r="38" spans="1:10" ht="14.1" customHeight="1">
      <c r="A38" s="19" t="s">
        <v>136</v>
      </c>
      <c r="B38" s="20">
        <v>24399896</v>
      </c>
      <c r="C38" s="70">
        <f>B38/'- 3 -'!D38*100</f>
        <v>19.221467231106931</v>
      </c>
      <c r="D38" s="195">
        <f t="shared" si="0"/>
        <v>5858.4590266272908</v>
      </c>
      <c r="E38" s="196">
        <f>SUM('- 6 -'!E38:H38)</f>
        <v>4164.8999999999996</v>
      </c>
      <c r="F38" s="70">
        <f>IF(E38=0,"",'- 6 -'!E38/E38*100)</f>
        <v>65.713462508103447</v>
      </c>
      <c r="G38" s="70">
        <f>IF(E38=0,"",'- 6 -'!F38/E38*100)</f>
        <v>0</v>
      </c>
      <c r="H38" s="70">
        <f>IF(E38=0,"",'- 6 -'!G38/E38*100)</f>
        <v>31.357295493289154</v>
      </c>
      <c r="I38" s="70">
        <f>IF(E38=0,"",'- 6 -'!H38/E38*100)</f>
        <v>2.9292419986074099</v>
      </c>
    </row>
    <row r="39" spans="1:10" ht="14.1" customHeight="1">
      <c r="A39" s="332" t="s">
        <v>137</v>
      </c>
      <c r="B39" s="286">
        <v>0</v>
      </c>
      <c r="C39" s="292">
        <f>B39/'- 3 -'!D39*100</f>
        <v>0</v>
      </c>
      <c r="D39" s="333" t="str">
        <f t="shared" si="0"/>
        <v/>
      </c>
      <c r="E39" s="334">
        <f>SUM('- 6 -'!E39:H39)</f>
        <v>0</v>
      </c>
      <c r="F39" s="292" t="str">
        <f>IF(E39=0,"",'- 6 -'!E39/E39*100)</f>
        <v/>
      </c>
      <c r="G39" s="292" t="str">
        <f>IF(E39=0,"",'- 6 -'!F39/E39*100)</f>
        <v/>
      </c>
      <c r="H39" s="292" t="str">
        <f>IF(E39=0,"",'- 6 -'!G39/E39*100)</f>
        <v/>
      </c>
      <c r="I39" s="292" t="str">
        <f>IF(E39=0,"",'- 6 -'!H39/E39*100)</f>
        <v/>
      </c>
    </row>
    <row r="40" spans="1:10" ht="14.1" customHeight="1">
      <c r="A40" s="19" t="s">
        <v>138</v>
      </c>
      <c r="B40" s="20">
        <v>8414347</v>
      </c>
      <c r="C40" s="70">
        <f>B40/'- 3 -'!D40*100</f>
        <v>8.2616466544204812</v>
      </c>
      <c r="D40" s="195">
        <f t="shared" si="0"/>
        <v>5840.0520544142146</v>
      </c>
      <c r="E40" s="196">
        <f>SUM('- 6 -'!E40:H40)</f>
        <v>1440.8</v>
      </c>
      <c r="F40" s="70">
        <f>IF(E40=0,"",'- 6 -'!E40/E40*100)</f>
        <v>59.883398112159917</v>
      </c>
      <c r="G40" s="70">
        <f>IF(E40=0,"",'- 6 -'!F40/E40*100)</f>
        <v>0</v>
      </c>
      <c r="H40" s="70">
        <f>IF(E40=0,"",'- 6 -'!G40/E40*100)</f>
        <v>40.116601887840091</v>
      </c>
      <c r="I40" s="70">
        <f>IF(E40=0,"",'- 6 -'!H40/E40*100)</f>
        <v>0</v>
      </c>
    </row>
    <row r="41" spans="1:10" ht="14.1" customHeight="1">
      <c r="A41" s="332" t="s">
        <v>139</v>
      </c>
      <c r="B41" s="286">
        <v>14212755</v>
      </c>
      <c r="C41" s="292">
        <f>B41/'- 3 -'!D41*100</f>
        <v>22.994677626470885</v>
      </c>
      <c r="D41" s="333">
        <f t="shared" si="0"/>
        <v>6201.0274869109944</v>
      </c>
      <c r="E41" s="334">
        <f>SUM('- 6 -'!E41:H41)</f>
        <v>2292</v>
      </c>
      <c r="F41" s="292">
        <f>IF(E41=0,"",'- 6 -'!E41/E41*100)</f>
        <v>67.801047120418843</v>
      </c>
      <c r="G41" s="292">
        <f>IF(E41=0,"",'- 6 -'!F41/E41*100)</f>
        <v>0</v>
      </c>
      <c r="H41" s="292">
        <f>IF(E41=0,"",'- 6 -'!G41/E41*100)</f>
        <v>29.297556719022687</v>
      </c>
      <c r="I41" s="292">
        <f>IF(E41=0,"",'- 6 -'!H41/E41*100)</f>
        <v>2.9013961605584644</v>
      </c>
    </row>
    <row r="42" spans="1:10" ht="14.1" customHeight="1">
      <c r="A42" s="19" t="s">
        <v>140</v>
      </c>
      <c r="B42" s="20">
        <v>1523058</v>
      </c>
      <c r="C42" s="70">
        <f>B42/'- 3 -'!D42*100</f>
        <v>7.6058165751648037</v>
      </c>
      <c r="D42" s="195">
        <f t="shared" si="0"/>
        <v>6385.9874213836474</v>
      </c>
      <c r="E42" s="196">
        <f>SUM('- 6 -'!E42:H42)</f>
        <v>238.5</v>
      </c>
      <c r="F42" s="70">
        <f>IF(E42=0,"",'- 6 -'!E42/E42*100)</f>
        <v>65.408805031446533</v>
      </c>
      <c r="G42" s="70">
        <f>IF(E42=0,"",'- 6 -'!F42/E42*100)</f>
        <v>0</v>
      </c>
      <c r="H42" s="70">
        <f>IF(E42=0,"",'- 6 -'!G42/E42*100)</f>
        <v>34.591194968553459</v>
      </c>
      <c r="I42" s="70">
        <f>IF(E42=0,"",'- 6 -'!H42/E42*100)</f>
        <v>0</v>
      </c>
    </row>
    <row r="43" spans="1:10" ht="14.1" customHeight="1">
      <c r="A43" s="332" t="s">
        <v>141</v>
      </c>
      <c r="B43" s="286">
        <v>0</v>
      </c>
      <c r="C43" s="292">
        <f>B43/'- 3 -'!D43*100</f>
        <v>0</v>
      </c>
      <c r="D43" s="333" t="str">
        <f t="shared" si="0"/>
        <v/>
      </c>
      <c r="E43" s="334">
        <f>SUM('- 6 -'!E43:H43)</f>
        <v>0</v>
      </c>
      <c r="F43" s="292" t="str">
        <f>IF(E43=0,"",'- 6 -'!E43/E43*100)</f>
        <v/>
      </c>
      <c r="G43" s="292" t="str">
        <f>IF(E43=0,"",'- 6 -'!F43/E43*100)</f>
        <v/>
      </c>
      <c r="H43" s="292" t="str">
        <f>IF(E43=0,"",'- 6 -'!G43/E43*100)</f>
        <v/>
      </c>
      <c r="I43" s="292" t="str">
        <f>IF(E43=0,"",'- 6 -'!H43/E43*100)</f>
        <v/>
      </c>
    </row>
    <row r="44" spans="1:10" ht="14.1" customHeight="1">
      <c r="A44" s="19" t="s">
        <v>142</v>
      </c>
      <c r="B44" s="20">
        <v>0</v>
      </c>
      <c r="C44" s="70">
        <f>B44/'- 3 -'!D44*100</f>
        <v>0</v>
      </c>
      <c r="D44" s="195" t="str">
        <f t="shared" si="0"/>
        <v/>
      </c>
      <c r="E44" s="196">
        <f>SUM('- 6 -'!E44:H44)</f>
        <v>0</v>
      </c>
      <c r="F44" s="70" t="str">
        <f>IF(E44=0,"",'- 6 -'!E44/E44*100)</f>
        <v/>
      </c>
      <c r="G44" s="70" t="str">
        <f>IF(E44=0,"",'- 6 -'!F44/E44*100)</f>
        <v/>
      </c>
      <c r="H44" s="70" t="str">
        <f>IF(E44=0,"",'- 6 -'!G44/E44*100)</f>
        <v/>
      </c>
      <c r="I44" s="70" t="str">
        <f>IF(E44=0,"",'- 6 -'!H44/E44*100)</f>
        <v/>
      </c>
    </row>
    <row r="45" spans="1:10" ht="14.1" customHeight="1">
      <c r="A45" s="332" t="s">
        <v>143</v>
      </c>
      <c r="B45" s="286">
        <v>4896305</v>
      </c>
      <c r="C45" s="292">
        <f>B45/'- 3 -'!D45*100</f>
        <v>26.707852890571338</v>
      </c>
      <c r="D45" s="333">
        <f t="shared" si="0"/>
        <v>5507.6546681664795</v>
      </c>
      <c r="E45" s="334">
        <f>SUM('- 6 -'!E45:H45)</f>
        <v>889</v>
      </c>
      <c r="F45" s="292">
        <f>IF(E45=0,"",'- 6 -'!E45/E45*100)</f>
        <v>74.578177727784023</v>
      </c>
      <c r="G45" s="292">
        <f>IF(E45=0,"",'- 6 -'!F45/E45*100)</f>
        <v>0</v>
      </c>
      <c r="H45" s="292">
        <f>IF(E45=0,"",'- 6 -'!G45/E45*100)</f>
        <v>25.421822272215973</v>
      </c>
      <c r="I45" s="292">
        <f>IF(E45=0,"",'- 6 -'!H45/E45*100)</f>
        <v>0</v>
      </c>
    </row>
    <row r="46" spans="1:10" ht="14.1" customHeight="1">
      <c r="A46" s="19" t="s">
        <v>144</v>
      </c>
      <c r="B46" s="20">
        <v>29719481</v>
      </c>
      <c r="C46" s="70">
        <f>B46/'- 3 -'!D46*100</f>
        <v>7.7890262623033317</v>
      </c>
      <c r="D46" s="195">
        <f t="shared" si="0"/>
        <v>5184.8361828332172</v>
      </c>
      <c r="E46" s="196">
        <f>SUM('- 6 -'!E46:H46)</f>
        <v>5732</v>
      </c>
      <c r="F46" s="70">
        <f>IF(E46=0,"",'- 6 -'!E46/E46*100)</f>
        <v>54.344033496161906</v>
      </c>
      <c r="G46" s="70">
        <f>IF(E46=0,"",'- 6 -'!F46/E46*100)</f>
        <v>0</v>
      </c>
      <c r="H46" s="70">
        <f>IF(E46=0,"",'- 6 -'!G46/E46*100)</f>
        <v>41.468946266573617</v>
      </c>
      <c r="I46" s="70">
        <f>IF(E46=0,"",'- 6 -'!H46/E46*100)</f>
        <v>4.1870202372644796</v>
      </c>
    </row>
    <row r="47" spans="1:10" ht="5.0999999999999996" customHeight="1">
      <c r="A47"/>
      <c r="B47" s="22"/>
      <c r="C47"/>
      <c r="D47"/>
      <c r="E47"/>
      <c r="F47"/>
      <c r="G47"/>
      <c r="H47"/>
      <c r="I47"/>
      <c r="J47"/>
    </row>
    <row r="48" spans="1:10" ht="14.1" customHeight="1">
      <c r="A48" s="287" t="s">
        <v>145</v>
      </c>
      <c r="B48" s="288">
        <f>SUM(B11:B46)</f>
        <v>169634738</v>
      </c>
      <c r="C48" s="295">
        <f>B48/'- 3 -'!D48*100</f>
        <v>7.6567137814216881</v>
      </c>
      <c r="D48" s="335">
        <f>B48/E48</f>
        <v>5681.0596891462401</v>
      </c>
      <c r="E48" s="336">
        <f>SUM(E11:E46)</f>
        <v>29859.7</v>
      </c>
      <c r="F48" s="295">
        <f>IF(E48=0,"",'- 6 -'!E48/E48*100)</f>
        <v>61.309055348848105</v>
      </c>
      <c r="G48" s="295">
        <f>IF(E48=0,"",'- 6 -'!F48/E48*100)</f>
        <v>0.71668503032515396</v>
      </c>
      <c r="H48" s="295">
        <f>IF(E48=0,"",'- 6 -'!G48/E48*100)</f>
        <v>34.86471732803745</v>
      </c>
      <c r="I48" s="295">
        <f>IF(E48=0,"",'- 6 -'!H48/E48*100)</f>
        <v>3.109542292789278</v>
      </c>
    </row>
    <row r="49" spans="1:9" ht="5.0999999999999996" customHeight="1">
      <c r="A49" s="21" t="s">
        <v>7</v>
      </c>
      <c r="B49" s="22"/>
      <c r="C49"/>
      <c r="D49" s="22"/>
      <c r="E49" s="197"/>
      <c r="F49"/>
      <c r="G49"/>
      <c r="H49"/>
      <c r="I49"/>
    </row>
    <row r="50" spans="1:9" ht="14.1" customHeight="1">
      <c r="A50" s="19" t="s">
        <v>146</v>
      </c>
      <c r="B50" s="20">
        <v>0</v>
      </c>
      <c r="C50" s="70">
        <f>B50/'- 3 -'!D50*100</f>
        <v>0</v>
      </c>
      <c r="D50" s="195" t="str">
        <f>IF(E50=0,"",B50/E50)</f>
        <v/>
      </c>
      <c r="E50" s="196">
        <f>SUM('- 6 -'!E50:H50)</f>
        <v>0</v>
      </c>
      <c r="F50" s="70" t="str">
        <f>IF(E50=0,"",'- 6 -'!E50/E50*100)</f>
        <v/>
      </c>
      <c r="G50" s="70" t="str">
        <f>IF(E50=0,"",'- 6 -'!F50/E50*100)</f>
        <v/>
      </c>
      <c r="H50" s="70" t="str">
        <f>IF(E50=0,"",'- 6 -'!G50/E50*100)</f>
        <v/>
      </c>
      <c r="I50" s="70" t="str">
        <f>IF(E50=0,"",'- 6 -'!H50/E50*100)</f>
        <v/>
      </c>
    </row>
    <row r="51" spans="1:9" ht="14.1" customHeight="1">
      <c r="A51" s="332" t="s">
        <v>612</v>
      </c>
      <c r="B51" s="286">
        <v>0</v>
      </c>
      <c r="C51" s="292">
        <f>B51/'- 3 -'!D51*100</f>
        <v>0</v>
      </c>
      <c r="D51" s="333" t="str">
        <f>IF(E51=0,"",B51/E51)</f>
        <v/>
      </c>
      <c r="E51" s="334">
        <f>SUM('- 6 -'!E51:H51)</f>
        <v>0</v>
      </c>
      <c r="F51" s="292" t="str">
        <f>IF(E51=0,"",'- 6 -'!E51/E51*100)</f>
        <v/>
      </c>
      <c r="G51" s="292" t="str">
        <f>IF(E51=0,"",'- 6 -'!F51/E51*100)</f>
        <v/>
      </c>
      <c r="H51" s="292" t="str">
        <f>IF(E51=0,"",'- 6 -'!G51/E51*100)</f>
        <v/>
      </c>
      <c r="I51" s="292" t="str">
        <f>IF(E51=0,"",'- 6 -'!H51/E51*100)</f>
        <v/>
      </c>
    </row>
    <row r="52" spans="1:9" ht="50.1" customHeight="1">
      <c r="A52" s="23"/>
      <c r="B52" s="108"/>
      <c r="C52" s="108"/>
      <c r="D52" s="108"/>
      <c r="E52" s="108"/>
      <c r="F52" s="108"/>
      <c r="G52" s="108"/>
      <c r="H52" s="108"/>
      <c r="I52" s="108"/>
    </row>
    <row r="53" spans="1:9" ht="15" customHeight="1">
      <c r="A53" s="85" t="s">
        <v>344</v>
      </c>
      <c r="C53" s="85"/>
      <c r="D53" s="85"/>
      <c r="E53" s="85"/>
      <c r="F53" s="85"/>
      <c r="G53" s="85"/>
      <c r="H53" s="85"/>
      <c r="I53" s="85"/>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sheetPr codeName="Sheet16">
    <pageSetUpPr fitToPage="1"/>
  </sheetPr>
  <dimension ref="A1:I55"/>
  <sheetViews>
    <sheetView showGridLines="0" showZeros="0" workbookViewId="0"/>
  </sheetViews>
  <sheetFormatPr defaultColWidth="15.83203125" defaultRowHeight="12"/>
  <cols>
    <col min="1" max="1" width="32.83203125" style="2" customWidth="1"/>
    <col min="2" max="2" width="15.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5.83203125" style="2"/>
    <col min="9" max="9" width="7.83203125" style="2" customWidth="1"/>
    <col min="10" max="16384" width="15.83203125" style="2"/>
  </cols>
  <sheetData>
    <row r="1" spans="1:9" ht="6.95" customHeight="1">
      <c r="A1" s="7"/>
      <c r="B1" s="8"/>
      <c r="C1" s="8"/>
      <c r="D1" s="8"/>
      <c r="E1" s="8"/>
      <c r="F1" s="8"/>
      <c r="G1" s="8"/>
      <c r="H1" s="8"/>
      <c r="I1" s="8"/>
    </row>
    <row r="2" spans="1:9" ht="15.95" customHeight="1">
      <c r="A2" s="134"/>
      <c r="B2" s="9" t="s">
        <v>263</v>
      </c>
      <c r="C2" s="10"/>
      <c r="D2" s="10"/>
      <c r="E2" s="10"/>
      <c r="F2" s="10"/>
      <c r="G2" s="73"/>
      <c r="H2" s="73"/>
      <c r="I2" s="396" t="s">
        <v>405</v>
      </c>
    </row>
    <row r="3" spans="1:9" ht="15.95" customHeight="1">
      <c r="A3" s="543"/>
      <c r="B3" s="11" t="str">
        <f>OPYEAR</f>
        <v>OPERATING FUND 2015/2016 ACTUAL</v>
      </c>
      <c r="C3" s="12"/>
      <c r="D3" s="12"/>
      <c r="E3" s="12"/>
      <c r="F3" s="12"/>
      <c r="G3" s="75"/>
      <c r="H3" s="75"/>
      <c r="I3" s="75"/>
    </row>
    <row r="4" spans="1:9" ht="15.95" customHeight="1">
      <c r="B4" s="8"/>
      <c r="C4" s="8"/>
      <c r="D4" s="66"/>
      <c r="E4" s="8"/>
      <c r="F4" s="8"/>
      <c r="G4" s="8"/>
      <c r="H4" s="8"/>
      <c r="I4" s="8"/>
    </row>
    <row r="5" spans="1:9" ht="15.95" customHeight="1">
      <c r="B5" s="394" t="s">
        <v>615</v>
      </c>
      <c r="C5" s="165"/>
      <c r="D5" s="166"/>
      <c r="E5" s="166"/>
      <c r="F5" s="166"/>
      <c r="G5" s="166"/>
      <c r="H5" s="549"/>
      <c r="I5" s="549"/>
    </row>
    <row r="6" spans="1:9" ht="15.95" customHeight="1">
      <c r="B6" s="643" t="s">
        <v>484</v>
      </c>
      <c r="C6" s="651"/>
      <c r="D6" s="644"/>
      <c r="E6" s="647" t="s">
        <v>485</v>
      </c>
      <c r="F6" s="651"/>
      <c r="G6" s="668"/>
      <c r="H6" s="670" t="s">
        <v>486</v>
      </c>
      <c r="I6" s="671"/>
    </row>
    <row r="7" spans="1:9" ht="15.95" customHeight="1">
      <c r="B7" s="645"/>
      <c r="C7" s="652"/>
      <c r="D7" s="646"/>
      <c r="E7" s="645"/>
      <c r="F7" s="652"/>
      <c r="G7" s="669"/>
      <c r="H7" s="672"/>
      <c r="I7" s="673"/>
    </row>
    <row r="8" spans="1:9" ht="15.95" customHeight="1">
      <c r="A8" s="67"/>
      <c r="B8" s="137"/>
      <c r="C8" s="138"/>
      <c r="D8" s="596" t="s">
        <v>480</v>
      </c>
      <c r="E8" s="137"/>
      <c r="F8" s="139"/>
      <c r="G8" s="596" t="s">
        <v>480</v>
      </c>
      <c r="H8" s="137"/>
      <c r="I8" s="139"/>
    </row>
    <row r="9" spans="1:9" ht="15.95" customHeight="1">
      <c r="A9" s="35" t="s">
        <v>42</v>
      </c>
      <c r="B9" s="77" t="s">
        <v>43</v>
      </c>
      <c r="C9" s="77" t="s">
        <v>44</v>
      </c>
      <c r="D9" s="598"/>
      <c r="E9" s="77" t="s">
        <v>43</v>
      </c>
      <c r="F9" s="77" t="s">
        <v>44</v>
      </c>
      <c r="G9" s="598"/>
      <c r="H9" s="77" t="s">
        <v>43</v>
      </c>
      <c r="I9" s="77" t="s">
        <v>44</v>
      </c>
    </row>
    <row r="10" spans="1:9" ht="5.0999999999999996" customHeight="1">
      <c r="A10" s="6"/>
    </row>
    <row r="11" spans="1:9" ht="14.1" customHeight="1">
      <c r="A11" s="285" t="s">
        <v>110</v>
      </c>
      <c r="B11" s="286">
        <v>117168</v>
      </c>
      <c r="C11" s="292">
        <f>B11/'- 3 -'!$D11*100</f>
        <v>0.65314404449504782</v>
      </c>
      <c r="D11" s="286">
        <f>B11/'- 7 -'!$E11</f>
        <v>69.909307875894982</v>
      </c>
      <c r="E11" s="286">
        <v>176780</v>
      </c>
      <c r="F11" s="292">
        <f>E11/'- 3 -'!$D11*100</f>
        <v>0.98544657402904001</v>
      </c>
      <c r="G11" s="286">
        <f>E11/'- 7 -'!$E11</f>
        <v>105.47732696897374</v>
      </c>
      <c r="H11" s="286">
        <v>222223</v>
      </c>
      <c r="I11" s="292">
        <f>H11/'- 3 -'!$D11*100</f>
        <v>1.2387650979774598</v>
      </c>
    </row>
    <row r="12" spans="1:9" ht="14.1" customHeight="1">
      <c r="A12" s="19" t="s">
        <v>111</v>
      </c>
      <c r="B12" s="20">
        <v>291328</v>
      </c>
      <c r="C12" s="70">
        <f>B12/'- 3 -'!$D12*100</f>
        <v>0.9020210140478826</v>
      </c>
      <c r="D12" s="20">
        <f>B12/'- 7 -'!$E12</f>
        <v>137.10198126970681</v>
      </c>
      <c r="E12" s="20">
        <v>622227</v>
      </c>
      <c r="F12" s="70">
        <f>E12/'- 3 -'!$D12*100</f>
        <v>1.9265632877992223</v>
      </c>
      <c r="G12" s="20">
        <f>E12/'- 7 -'!$E12</f>
        <v>292.82648595228011</v>
      </c>
      <c r="H12" s="20">
        <v>0</v>
      </c>
      <c r="I12" s="70">
        <f>H12/'- 3 -'!$D12*100</f>
        <v>0</v>
      </c>
    </row>
    <row r="13" spans="1:9" ht="14.1" customHeight="1">
      <c r="A13" s="285" t="s">
        <v>112</v>
      </c>
      <c r="B13" s="286">
        <v>207453</v>
      </c>
      <c r="C13" s="292">
        <f>B13/'- 3 -'!$D13*100</f>
        <v>0.22856629997134065</v>
      </c>
      <c r="D13" s="286">
        <f>B13/'- 7 -'!$E13</f>
        <v>25.145818181818182</v>
      </c>
      <c r="E13" s="286">
        <v>2204948</v>
      </c>
      <c r="F13" s="292">
        <f>E13/'- 3 -'!$D13*100</f>
        <v>2.4293541476344407</v>
      </c>
      <c r="G13" s="286">
        <f>E13/'- 7 -'!$E13</f>
        <v>267.26642424242425</v>
      </c>
      <c r="H13" s="286">
        <v>1016285</v>
      </c>
      <c r="I13" s="292">
        <f>H13/'- 3 -'!$D13*100</f>
        <v>1.1197162835262635</v>
      </c>
    </row>
    <row r="14" spans="1:9" ht="14.1" customHeight="1">
      <c r="A14" s="19" t="s">
        <v>359</v>
      </c>
      <c r="B14" s="20">
        <v>408710</v>
      </c>
      <c r="C14" s="70">
        <f>B14/'- 3 -'!$D14*100</f>
        <v>0.50324393545253476</v>
      </c>
      <c r="D14" s="20">
        <f>B14/'- 7 -'!$E14</f>
        <v>76.49447875725248</v>
      </c>
      <c r="E14" s="20">
        <v>833714</v>
      </c>
      <c r="F14" s="70">
        <f>E14/'- 3 -'!$D14*100</f>
        <v>1.0265506456946847</v>
      </c>
      <c r="G14" s="20">
        <f>E14/'- 7 -'!$E14</f>
        <v>156.03855511884709</v>
      </c>
      <c r="H14" s="20">
        <v>504594</v>
      </c>
      <c r="I14" s="70">
        <f>H14/'- 3 -'!$D14*100</f>
        <v>0.62130574335283295</v>
      </c>
    </row>
    <row r="15" spans="1:9" ht="14.1" customHeight="1">
      <c r="A15" s="285" t="s">
        <v>113</v>
      </c>
      <c r="B15" s="286">
        <v>224445</v>
      </c>
      <c r="C15" s="292">
        <f>B15/'- 3 -'!$D15*100</f>
        <v>1.131584448128919</v>
      </c>
      <c r="D15" s="286">
        <f>B15/'- 7 -'!$E15</f>
        <v>159.18085106382978</v>
      </c>
      <c r="E15" s="286">
        <v>257168</v>
      </c>
      <c r="F15" s="292">
        <f>E15/'- 3 -'!$D15*100</f>
        <v>1.2965640105879741</v>
      </c>
      <c r="G15" s="286">
        <f>E15/'- 7 -'!$E15</f>
        <v>182.38865248226949</v>
      </c>
      <c r="H15" s="286">
        <v>0</v>
      </c>
      <c r="I15" s="292">
        <f>H15/'- 3 -'!$D15*100</f>
        <v>0</v>
      </c>
    </row>
    <row r="16" spans="1:9" ht="14.1" customHeight="1">
      <c r="A16" s="19" t="s">
        <v>114</v>
      </c>
      <c r="B16" s="20">
        <v>182731</v>
      </c>
      <c r="C16" s="70">
        <f>B16/'- 3 -'!$D16*100</f>
        <v>1.303373896073744</v>
      </c>
      <c r="D16" s="20">
        <f>B16/'- 7 -'!$E16</f>
        <v>195.95817694369973</v>
      </c>
      <c r="E16" s="20">
        <v>166244</v>
      </c>
      <c r="F16" s="70">
        <f>E16/'- 3 -'!$D16*100</f>
        <v>1.1857763049448835</v>
      </c>
      <c r="G16" s="20">
        <f>E16/'- 7 -'!$E16</f>
        <v>178.27774798927615</v>
      </c>
      <c r="H16" s="20">
        <v>94119</v>
      </c>
      <c r="I16" s="70">
        <f>H16/'- 3 -'!$D16*100</f>
        <v>0.67132696545503889</v>
      </c>
    </row>
    <row r="17" spans="1:9" ht="14.1" customHeight="1">
      <c r="A17" s="285" t="s">
        <v>115</v>
      </c>
      <c r="B17" s="286">
        <v>119230</v>
      </c>
      <c r="C17" s="292">
        <f>B17/'- 3 -'!$D17*100</f>
        <v>0.68639517894172064</v>
      </c>
      <c r="D17" s="286">
        <f>B17/'- 7 -'!$E17</f>
        <v>88.844061698299996</v>
      </c>
      <c r="E17" s="286">
        <v>267047</v>
      </c>
      <c r="F17" s="292">
        <f>E17/'- 3 -'!$D17*100</f>
        <v>1.5373628562513599</v>
      </c>
      <c r="G17" s="286">
        <f>E17/'- 7 -'!$E17</f>
        <v>198.98968501506263</v>
      </c>
      <c r="H17" s="286">
        <v>192360</v>
      </c>
      <c r="I17" s="292">
        <f>H17/'- 3 -'!$D17*100</f>
        <v>1.107397270999156</v>
      </c>
    </row>
    <row r="18" spans="1:9" ht="14.1" customHeight="1">
      <c r="A18" s="19" t="s">
        <v>116</v>
      </c>
      <c r="B18" s="20">
        <v>0</v>
      </c>
      <c r="C18" s="70">
        <f>B18/'- 3 -'!$D18*100</f>
        <v>0</v>
      </c>
      <c r="D18" s="20">
        <f>B18/'- 7 -'!$E18</f>
        <v>0</v>
      </c>
      <c r="E18" s="20">
        <v>3541404</v>
      </c>
      <c r="F18" s="70">
        <f>E18/'- 3 -'!$D18*100</f>
        <v>2.7939571510303414</v>
      </c>
      <c r="G18" s="20">
        <f>E18/'- 7 -'!$E18</f>
        <v>572.76467734109656</v>
      </c>
      <c r="H18" s="20">
        <v>0</v>
      </c>
      <c r="I18" s="70">
        <f>H18/'- 3 -'!$D18*100</f>
        <v>0</v>
      </c>
    </row>
    <row r="19" spans="1:9" ht="14.1" customHeight="1">
      <c r="A19" s="285" t="s">
        <v>117</v>
      </c>
      <c r="B19" s="286">
        <v>165014</v>
      </c>
      <c r="C19" s="292">
        <f>B19/'- 3 -'!$D19*100</f>
        <v>0.36892356744488625</v>
      </c>
      <c r="D19" s="286">
        <f>B19/'- 7 -'!$E19</f>
        <v>38.967105107799846</v>
      </c>
      <c r="E19" s="286">
        <v>938623</v>
      </c>
      <c r="F19" s="292">
        <f>E19/'- 3 -'!$D19*100</f>
        <v>2.0984894957144333</v>
      </c>
      <c r="G19" s="286">
        <f>E19/'- 7 -'!$E19</f>
        <v>221.65041207169341</v>
      </c>
      <c r="H19" s="286">
        <v>1373900</v>
      </c>
      <c r="I19" s="292">
        <f>H19/'- 3 -'!$D19*100</f>
        <v>3.071642947341009</v>
      </c>
    </row>
    <row r="20" spans="1:9" ht="14.1" customHeight="1">
      <c r="A20" s="19" t="s">
        <v>118</v>
      </c>
      <c r="B20" s="20">
        <v>484850</v>
      </c>
      <c r="C20" s="70">
        <f>B20/'- 3 -'!$D20*100</f>
        <v>0.61927672744263917</v>
      </c>
      <c r="D20" s="20">
        <f>B20/'- 7 -'!$E20</f>
        <v>64.087397312783779</v>
      </c>
      <c r="E20" s="20">
        <v>1408975</v>
      </c>
      <c r="F20" s="70">
        <f>E20/'- 3 -'!$D20*100</f>
        <v>1.7996193194771426</v>
      </c>
      <c r="G20" s="20">
        <f>E20/'- 7 -'!$E20</f>
        <v>186.23809555280917</v>
      </c>
      <c r="H20" s="20">
        <v>833335</v>
      </c>
      <c r="I20" s="70">
        <f>H20/'- 3 -'!$D20*100</f>
        <v>1.0643806778661684</v>
      </c>
    </row>
    <row r="21" spans="1:9" ht="14.1" customHeight="1">
      <c r="A21" s="285" t="s">
        <v>119</v>
      </c>
      <c r="B21" s="286">
        <v>145096</v>
      </c>
      <c r="C21" s="292">
        <f>B21/'- 3 -'!$D21*100</f>
        <v>0.41310415015699248</v>
      </c>
      <c r="D21" s="286">
        <f>B21/'- 7 -'!$E21</f>
        <v>54.017348572279516</v>
      </c>
      <c r="E21" s="286">
        <v>578747</v>
      </c>
      <c r="F21" s="292">
        <f>E21/'- 3 -'!$D21*100</f>
        <v>1.6477558829389432</v>
      </c>
      <c r="G21" s="286">
        <f>E21/'- 7 -'!$E21</f>
        <v>215.45996053758239</v>
      </c>
      <c r="H21" s="286">
        <v>52303</v>
      </c>
      <c r="I21" s="292">
        <f>H21/'- 3 -'!$D21*100</f>
        <v>0.1489123502071813</v>
      </c>
    </row>
    <row r="22" spans="1:9" ht="14.1" customHeight="1">
      <c r="A22" s="19" t="s">
        <v>120</v>
      </c>
      <c r="B22" s="20">
        <v>139311</v>
      </c>
      <c r="C22" s="70">
        <f>B22/'- 3 -'!$D22*100</f>
        <v>0.69707620387763924</v>
      </c>
      <c r="D22" s="20">
        <f>B22/'- 7 -'!$E22</f>
        <v>90.940009138977729</v>
      </c>
      <c r="E22" s="20">
        <v>264646</v>
      </c>
      <c r="F22" s="70">
        <f>E22/'- 3 -'!$D22*100</f>
        <v>1.324220119383263</v>
      </c>
      <c r="G22" s="20">
        <f>E22/'- 7 -'!$E22</f>
        <v>172.75670735687706</v>
      </c>
      <c r="H22" s="20">
        <v>1544833</v>
      </c>
      <c r="I22" s="70">
        <f>H22/'- 3 -'!$D22*100</f>
        <v>7.7299446796369642</v>
      </c>
    </row>
    <row r="23" spans="1:9" ht="14.1" customHeight="1">
      <c r="A23" s="285" t="s">
        <v>121</v>
      </c>
      <c r="B23" s="286">
        <v>102720</v>
      </c>
      <c r="C23" s="292">
        <f>B23/'- 3 -'!$D23*100</f>
        <v>0.63652287975046717</v>
      </c>
      <c r="D23" s="286">
        <f>B23/'- 7 -'!$E23</f>
        <v>92.498874380909498</v>
      </c>
      <c r="E23" s="286">
        <v>332437</v>
      </c>
      <c r="F23" s="292">
        <f>E23/'- 3 -'!$D23*100</f>
        <v>2.0600054183762273</v>
      </c>
      <c r="G23" s="286">
        <f>E23/'- 7 -'!$E23</f>
        <v>299.3579468707789</v>
      </c>
      <c r="H23" s="286">
        <v>0</v>
      </c>
      <c r="I23" s="292">
        <f>H23/'- 3 -'!$D23*100</f>
        <v>0</v>
      </c>
    </row>
    <row r="24" spans="1:9" ht="14.1" customHeight="1">
      <c r="A24" s="19" t="s">
        <v>122</v>
      </c>
      <c r="B24" s="20">
        <v>200587</v>
      </c>
      <c r="C24" s="70">
        <f>B24/'- 3 -'!$D24*100</f>
        <v>0.3601109321271313</v>
      </c>
      <c r="D24" s="20">
        <f>B24/'- 7 -'!$E24</f>
        <v>50.253538769886006</v>
      </c>
      <c r="E24" s="20">
        <v>1540258</v>
      </c>
      <c r="F24" s="70">
        <f>E24/'- 3 -'!$D24*100</f>
        <v>2.7652028501162635</v>
      </c>
      <c r="G24" s="20">
        <f>E24/'- 7 -'!$E24</f>
        <v>385.88450457221597</v>
      </c>
      <c r="H24" s="20">
        <v>174875</v>
      </c>
      <c r="I24" s="70">
        <f>H24/'- 3 -'!$D24*100</f>
        <v>0.31395055141027128</v>
      </c>
    </row>
    <row r="25" spans="1:9" ht="14.1" customHeight="1">
      <c r="A25" s="285" t="s">
        <v>123</v>
      </c>
      <c r="B25" s="286">
        <v>1372786</v>
      </c>
      <c r="C25" s="292">
        <f>B25/'- 3 -'!$D25*100</f>
        <v>0.81694427791080526</v>
      </c>
      <c r="D25" s="286">
        <f>B25/'- 7 -'!$E25</f>
        <v>96.97144794654082</v>
      </c>
      <c r="E25" s="286">
        <v>3192258</v>
      </c>
      <c r="F25" s="292">
        <f>E25/'- 3 -'!$D25*100</f>
        <v>1.8997111761884165</v>
      </c>
      <c r="G25" s="286">
        <f>E25/'- 7 -'!$E25</f>
        <v>225.49609369481368</v>
      </c>
      <c r="H25" s="286">
        <v>8807823</v>
      </c>
      <c r="I25" s="292">
        <f>H25/'- 3 -'!$D25*100</f>
        <v>5.2415311641444351</v>
      </c>
    </row>
    <row r="26" spans="1:9" ht="14.1" customHeight="1">
      <c r="A26" s="19" t="s">
        <v>124</v>
      </c>
      <c r="B26" s="20">
        <v>113494</v>
      </c>
      <c r="C26" s="70">
        <f>B26/'- 3 -'!$D26*100</f>
        <v>0.28637577121792041</v>
      </c>
      <c r="D26" s="20">
        <f>B26/'- 7 -'!$E26</f>
        <v>36.89661898569571</v>
      </c>
      <c r="E26" s="20">
        <v>597929</v>
      </c>
      <c r="F26" s="70">
        <f>E26/'- 3 -'!$D26*100</f>
        <v>1.5087350741762551</v>
      </c>
      <c r="G26" s="20">
        <f>E26/'- 7 -'!$E26</f>
        <v>194.38524057217165</v>
      </c>
      <c r="H26" s="20">
        <v>313883</v>
      </c>
      <c r="I26" s="70">
        <f>H26/'- 3 -'!$D26*100</f>
        <v>0.79201090980311295</v>
      </c>
    </row>
    <row r="27" spans="1:9" ht="14.1" customHeight="1">
      <c r="A27" s="285" t="s">
        <v>125</v>
      </c>
      <c r="B27" s="286">
        <v>214739</v>
      </c>
      <c r="C27" s="292">
        <f>B27/'- 3 -'!$D27*100</f>
        <v>0.5111048482188375</v>
      </c>
      <c r="D27" s="286">
        <f>B27/'- 7 -'!$E27</f>
        <v>73.915138664674842</v>
      </c>
      <c r="E27" s="286">
        <v>624171</v>
      </c>
      <c r="F27" s="292">
        <f>E27/'- 3 -'!$D27*100</f>
        <v>1.4856026349084237</v>
      </c>
      <c r="G27" s="286">
        <f>E27/'- 7 -'!$E27</f>
        <v>214.84539843935551</v>
      </c>
      <c r="H27" s="286">
        <v>1875896</v>
      </c>
      <c r="I27" s="292">
        <f>H27/'- 3 -'!$D27*100</f>
        <v>4.4648598547740486</v>
      </c>
    </row>
    <row r="28" spans="1:9" ht="14.1" customHeight="1">
      <c r="A28" s="19" t="s">
        <v>126</v>
      </c>
      <c r="B28" s="20">
        <v>130352</v>
      </c>
      <c r="C28" s="70">
        <f>B28/'- 3 -'!$D28*100</f>
        <v>0.46880093996113342</v>
      </c>
      <c r="D28" s="20">
        <f>B28/'- 7 -'!$E28</f>
        <v>65.519979894445839</v>
      </c>
      <c r="E28" s="20">
        <v>317388</v>
      </c>
      <c r="F28" s="70">
        <f>E28/'- 3 -'!$D28*100</f>
        <v>1.1414615251962703</v>
      </c>
      <c r="G28" s="20">
        <f>E28/'- 7 -'!$E28</f>
        <v>159.53154058808747</v>
      </c>
      <c r="H28" s="20">
        <v>0</v>
      </c>
      <c r="I28" s="70">
        <f>H28/'- 3 -'!$D28*100</f>
        <v>0</v>
      </c>
    </row>
    <row r="29" spans="1:9" ht="14.1" customHeight="1">
      <c r="A29" s="285" t="s">
        <v>127</v>
      </c>
      <c r="B29" s="286">
        <v>592990</v>
      </c>
      <c r="C29" s="292">
        <f>B29/'- 3 -'!$D29*100</f>
        <v>0.39432044763480112</v>
      </c>
      <c r="D29" s="286">
        <f>B29/'- 7 -'!$E29</f>
        <v>46.71677184026219</v>
      </c>
      <c r="E29" s="286">
        <v>2716473</v>
      </c>
      <c r="F29" s="292">
        <f>E29/'- 3 -'!$D29*100</f>
        <v>1.8063725346934199</v>
      </c>
      <c r="G29" s="286">
        <f>E29/'- 7 -'!$E29</f>
        <v>214.00841388764152</v>
      </c>
      <c r="H29" s="286">
        <v>520567</v>
      </c>
      <c r="I29" s="292">
        <f>H29/'- 3 -'!$D29*100</f>
        <v>0.34616133908481683</v>
      </c>
    </row>
    <row r="30" spans="1:9" ht="14.1" customHeight="1">
      <c r="A30" s="19" t="s">
        <v>128</v>
      </c>
      <c r="B30" s="20">
        <v>156266</v>
      </c>
      <c r="C30" s="70">
        <f>B30/'- 3 -'!$D30*100</f>
        <v>1.1250817355688572</v>
      </c>
      <c r="D30" s="20">
        <f>B30/'- 7 -'!$E30</f>
        <v>155.64342629482073</v>
      </c>
      <c r="E30" s="20">
        <v>146359</v>
      </c>
      <c r="F30" s="70">
        <f>E30/'- 3 -'!$D30*100</f>
        <v>1.0537534571571703</v>
      </c>
      <c r="G30" s="20">
        <f>E30/'- 7 -'!$E30</f>
        <v>145.77589641434264</v>
      </c>
      <c r="H30" s="20">
        <v>0</v>
      </c>
      <c r="I30" s="70">
        <f>H30/'- 3 -'!$D30*100</f>
        <v>0</v>
      </c>
    </row>
    <row r="31" spans="1:9" ht="14.1" customHeight="1">
      <c r="A31" s="285" t="s">
        <v>129</v>
      </c>
      <c r="B31" s="286">
        <v>152961</v>
      </c>
      <c r="C31" s="292">
        <f>B31/'- 3 -'!$D31*100</f>
        <v>0.42735156160967558</v>
      </c>
      <c r="D31" s="286">
        <f>B31/'- 7 -'!$E31</f>
        <v>46.798531436438736</v>
      </c>
      <c r="E31" s="286">
        <v>483054</v>
      </c>
      <c r="F31" s="292">
        <f>E31/'- 3 -'!$D31*100</f>
        <v>1.3495850657474793</v>
      </c>
      <c r="G31" s="286">
        <f>E31/'- 7 -'!$E31</f>
        <v>147.79072969251951</v>
      </c>
      <c r="H31" s="286">
        <v>2058220</v>
      </c>
      <c r="I31" s="292">
        <f>H31/'- 3 -'!$D31*100</f>
        <v>5.7503777507748142</v>
      </c>
    </row>
    <row r="32" spans="1:9" ht="14.1" customHeight="1">
      <c r="A32" s="19" t="s">
        <v>130</v>
      </c>
      <c r="B32" s="20">
        <v>140896</v>
      </c>
      <c r="C32" s="70">
        <f>B32/'- 3 -'!$D32*100</f>
        <v>0.50464396661848354</v>
      </c>
      <c r="D32" s="20">
        <f>B32/'- 7 -'!$E32</f>
        <v>66.705804374585725</v>
      </c>
      <c r="E32" s="20">
        <v>373212</v>
      </c>
      <c r="F32" s="70">
        <f>E32/'- 3 -'!$D32*100</f>
        <v>1.3367248471895405</v>
      </c>
      <c r="G32" s="20">
        <f>E32/'- 7 -'!$E32</f>
        <v>176.69349493419182</v>
      </c>
      <c r="H32" s="20">
        <v>0</v>
      </c>
      <c r="I32" s="70">
        <f>H32/'- 3 -'!$D32*100</f>
        <v>0</v>
      </c>
    </row>
    <row r="33" spans="1:9" ht="14.1" customHeight="1">
      <c r="A33" s="285" t="s">
        <v>131</v>
      </c>
      <c r="B33" s="286">
        <v>201148</v>
      </c>
      <c r="C33" s="292">
        <f>B33/'- 3 -'!$D33*100</f>
        <v>0.76013912479322232</v>
      </c>
      <c r="D33" s="286">
        <f>B33/'- 7 -'!$E33</f>
        <v>98.887960277272498</v>
      </c>
      <c r="E33" s="286">
        <v>258967</v>
      </c>
      <c r="F33" s="292">
        <f>E33/'- 3 -'!$D33*100</f>
        <v>0.97863736517552458</v>
      </c>
      <c r="G33" s="286">
        <f>E33/'- 7 -'!$E33</f>
        <v>127.31281647903249</v>
      </c>
      <c r="H33" s="286">
        <v>0</v>
      </c>
      <c r="I33" s="292">
        <f>H33/'- 3 -'!$D33*100</f>
        <v>0</v>
      </c>
    </row>
    <row r="34" spans="1:9" ht="14.1" customHeight="1">
      <c r="A34" s="19" t="s">
        <v>132</v>
      </c>
      <c r="B34" s="20">
        <v>222537</v>
      </c>
      <c r="C34" s="70">
        <f>B34/'- 3 -'!$D34*100</f>
        <v>0.79776599566761408</v>
      </c>
      <c r="D34" s="20">
        <f>B34/'- 7 -'!$E34</f>
        <v>112.30394234845274</v>
      </c>
      <c r="E34" s="20">
        <v>368387</v>
      </c>
      <c r="F34" s="70">
        <f>E34/'- 3 -'!$D34*100</f>
        <v>1.3206191412933821</v>
      </c>
      <c r="G34" s="20">
        <f>E34/'- 7 -'!$E34</f>
        <v>185.90756777488443</v>
      </c>
      <c r="H34" s="20">
        <v>539719</v>
      </c>
      <c r="I34" s="70">
        <f>H34/'- 3 -'!$D34*100</f>
        <v>1.9348219191223437</v>
      </c>
    </row>
    <row r="35" spans="1:9" ht="14.1" customHeight="1">
      <c r="A35" s="285" t="s">
        <v>133</v>
      </c>
      <c r="B35" s="286">
        <v>951850</v>
      </c>
      <c r="C35" s="292">
        <f>B35/'- 3 -'!$D35*100</f>
        <v>0.52722498776473559</v>
      </c>
      <c r="D35" s="286">
        <f>B35/'- 7 -'!$E35</f>
        <v>61.694267103088443</v>
      </c>
      <c r="E35" s="286">
        <v>3097197</v>
      </c>
      <c r="F35" s="292">
        <f>E35/'- 3 -'!$D35*100</f>
        <v>1.7155220364868162</v>
      </c>
      <c r="G35" s="286">
        <f>E35/'- 7 -'!$E35</f>
        <v>200.74517937583045</v>
      </c>
      <c r="H35" s="286">
        <v>3243499</v>
      </c>
      <c r="I35" s="292">
        <f>H35/'- 3 -'!$D35*100</f>
        <v>1.7965579876975704</v>
      </c>
    </row>
    <row r="36" spans="1:9" ht="14.1" customHeight="1">
      <c r="A36" s="19" t="s">
        <v>134</v>
      </c>
      <c r="B36" s="20">
        <v>171583</v>
      </c>
      <c r="C36" s="70">
        <f>B36/'- 3 -'!$D36*100</f>
        <v>0.76468348905275652</v>
      </c>
      <c r="D36" s="20">
        <f>B36/'- 7 -'!$E36</f>
        <v>104.84754048273754</v>
      </c>
      <c r="E36" s="20">
        <v>286413</v>
      </c>
      <c r="F36" s="70">
        <f>E36/'- 3 -'!$D36*100</f>
        <v>1.276439345098682</v>
      </c>
      <c r="G36" s="20">
        <f>E36/'- 7 -'!$E36</f>
        <v>175.01558203483043</v>
      </c>
      <c r="H36" s="20">
        <v>3727</v>
      </c>
      <c r="I36" s="70">
        <f>H36/'- 3 -'!$D36*100</f>
        <v>1.6609893542481619E-2</v>
      </c>
    </row>
    <row r="37" spans="1:9" ht="14.1" customHeight="1">
      <c r="A37" s="285" t="s">
        <v>135</v>
      </c>
      <c r="B37" s="286">
        <v>329908</v>
      </c>
      <c r="C37" s="292">
        <f>B37/'- 3 -'!$D37*100</f>
        <v>0.69074354488696144</v>
      </c>
      <c r="D37" s="286">
        <f>B37/'- 7 -'!$E37</f>
        <v>80.396734494943345</v>
      </c>
      <c r="E37" s="286">
        <v>658647</v>
      </c>
      <c r="F37" s="292">
        <f>E37/'- 3 -'!$D37*100</f>
        <v>1.3790395007370613</v>
      </c>
      <c r="G37" s="286">
        <f>E37/'- 7 -'!$E37</f>
        <v>160.50859022785428</v>
      </c>
      <c r="H37" s="286">
        <v>0</v>
      </c>
      <c r="I37" s="292">
        <f>H37/'- 3 -'!$D37*100</f>
        <v>0</v>
      </c>
    </row>
    <row r="38" spans="1:9" ht="14.1" customHeight="1">
      <c r="A38" s="19" t="s">
        <v>136</v>
      </c>
      <c r="B38" s="20">
        <v>443522</v>
      </c>
      <c r="C38" s="70">
        <f>B38/'- 3 -'!$D38*100</f>
        <v>0.34939261992243775</v>
      </c>
      <c r="D38" s="20">
        <f>B38/'- 7 -'!$E38</f>
        <v>41.06951376478105</v>
      </c>
      <c r="E38" s="20">
        <v>1939017</v>
      </c>
      <c r="F38" s="70">
        <f>E38/'- 3 -'!$D38*100</f>
        <v>1.5274963354786131</v>
      </c>
      <c r="G38" s="20">
        <f>E38/'- 7 -'!$E38</f>
        <v>179.55024862722581</v>
      </c>
      <c r="H38" s="20">
        <v>1090809</v>
      </c>
      <c r="I38" s="70">
        <f>H38/'- 3 -'!$D38*100</f>
        <v>0.85930486953290797</v>
      </c>
    </row>
    <row r="39" spans="1:9" ht="14.1" customHeight="1">
      <c r="A39" s="285" t="s">
        <v>137</v>
      </c>
      <c r="B39" s="286">
        <v>217786</v>
      </c>
      <c r="C39" s="292">
        <f>B39/'- 3 -'!$D39*100</f>
        <v>1.0533030767325968</v>
      </c>
      <c r="D39" s="286">
        <f>B39/'- 7 -'!$E39</f>
        <v>137.41308599911665</v>
      </c>
      <c r="E39" s="286">
        <v>329590</v>
      </c>
      <c r="F39" s="292">
        <f>E39/'- 3 -'!$D39*100</f>
        <v>1.5940334138112484</v>
      </c>
      <c r="G39" s="286">
        <f>E39/'- 7 -'!$E39</f>
        <v>207.95633793930216</v>
      </c>
      <c r="H39" s="286">
        <v>0</v>
      </c>
      <c r="I39" s="292">
        <f>H39/'- 3 -'!$D39*100</f>
        <v>0</v>
      </c>
    </row>
    <row r="40" spans="1:9" ht="14.1" customHeight="1">
      <c r="A40" s="19" t="s">
        <v>138</v>
      </c>
      <c r="B40" s="20">
        <v>247619</v>
      </c>
      <c r="C40" s="70">
        <f>B40/'- 3 -'!$D40*100</f>
        <v>0.2431253052579059</v>
      </c>
      <c r="D40" s="20">
        <f>B40/'- 7 -'!$E40</f>
        <v>31.112213999422028</v>
      </c>
      <c r="E40" s="20">
        <v>2439192</v>
      </c>
      <c r="F40" s="70">
        <f>E40/'- 3 -'!$D40*100</f>
        <v>2.3949264781080695</v>
      </c>
      <c r="G40" s="20">
        <f>E40/'- 7 -'!$E40</f>
        <v>306.47350764552891</v>
      </c>
      <c r="H40" s="20">
        <v>113731</v>
      </c>
      <c r="I40" s="70">
        <f>H40/'- 3 -'!$D40*100</f>
        <v>0.11166705338559196</v>
      </c>
    </row>
    <row r="41" spans="1:9" ht="14.1" customHeight="1">
      <c r="A41" s="285" t="s">
        <v>139</v>
      </c>
      <c r="B41" s="286">
        <v>347792</v>
      </c>
      <c r="C41" s="292">
        <f>B41/'- 3 -'!$D41*100</f>
        <v>0.56268928304650023</v>
      </c>
      <c r="D41" s="286">
        <f>B41/'- 7 -'!$E41</f>
        <v>79.295941632466935</v>
      </c>
      <c r="E41" s="286">
        <v>1322037</v>
      </c>
      <c r="F41" s="292">
        <f>E41/'- 3 -'!$D41*100</f>
        <v>2.1389107618661329</v>
      </c>
      <c r="G41" s="286">
        <f>E41/'- 7 -'!$E41</f>
        <v>301.422024623803</v>
      </c>
      <c r="H41" s="286">
        <v>626762</v>
      </c>
      <c r="I41" s="292">
        <f>H41/'- 3 -'!$D41*100</f>
        <v>1.0140321238579111</v>
      </c>
    </row>
    <row r="42" spans="1:9" ht="14.1" customHeight="1">
      <c r="A42" s="19" t="s">
        <v>140</v>
      </c>
      <c r="B42" s="20">
        <v>160272</v>
      </c>
      <c r="C42" s="70">
        <f>B42/'- 3 -'!$D42*100</f>
        <v>0.80036310773116548</v>
      </c>
      <c r="D42" s="20">
        <f>B42/'- 7 -'!$E42</f>
        <v>115.78673602080626</v>
      </c>
      <c r="E42" s="20">
        <v>317467</v>
      </c>
      <c r="F42" s="70">
        <f>E42/'- 3 -'!$D42*100</f>
        <v>1.5853603544105639</v>
      </c>
      <c r="G42" s="20">
        <f>E42/'- 7 -'!$E42</f>
        <v>229.35052738043638</v>
      </c>
      <c r="H42" s="20">
        <v>0</v>
      </c>
      <c r="I42" s="70">
        <f>H42/'- 3 -'!$D42*100</f>
        <v>0</v>
      </c>
    </row>
    <row r="43" spans="1:9" ht="14.1" customHeight="1">
      <c r="A43" s="285" t="s">
        <v>141</v>
      </c>
      <c r="B43" s="286">
        <v>173854</v>
      </c>
      <c r="C43" s="292">
        <f>B43/'- 3 -'!$D43*100</f>
        <v>1.367001446542824</v>
      </c>
      <c r="D43" s="286">
        <f>B43/'- 7 -'!$E43</f>
        <v>183.64212527727898</v>
      </c>
      <c r="E43" s="286">
        <v>225774</v>
      </c>
      <c r="F43" s="292">
        <f>E43/'- 3 -'!$D43*100</f>
        <v>1.7752446569636566</v>
      </c>
      <c r="G43" s="286">
        <f>E43/'- 7 -'!$E43</f>
        <v>238.48526460335904</v>
      </c>
      <c r="H43" s="286">
        <v>0</v>
      </c>
      <c r="I43" s="292">
        <f>H43/'- 3 -'!$D43*100</f>
        <v>0</v>
      </c>
    </row>
    <row r="44" spans="1:9" ht="14.1" customHeight="1">
      <c r="A44" s="19" t="s">
        <v>142</v>
      </c>
      <c r="B44" s="20">
        <v>84558</v>
      </c>
      <c r="C44" s="70">
        <f>B44/'- 3 -'!$D44*100</f>
        <v>0.77822300868536187</v>
      </c>
      <c r="D44" s="20">
        <f>B44/'- 7 -'!$E44</f>
        <v>124.16740088105728</v>
      </c>
      <c r="E44" s="20">
        <v>164635</v>
      </c>
      <c r="F44" s="70">
        <f>E44/'- 3 -'!$D44*100</f>
        <v>1.5152054806749753</v>
      </c>
      <c r="G44" s="20">
        <f>E44/'- 7 -'!$E44</f>
        <v>241.7547723935389</v>
      </c>
      <c r="H44" s="20">
        <v>0</v>
      </c>
      <c r="I44" s="70">
        <f>H44/'- 3 -'!$D44*100</f>
        <v>0</v>
      </c>
    </row>
    <row r="45" spans="1:9" ht="14.1" customHeight="1">
      <c r="A45" s="285" t="s">
        <v>143</v>
      </c>
      <c r="B45" s="286">
        <v>136657</v>
      </c>
      <c r="C45" s="292">
        <f>B45/'- 3 -'!$D45*100</f>
        <v>0.7454223240722968</v>
      </c>
      <c r="D45" s="286">
        <f>B45/'- 7 -'!$E45</f>
        <v>82.323493975903617</v>
      </c>
      <c r="E45" s="286">
        <v>261508</v>
      </c>
      <c r="F45" s="292">
        <f>E45/'- 3 -'!$D45*100</f>
        <v>1.4264465129740751</v>
      </c>
      <c r="G45" s="286">
        <f>E45/'- 7 -'!$E45</f>
        <v>157.53493975903615</v>
      </c>
      <c r="H45" s="286">
        <v>185747</v>
      </c>
      <c r="I45" s="292">
        <f>H45/'- 3 -'!$D45*100</f>
        <v>1.0131933265727837</v>
      </c>
    </row>
    <row r="46" spans="1:9" ht="14.1" customHeight="1">
      <c r="A46" s="19" t="s">
        <v>144</v>
      </c>
      <c r="B46" s="20">
        <v>692053</v>
      </c>
      <c r="C46" s="70">
        <f>B46/'- 3 -'!$D46*100</f>
        <v>0.18137661932608473</v>
      </c>
      <c r="D46" s="20">
        <f>B46/'- 7 -'!$E46</f>
        <v>23.196011396011396</v>
      </c>
      <c r="E46" s="20">
        <v>12121260</v>
      </c>
      <c r="F46" s="70">
        <f>E46/'- 3 -'!$D46*100</f>
        <v>3.176798830107662</v>
      </c>
      <c r="G46" s="20">
        <f>E46/'- 7 -'!$E46</f>
        <v>406.27652086475615</v>
      </c>
      <c r="H46" s="20">
        <v>31517099</v>
      </c>
      <c r="I46" s="70">
        <f>H46/'- 3 -'!$D46*100</f>
        <v>8.2601547389947374</v>
      </c>
    </row>
    <row r="47" spans="1:9" ht="5.0999999999999996" customHeight="1">
      <c r="A47" s="21"/>
      <c r="B47" s="22"/>
      <c r="C47"/>
      <c r="D47" s="22"/>
      <c r="E47" s="22"/>
      <c r="F47"/>
      <c r="G47" s="22"/>
      <c r="H47"/>
      <c r="I47"/>
    </row>
    <row r="48" spans="1:9" ht="14.1" customHeight="1">
      <c r="A48" s="287" t="s">
        <v>145</v>
      </c>
      <c r="B48" s="288">
        <f>SUM(B11:B46)</f>
        <v>10044266</v>
      </c>
      <c r="C48" s="295">
        <f>B48/'- 3 -'!$D48*100</f>
        <v>0.45336274169542623</v>
      </c>
      <c r="D48" s="288">
        <f>B48/'- 7 -'!$E48</f>
        <v>57.723333089555545</v>
      </c>
      <c r="E48" s="288">
        <f>SUM(E11:E46)</f>
        <v>45374153</v>
      </c>
      <c r="F48" s="295">
        <f>E48/'- 3 -'!$D48*100</f>
        <v>2.0480292344097366</v>
      </c>
      <c r="G48" s="288">
        <f>E48/'- 7 -'!$E48</f>
        <v>260.76045250847159</v>
      </c>
      <c r="H48" s="288">
        <f>SUM(H11:H46)</f>
        <v>56906309</v>
      </c>
      <c r="I48" s="295">
        <f>H48/'- 3 -'!$D48*100</f>
        <v>2.5685500830032884</v>
      </c>
    </row>
    <row r="49" spans="1:9" ht="5.0999999999999996" customHeight="1">
      <c r="A49" s="21" t="s">
        <v>7</v>
      </c>
      <c r="B49" s="22"/>
      <c r="C49"/>
      <c r="D49" s="22"/>
      <c r="E49" s="22"/>
      <c r="F49"/>
      <c r="H49"/>
      <c r="I49"/>
    </row>
    <row r="50" spans="1:9" ht="14.1" customHeight="1">
      <c r="A50" s="19" t="s">
        <v>146</v>
      </c>
      <c r="B50" s="20">
        <v>78000</v>
      </c>
      <c r="C50" s="70">
        <f>B50/'- 3 -'!$D50*100</f>
        <v>2.3220692137384331</v>
      </c>
      <c r="D50" s="20">
        <f>B50/'- 7 -'!$E50</f>
        <v>456.14035087719299</v>
      </c>
      <c r="E50" s="20">
        <v>41292</v>
      </c>
      <c r="F50" s="70">
        <f>E50/'- 3 -'!$D50*100</f>
        <v>1.2292677176113769</v>
      </c>
      <c r="G50" s="20">
        <f>E50/'- 7 -'!$E50</f>
        <v>241.47368421052633</v>
      </c>
      <c r="H50" s="20">
        <v>173</v>
      </c>
      <c r="I50" s="70">
        <f>H50/'- 3 -'!$D50*100</f>
        <v>5.1502304355993452E-3</v>
      </c>
    </row>
    <row r="51" spans="1:9" ht="14.1" customHeight="1">
      <c r="A51" s="285" t="s">
        <v>612</v>
      </c>
      <c r="B51" s="286">
        <v>0</v>
      </c>
      <c r="C51" s="292">
        <f>B51/'- 3 -'!$D51*100</f>
        <v>0</v>
      </c>
      <c r="D51" s="286">
        <f>B51/'- 7 -'!$E51</f>
        <v>0</v>
      </c>
      <c r="E51" s="286">
        <v>0</v>
      </c>
      <c r="F51" s="292">
        <f>E51/'- 3 -'!$D51*100</f>
        <v>0</v>
      </c>
      <c r="G51" s="286">
        <f>E51/'- 7 -'!$E51</f>
        <v>0</v>
      </c>
      <c r="H51" s="286">
        <v>0</v>
      </c>
      <c r="I51" s="292">
        <f>H51/'- 3 -'!$D51*100</f>
        <v>0</v>
      </c>
    </row>
    <row r="52" spans="1:9" ht="50.1" customHeight="1">
      <c r="A52" s="23"/>
      <c r="B52" s="23"/>
      <c r="C52" s="23"/>
      <c r="D52" s="23"/>
      <c r="E52" s="23"/>
      <c r="F52" s="23"/>
      <c r="G52" s="23"/>
      <c r="H52" s="23"/>
      <c r="I52" s="23"/>
    </row>
    <row r="53" spans="1:9" ht="15" customHeight="1">
      <c r="A53" s="666" t="s">
        <v>616</v>
      </c>
      <c r="B53" s="666"/>
      <c r="C53" s="666"/>
      <c r="D53" s="666"/>
      <c r="E53" s="666"/>
      <c r="F53" s="666"/>
      <c r="G53" s="666"/>
      <c r="H53" s="666"/>
      <c r="I53" s="666"/>
    </row>
    <row r="54" spans="1:9">
      <c r="A54" s="667"/>
      <c r="B54" s="667"/>
      <c r="C54" s="667"/>
      <c r="D54" s="667"/>
      <c r="E54" s="667"/>
      <c r="F54" s="667"/>
      <c r="G54" s="667"/>
      <c r="H54" s="667"/>
      <c r="I54" s="667"/>
    </row>
    <row r="55" spans="1:9">
      <c r="A55" s="667"/>
      <c r="B55" s="667"/>
      <c r="C55" s="667"/>
      <c r="D55" s="667"/>
      <c r="E55" s="667"/>
      <c r="F55" s="667"/>
      <c r="G55" s="667"/>
      <c r="H55" s="667"/>
      <c r="I55" s="667"/>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J54"/>
  <sheetViews>
    <sheetView showGridLines="0" showZeros="0" workbookViewId="0"/>
  </sheetViews>
  <sheetFormatPr defaultColWidth="15.83203125" defaultRowHeight="12"/>
  <cols>
    <col min="1" max="1" width="32.83203125" style="2" customWidth="1"/>
    <col min="2" max="2" width="15.5" style="2" customWidth="1"/>
    <col min="3" max="4" width="8" style="2" customWidth="1"/>
    <col min="5" max="5" width="17.33203125" style="2" customWidth="1"/>
    <col min="6" max="6" width="7.83203125" style="2" customWidth="1"/>
    <col min="7" max="7" width="10" style="2" customWidth="1"/>
    <col min="8" max="8" width="17.1640625" style="2" customWidth="1"/>
    <col min="9" max="9" width="8.5" style="2" customWidth="1"/>
    <col min="10" max="10" width="10" style="2" customWidth="1"/>
    <col min="11" max="16384" width="15.83203125" style="2"/>
  </cols>
  <sheetData>
    <row r="1" spans="1:10" ht="6.95" customHeight="1">
      <c r="A1" s="7"/>
      <c r="B1" s="7"/>
      <c r="C1" s="8"/>
      <c r="D1" s="8"/>
      <c r="E1" s="8"/>
      <c r="F1" s="8"/>
      <c r="G1" s="8"/>
      <c r="H1" s="8"/>
      <c r="I1" s="8"/>
      <c r="J1" s="8"/>
    </row>
    <row r="2" spans="1:10" ht="15.95" customHeight="1">
      <c r="A2" s="134"/>
      <c r="B2" s="134"/>
      <c r="C2" s="9" t="s">
        <v>263</v>
      </c>
      <c r="D2" s="9"/>
      <c r="E2" s="10"/>
      <c r="F2" s="10"/>
      <c r="G2" s="10"/>
      <c r="H2" s="73"/>
      <c r="I2" s="73"/>
      <c r="J2" s="396" t="s">
        <v>406</v>
      </c>
    </row>
    <row r="3" spans="1:10" ht="15.95" customHeight="1">
      <c r="A3" s="543"/>
      <c r="B3" s="136"/>
      <c r="C3" s="11" t="str">
        <f>OPYEAR</f>
        <v>OPERATING FUND 2015/2016 ACTUAL</v>
      </c>
      <c r="D3" s="11"/>
      <c r="E3" s="12"/>
      <c r="F3" s="12"/>
      <c r="G3" s="12"/>
      <c r="H3" s="75"/>
      <c r="I3" s="75"/>
      <c r="J3" s="66"/>
    </row>
    <row r="4" spans="1:10" ht="15.95" customHeight="1">
      <c r="C4" s="8"/>
      <c r="D4" s="8"/>
      <c r="E4" s="8"/>
      <c r="F4" s="8"/>
      <c r="G4" s="8"/>
      <c r="H4" s="8"/>
      <c r="I4" s="8"/>
      <c r="J4" s="8"/>
    </row>
    <row r="5" spans="1:10" ht="15.95" customHeight="1">
      <c r="B5" s="489" t="s">
        <v>248</v>
      </c>
      <c r="C5" s="272"/>
      <c r="D5" s="272"/>
      <c r="E5" s="436"/>
      <c r="F5" s="436"/>
      <c r="G5" s="436"/>
      <c r="H5" s="436"/>
      <c r="I5" s="436"/>
      <c r="J5" s="437"/>
    </row>
    <row r="6" spans="1:10" ht="15.95" customHeight="1">
      <c r="B6" s="670" t="s">
        <v>487</v>
      </c>
      <c r="C6" s="674"/>
      <c r="D6" s="671"/>
      <c r="E6" s="670" t="s">
        <v>488</v>
      </c>
      <c r="F6" s="674"/>
      <c r="G6" s="676"/>
      <c r="H6" s="678" t="s">
        <v>489</v>
      </c>
      <c r="I6" s="679"/>
      <c r="J6" s="680"/>
    </row>
    <row r="7" spans="1:10" ht="15.95" customHeight="1">
      <c r="B7" s="672"/>
      <c r="C7" s="675"/>
      <c r="D7" s="673"/>
      <c r="E7" s="677"/>
      <c r="F7" s="652"/>
      <c r="G7" s="646"/>
      <c r="H7" s="681"/>
      <c r="I7" s="682"/>
      <c r="J7" s="683"/>
    </row>
    <row r="8" spans="1:10" ht="15.95" customHeight="1">
      <c r="A8" s="67"/>
      <c r="B8" s="137"/>
      <c r="C8" s="139"/>
      <c r="D8" s="602" t="s">
        <v>480</v>
      </c>
      <c r="E8" s="137"/>
      <c r="F8" s="139"/>
      <c r="G8" s="596" t="s">
        <v>480</v>
      </c>
      <c r="H8" s="137"/>
      <c r="I8" s="139"/>
      <c r="J8" s="596" t="s">
        <v>480</v>
      </c>
    </row>
    <row r="9" spans="1:10" ht="15.95" customHeight="1">
      <c r="A9" s="35" t="s">
        <v>42</v>
      </c>
      <c r="B9" s="77" t="s">
        <v>43</v>
      </c>
      <c r="C9" s="77" t="s">
        <v>44</v>
      </c>
      <c r="D9" s="598"/>
      <c r="E9" s="77" t="s">
        <v>43</v>
      </c>
      <c r="F9" s="77" t="s">
        <v>44</v>
      </c>
      <c r="G9" s="598"/>
      <c r="H9" s="77" t="s">
        <v>43</v>
      </c>
      <c r="I9" s="77" t="s">
        <v>44</v>
      </c>
      <c r="J9" s="598"/>
    </row>
    <row r="10" spans="1:10" ht="5.0999999999999996" customHeight="1">
      <c r="A10" s="6"/>
    </row>
    <row r="11" spans="1:10" ht="14.1" customHeight="1">
      <c r="A11" s="285" t="s">
        <v>110</v>
      </c>
      <c r="B11" s="286">
        <v>667066</v>
      </c>
      <c r="C11" s="292">
        <f>B11/'- 3 -'!$D11*100</f>
        <v>3.7185083400342553</v>
      </c>
      <c r="D11" s="286">
        <f>B11/'- 7 -'!$E11</f>
        <v>398.01073985680193</v>
      </c>
      <c r="E11" s="286">
        <v>813386</v>
      </c>
      <c r="F11" s="292">
        <f>E11/'- 3 -'!$D11*100</f>
        <v>4.5341579763728062</v>
      </c>
      <c r="G11" s="286">
        <f>E11/'- 7 -'!$E11</f>
        <v>485.31384248210026</v>
      </c>
      <c r="H11" s="286">
        <v>266363</v>
      </c>
      <c r="I11" s="292">
        <f>H11/'- 3 -'!$D11*100</f>
        <v>1.4848201481960468</v>
      </c>
      <c r="J11" s="286">
        <f>H11/'- 7 -'!$E11</f>
        <v>158.92780429594271</v>
      </c>
    </row>
    <row r="12" spans="1:10" ht="14.1" customHeight="1">
      <c r="A12" s="19" t="s">
        <v>111</v>
      </c>
      <c r="B12" s="20">
        <v>2105791</v>
      </c>
      <c r="C12" s="70">
        <f>B12/'- 3 -'!$D12*100</f>
        <v>6.5200314875085974</v>
      </c>
      <c r="D12" s="20">
        <f>B12/'- 7 -'!$E12</f>
        <v>991.00710621676308</v>
      </c>
      <c r="E12" s="20">
        <v>1240043</v>
      </c>
      <c r="F12" s="70">
        <f>E12/'- 3 -'!$D12*100</f>
        <v>3.8394690669038964</v>
      </c>
      <c r="G12" s="20">
        <f>E12/'- 7 -'!$E12</f>
        <v>583.57710951103581</v>
      </c>
      <c r="H12" s="20">
        <v>420067</v>
      </c>
      <c r="I12" s="70">
        <f>H12/'- 3 -'!$D12*100</f>
        <v>1.3006276818845146</v>
      </c>
      <c r="J12" s="20">
        <f>H12/'- 7 -'!$E12</f>
        <v>197.68789119487974</v>
      </c>
    </row>
    <row r="13" spans="1:10" ht="14.1" customHeight="1">
      <c r="A13" s="285" t="s">
        <v>112</v>
      </c>
      <c r="B13" s="286">
        <v>9403206</v>
      </c>
      <c r="C13" s="292">
        <f>B13/'- 3 -'!$D13*100</f>
        <v>10.360206906086248</v>
      </c>
      <c r="D13" s="286">
        <f>B13/'- 7 -'!$E13</f>
        <v>1139.7825454545455</v>
      </c>
      <c r="E13" s="286">
        <v>4447567</v>
      </c>
      <c r="F13" s="292">
        <f>E13/'- 3 -'!$D13*100</f>
        <v>4.9002132196913788</v>
      </c>
      <c r="G13" s="286">
        <f>E13/'- 7 -'!$E13</f>
        <v>539.0990303030303</v>
      </c>
      <c r="H13" s="286">
        <v>1985304</v>
      </c>
      <c r="I13" s="292">
        <f>H13/'- 3 -'!$D13*100</f>
        <v>2.1873561221014035</v>
      </c>
      <c r="J13" s="286">
        <f>H13/'- 7 -'!$E13</f>
        <v>240.64290909090909</v>
      </c>
    </row>
    <row r="14" spans="1:10" ht="14.1" customHeight="1">
      <c r="A14" s="19" t="s">
        <v>359</v>
      </c>
      <c r="B14" s="20">
        <v>3437266</v>
      </c>
      <c r="C14" s="70">
        <f>B14/'- 3 -'!$D14*100</f>
        <v>4.2322998435007522</v>
      </c>
      <c r="D14" s="20">
        <f>B14/'- 7 -'!$E14</f>
        <v>643.32135504398275</v>
      </c>
      <c r="E14" s="20">
        <v>2816885</v>
      </c>
      <c r="F14" s="70">
        <f>E14/'- 3 -'!$D14*100</f>
        <v>3.4684257618292031</v>
      </c>
      <c r="G14" s="20">
        <f>E14/'- 7 -'!$E14</f>
        <v>527.21036870671912</v>
      </c>
      <c r="H14" s="20">
        <v>1301990</v>
      </c>
      <c r="I14" s="70">
        <f>H14/'- 3 -'!$D14*100</f>
        <v>1.6031380967430349</v>
      </c>
      <c r="J14" s="20">
        <f>H14/'- 7 -'!$E14</f>
        <v>243.68145236758374</v>
      </c>
    </row>
    <row r="15" spans="1:10" ht="14.1" customHeight="1">
      <c r="A15" s="285" t="s">
        <v>113</v>
      </c>
      <c r="B15" s="286">
        <v>1168341</v>
      </c>
      <c r="C15" s="292">
        <f>B15/'- 3 -'!$D15*100</f>
        <v>5.8904252966712978</v>
      </c>
      <c r="D15" s="286">
        <f>B15/'- 7 -'!$E15</f>
        <v>828.61063829787236</v>
      </c>
      <c r="E15" s="286">
        <v>978594</v>
      </c>
      <c r="F15" s="292">
        <f>E15/'- 3 -'!$D15*100</f>
        <v>4.9337777693077216</v>
      </c>
      <c r="G15" s="286">
        <f>E15/'- 7 -'!$E15</f>
        <v>694.03829787234042</v>
      </c>
      <c r="H15" s="286">
        <v>551547</v>
      </c>
      <c r="I15" s="292">
        <f>H15/'- 3 -'!$D15*100</f>
        <v>2.7807347350672145</v>
      </c>
      <c r="J15" s="286">
        <f>H15/'- 7 -'!$E15</f>
        <v>391.16808510638299</v>
      </c>
    </row>
    <row r="16" spans="1:10" ht="14.1" customHeight="1">
      <c r="A16" s="19" t="s">
        <v>114</v>
      </c>
      <c r="B16" s="20">
        <v>724678</v>
      </c>
      <c r="C16" s="70">
        <f>B16/'- 3 -'!$D16*100</f>
        <v>5.168944449813818</v>
      </c>
      <c r="D16" s="20">
        <f>B16/'- 7 -'!$E16</f>
        <v>777.13458445040214</v>
      </c>
      <c r="E16" s="20">
        <v>908035</v>
      </c>
      <c r="F16" s="70">
        <f>E16/'- 3 -'!$D16*100</f>
        <v>6.4767834451807422</v>
      </c>
      <c r="G16" s="20">
        <f>E16/'- 7 -'!$E16</f>
        <v>973.76407506702412</v>
      </c>
      <c r="H16" s="20">
        <v>298251</v>
      </c>
      <c r="I16" s="70">
        <f>H16/'- 3 -'!$D16*100</f>
        <v>2.1273487688344628</v>
      </c>
      <c r="J16" s="20">
        <f>H16/'- 7 -'!$E16</f>
        <v>319.84021447721182</v>
      </c>
    </row>
    <row r="17" spans="1:10" ht="14.1" customHeight="1">
      <c r="A17" s="285" t="s">
        <v>115</v>
      </c>
      <c r="B17" s="286">
        <v>534890</v>
      </c>
      <c r="C17" s="292">
        <f>B17/'- 3 -'!$D17*100</f>
        <v>3.0793082048489215</v>
      </c>
      <c r="D17" s="286">
        <f>B17/'- 7 -'!$E17</f>
        <v>398.57250827647141</v>
      </c>
      <c r="E17" s="286">
        <v>1060080</v>
      </c>
      <c r="F17" s="292">
        <f>E17/'- 3 -'!$D17*100</f>
        <v>6.1027744803534274</v>
      </c>
      <c r="G17" s="286">
        <f>E17/'- 7 -'!$E17</f>
        <v>789.91707561128794</v>
      </c>
      <c r="H17" s="286">
        <v>277703</v>
      </c>
      <c r="I17" s="292">
        <f>H17/'- 3 -'!$D17*100</f>
        <v>1.5987083819311636</v>
      </c>
      <c r="J17" s="286">
        <f>H17/'- 7 -'!$E17</f>
        <v>206.9299879711734</v>
      </c>
    </row>
    <row r="18" spans="1:10" ht="14.1" customHeight="1">
      <c r="A18" s="19" t="s">
        <v>116</v>
      </c>
      <c r="B18" s="20">
        <v>10251914</v>
      </c>
      <c r="C18" s="70">
        <f>B18/'- 3 -'!$D18*100</f>
        <v>8.0881504714085359</v>
      </c>
      <c r="D18" s="20">
        <f>B18/'- 7 -'!$E18</f>
        <v>1658.080866893094</v>
      </c>
      <c r="E18" s="20">
        <v>3588215</v>
      </c>
      <c r="F18" s="70">
        <f>E18/'- 3 -'!$D18*100</f>
        <v>2.8308882462109199</v>
      </c>
      <c r="G18" s="20">
        <f>E18/'- 7 -'!$E18</f>
        <v>580.33559760634</v>
      </c>
      <c r="H18" s="20">
        <v>1546202</v>
      </c>
      <c r="I18" s="70">
        <f>H18/'- 3 -'!$D18*100</f>
        <v>1.2198614263827048</v>
      </c>
      <c r="J18" s="20">
        <f>H18/'- 7 -'!$E18</f>
        <v>250.07310367135693</v>
      </c>
    </row>
    <row r="19" spans="1:10" ht="14.1" customHeight="1">
      <c r="A19" s="285" t="s">
        <v>117</v>
      </c>
      <c r="B19" s="286">
        <v>1954104</v>
      </c>
      <c r="C19" s="292">
        <f>B19/'- 3 -'!$D19*100</f>
        <v>4.3688112453387102</v>
      </c>
      <c r="D19" s="286">
        <f>B19/'- 7 -'!$E19</f>
        <v>461.45039790303917</v>
      </c>
      <c r="E19" s="286">
        <v>2983328</v>
      </c>
      <c r="F19" s="292">
        <f>E19/'- 3 -'!$D19*100</f>
        <v>6.6698583672792466</v>
      </c>
      <c r="G19" s="286">
        <f>E19/'- 7 -'!$E19</f>
        <v>704.49571398210026</v>
      </c>
      <c r="H19" s="286">
        <v>934784</v>
      </c>
      <c r="I19" s="292">
        <f>H19/'- 3 -'!$D19*100</f>
        <v>2.0899066022907182</v>
      </c>
      <c r="J19" s="286">
        <f>H19/'- 7 -'!$E19</f>
        <v>220.74385434623468</v>
      </c>
    </row>
    <row r="20" spans="1:10" ht="14.1" customHeight="1">
      <c r="A20" s="19" t="s">
        <v>118</v>
      </c>
      <c r="B20" s="20">
        <v>4223788</v>
      </c>
      <c r="C20" s="70">
        <f>B20/'- 3 -'!$D20*100</f>
        <v>5.3948512118211616</v>
      </c>
      <c r="D20" s="20">
        <f>B20/'- 7 -'!$E20</f>
        <v>558.2996384881269</v>
      </c>
      <c r="E20" s="20">
        <v>3494033</v>
      </c>
      <c r="F20" s="70">
        <f>E20/'- 3 -'!$D20*100</f>
        <v>4.4627685300950546</v>
      </c>
      <c r="G20" s="20">
        <f>E20/'- 7 -'!$E20</f>
        <v>461.8407365060902</v>
      </c>
      <c r="H20" s="20">
        <v>1114885</v>
      </c>
      <c r="I20" s="70">
        <f>H20/'- 3 -'!$D20*100</f>
        <v>1.423991614468159</v>
      </c>
      <c r="J20" s="20">
        <f>H20/'- 7 -'!$E20</f>
        <v>147.36532526155088</v>
      </c>
    </row>
    <row r="21" spans="1:10" ht="14.1" customHeight="1">
      <c r="A21" s="285" t="s">
        <v>119</v>
      </c>
      <c r="B21" s="286">
        <v>1908627</v>
      </c>
      <c r="C21" s="292">
        <f>B21/'- 3 -'!$D21*100</f>
        <v>5.4340694078519745</v>
      </c>
      <c r="D21" s="286">
        <f>B21/'- 7 -'!$E21</f>
        <v>710.55694129034657</v>
      </c>
      <c r="E21" s="286">
        <v>2049570</v>
      </c>
      <c r="F21" s="292">
        <f>E21/'- 3 -'!$D21*100</f>
        <v>5.8353495136824378</v>
      </c>
      <c r="G21" s="286">
        <f>E21/'- 7 -'!$E21</f>
        <v>763.02818212278021</v>
      </c>
      <c r="H21" s="286">
        <v>946934</v>
      </c>
      <c r="I21" s="292">
        <f>H21/'- 3 -'!$D21*100</f>
        <v>2.6960244619063345</v>
      </c>
      <c r="J21" s="286">
        <f>H21/'- 7 -'!$E21</f>
        <v>352.53117903279849</v>
      </c>
    </row>
    <row r="22" spans="1:10" ht="14.1" customHeight="1">
      <c r="A22" s="19" t="s">
        <v>120</v>
      </c>
      <c r="B22" s="20">
        <v>829871</v>
      </c>
      <c r="C22" s="70">
        <f>B22/'- 3 -'!$D22*100</f>
        <v>4.1524597941881147</v>
      </c>
      <c r="D22" s="20">
        <f>B22/'- 7 -'!$E22</f>
        <v>541.72661400874722</v>
      </c>
      <c r="E22" s="20">
        <v>1408335</v>
      </c>
      <c r="F22" s="70">
        <f>E22/'- 3 -'!$D22*100</f>
        <v>7.0469440000288222</v>
      </c>
      <c r="G22" s="20">
        <f>E22/'- 7 -'!$E22</f>
        <v>919.33872968209403</v>
      </c>
      <c r="H22" s="20">
        <v>516329</v>
      </c>
      <c r="I22" s="70">
        <f>H22/'- 3 -'!$D22*100</f>
        <v>2.5835767403287435</v>
      </c>
      <c r="J22" s="20">
        <f>H22/'- 7 -'!$E22</f>
        <v>337.05137411058161</v>
      </c>
    </row>
    <row r="23" spans="1:10" ht="14.1" customHeight="1">
      <c r="A23" s="285" t="s">
        <v>121</v>
      </c>
      <c r="B23" s="286">
        <v>1243975</v>
      </c>
      <c r="C23" s="292">
        <f>B23/'- 3 -'!$D23*100</f>
        <v>7.7085139148908421</v>
      </c>
      <c r="D23" s="286">
        <f>B23/'- 7 -'!$E23</f>
        <v>1120.1936064835659</v>
      </c>
      <c r="E23" s="286">
        <v>603662</v>
      </c>
      <c r="F23" s="292">
        <f>E23/'- 3 -'!$D23*100</f>
        <v>3.7406997141347986</v>
      </c>
      <c r="G23" s="286">
        <f>E23/'- 7 -'!$E23</f>
        <v>543.59477712742012</v>
      </c>
      <c r="H23" s="286">
        <v>336694</v>
      </c>
      <c r="I23" s="292">
        <f>H23/'- 3 -'!$D23*100</f>
        <v>2.0863846814126146</v>
      </c>
      <c r="J23" s="286">
        <f>H23/'- 7 -'!$E23</f>
        <v>303.19135524538495</v>
      </c>
    </row>
    <row r="24" spans="1:10" ht="14.1" customHeight="1">
      <c r="A24" s="19" t="s">
        <v>122</v>
      </c>
      <c r="B24" s="20">
        <v>2979360</v>
      </c>
      <c r="C24" s="70">
        <f>B24/'- 3 -'!$D24*100</f>
        <v>5.3488018004271956</v>
      </c>
      <c r="D24" s="20">
        <f>B24/'- 7 -'!$E24</f>
        <v>746.42615558060879</v>
      </c>
      <c r="E24" s="20">
        <v>2552683</v>
      </c>
      <c r="F24" s="70">
        <f>E24/'- 3 -'!$D24*100</f>
        <v>4.5827947701250915</v>
      </c>
      <c r="G24" s="20">
        <f>E24/'- 7 -'!$E24</f>
        <v>639.52975072028062</v>
      </c>
      <c r="H24" s="20">
        <v>1227584</v>
      </c>
      <c r="I24" s="70">
        <f>H24/'- 3 -'!$D24*100</f>
        <v>2.2038637524084428</v>
      </c>
      <c r="J24" s="20">
        <f>H24/'- 7 -'!$E24</f>
        <v>307.54954277840409</v>
      </c>
    </row>
    <row r="25" spans="1:10" ht="14.1" customHeight="1">
      <c r="A25" s="285" t="s">
        <v>123</v>
      </c>
      <c r="B25" s="286">
        <v>9959665</v>
      </c>
      <c r="C25" s="292">
        <f>B25/'- 3 -'!$D25*100</f>
        <v>5.926991775599781</v>
      </c>
      <c r="D25" s="286">
        <f>B25/'- 7 -'!$E25</f>
        <v>703.5351002359323</v>
      </c>
      <c r="E25" s="286">
        <v>7396553</v>
      </c>
      <c r="F25" s="292">
        <f>E25/'- 3 -'!$D25*100</f>
        <v>4.4016850766353972</v>
      </c>
      <c r="G25" s="286">
        <f>E25/'- 7 -'!$E25</f>
        <v>522.48089230464939</v>
      </c>
      <c r="H25" s="286">
        <v>3227540</v>
      </c>
      <c r="I25" s="292">
        <f>H25/'- 3 -'!$D25*100</f>
        <v>1.9207074771510204</v>
      </c>
      <c r="J25" s="286">
        <f>H25/'- 7 -'!$E25</f>
        <v>227.98835878671429</v>
      </c>
    </row>
    <row r="26" spans="1:10" ht="14.1" customHeight="1">
      <c r="A26" s="19" t="s">
        <v>124</v>
      </c>
      <c r="B26" s="20">
        <v>1410959</v>
      </c>
      <c r="C26" s="70">
        <f>B26/'- 3 -'!$D26*100</f>
        <v>3.5602276048237416</v>
      </c>
      <c r="D26" s="20">
        <f>B26/'- 7 -'!$E26</f>
        <v>458.69928478543562</v>
      </c>
      <c r="E26" s="20">
        <v>2103327</v>
      </c>
      <c r="F26" s="70">
        <f>E26/'- 3 -'!$D26*100</f>
        <v>5.3072575796824042</v>
      </c>
      <c r="G26" s="20">
        <f>E26/'- 7 -'!$E26</f>
        <v>683.786410923277</v>
      </c>
      <c r="H26" s="20">
        <v>944180</v>
      </c>
      <c r="I26" s="70">
        <f>H26/'- 3 -'!$D26*100</f>
        <v>2.3824191205573513</v>
      </c>
      <c r="J26" s="20">
        <f>H26/'- 7 -'!$E26</f>
        <v>306.95058517555265</v>
      </c>
    </row>
    <row r="27" spans="1:10" ht="14.1" customHeight="1">
      <c r="A27" s="285" t="s">
        <v>125</v>
      </c>
      <c r="B27" s="286">
        <v>1926882</v>
      </c>
      <c r="C27" s="292">
        <f>B27/'- 3 -'!$D27*100</f>
        <v>4.5862127147169822</v>
      </c>
      <c r="D27" s="286">
        <f>B27/'- 7 -'!$E27</f>
        <v>663.25050512699602</v>
      </c>
      <c r="E27" s="286">
        <v>2803264</v>
      </c>
      <c r="F27" s="292">
        <f>E27/'- 3 -'!$D27*100</f>
        <v>6.6721080997738245</v>
      </c>
      <c r="G27" s="286">
        <f>E27/'- 7 -'!$E27</f>
        <v>964.90924924532135</v>
      </c>
      <c r="H27" s="286">
        <v>1046125</v>
      </c>
      <c r="I27" s="292">
        <f>H27/'- 3 -'!$D27*100</f>
        <v>2.489904299372407</v>
      </c>
      <c r="J27" s="286">
        <f>H27/'- 7 -'!$E27</f>
        <v>360.0858457736274</v>
      </c>
    </row>
    <row r="28" spans="1:10" ht="14.1" customHeight="1">
      <c r="A28" s="19" t="s">
        <v>126</v>
      </c>
      <c r="B28" s="20">
        <v>1212924</v>
      </c>
      <c r="C28" s="70">
        <f>B28/'- 3 -'!$D28*100</f>
        <v>4.362187855202972</v>
      </c>
      <c r="D28" s="20">
        <f>B28/'- 7 -'!$E28</f>
        <v>609.66272932897709</v>
      </c>
      <c r="E28" s="20">
        <v>1332232</v>
      </c>
      <c r="F28" s="70">
        <f>E28/'- 3 -'!$D28*100</f>
        <v>4.7912698987840674</v>
      </c>
      <c r="G28" s="20">
        <f>E28/'- 7 -'!$E28</f>
        <v>669.63156572003015</v>
      </c>
      <c r="H28" s="20">
        <v>527222</v>
      </c>
      <c r="I28" s="70">
        <f>H28/'- 3 -'!$D28*100</f>
        <v>1.8961133635708598</v>
      </c>
      <c r="J28" s="20">
        <f>H28/'- 7 -'!$E28</f>
        <v>265.00226187484293</v>
      </c>
    </row>
    <row r="29" spans="1:10" ht="14.1" customHeight="1">
      <c r="A29" s="285" t="s">
        <v>127</v>
      </c>
      <c r="B29" s="286">
        <v>12028530</v>
      </c>
      <c r="C29" s="292">
        <f>B29/'- 3 -'!$D29*100</f>
        <v>7.9986093087381489</v>
      </c>
      <c r="D29" s="286">
        <f>B29/'- 7 -'!$E29</f>
        <v>947.62827633475933</v>
      </c>
      <c r="E29" s="286">
        <v>10602665</v>
      </c>
      <c r="F29" s="292">
        <f>E29/'- 3 -'!$D29*100</f>
        <v>7.0504521305955219</v>
      </c>
      <c r="G29" s="286">
        <f>E29/'- 7 -'!$E29</f>
        <v>835.29617987442202</v>
      </c>
      <c r="H29" s="286">
        <v>3265353</v>
      </c>
      <c r="I29" s="292">
        <f>H29/'- 3 -'!$D29*100</f>
        <v>2.1713611640089052</v>
      </c>
      <c r="J29" s="286">
        <f>H29/'- 7 -'!$E29</f>
        <v>257.25012408120818</v>
      </c>
    </row>
    <row r="30" spans="1:10" ht="14.1" customHeight="1">
      <c r="A30" s="19" t="s">
        <v>128</v>
      </c>
      <c r="B30" s="20">
        <v>489688</v>
      </c>
      <c r="C30" s="70">
        <f>B30/'- 3 -'!$D30*100</f>
        <v>3.5256487331040822</v>
      </c>
      <c r="D30" s="20">
        <f>B30/'- 7 -'!$E30</f>
        <v>487.73705179282871</v>
      </c>
      <c r="E30" s="20">
        <v>531705</v>
      </c>
      <c r="F30" s="70">
        <f>E30/'- 3 -'!$D30*100</f>
        <v>3.828162135145452</v>
      </c>
      <c r="G30" s="20">
        <f>E30/'- 7 -'!$E30</f>
        <v>529.58665338645415</v>
      </c>
      <c r="H30" s="20">
        <v>219580</v>
      </c>
      <c r="I30" s="70">
        <f>H30/'- 3 -'!$D30*100</f>
        <v>1.5809289768485126</v>
      </c>
      <c r="J30" s="20">
        <f>H30/'- 7 -'!$E30</f>
        <v>218.70517928286853</v>
      </c>
    </row>
    <row r="31" spans="1:10" ht="14.1" customHeight="1">
      <c r="A31" s="285" t="s">
        <v>129</v>
      </c>
      <c r="B31" s="286">
        <v>2084639</v>
      </c>
      <c r="C31" s="292">
        <f>B31/'- 3 -'!$D31*100</f>
        <v>5.8241887281230662</v>
      </c>
      <c r="D31" s="286">
        <f>B31/'- 7 -'!$E31</f>
        <v>637.79684870735809</v>
      </c>
      <c r="E31" s="286">
        <v>1179670</v>
      </c>
      <c r="F31" s="292">
        <f>E31/'- 3 -'!$D31*100</f>
        <v>3.2958323800451481</v>
      </c>
      <c r="G31" s="286">
        <f>E31/'- 7 -'!$E31</f>
        <v>360.92091173321097</v>
      </c>
      <c r="H31" s="286">
        <v>887135</v>
      </c>
      <c r="I31" s="292">
        <f>H31/'- 3 -'!$D31*100</f>
        <v>2.4785306555827922</v>
      </c>
      <c r="J31" s="286">
        <f>H31/'- 7 -'!$E31</f>
        <v>271.41961144255777</v>
      </c>
    </row>
    <row r="32" spans="1:10" ht="14.1" customHeight="1">
      <c r="A32" s="19" t="s">
        <v>130</v>
      </c>
      <c r="B32" s="20">
        <v>1072632</v>
      </c>
      <c r="C32" s="70">
        <f>B32/'- 3 -'!$D32*100</f>
        <v>3.8418213945173552</v>
      </c>
      <c r="D32" s="20">
        <f>B32/'- 7 -'!$E32</f>
        <v>507.82691033046109</v>
      </c>
      <c r="E32" s="20">
        <v>1673798</v>
      </c>
      <c r="F32" s="70">
        <f>E32/'- 3 -'!$D32*100</f>
        <v>5.9950038470792961</v>
      </c>
      <c r="G32" s="20">
        <f>E32/'- 7 -'!$E32</f>
        <v>792.44295047817434</v>
      </c>
      <c r="H32" s="20">
        <v>366889</v>
      </c>
      <c r="I32" s="70">
        <f>H32/'- 3 -'!$D32*100</f>
        <v>1.3140779033378436</v>
      </c>
      <c r="J32" s="20">
        <f>H32/'- 7 -'!$E32</f>
        <v>173.69993371839786</v>
      </c>
    </row>
    <row r="33" spans="1:10" ht="14.1" customHeight="1">
      <c r="A33" s="285" t="s">
        <v>131</v>
      </c>
      <c r="B33" s="286">
        <v>1557016</v>
      </c>
      <c r="C33" s="292">
        <f>B33/'- 3 -'!$D33*100</f>
        <v>5.8839699103597543</v>
      </c>
      <c r="D33" s="286">
        <f>B33/'- 7 -'!$E33</f>
        <v>765.45695885158045</v>
      </c>
      <c r="E33" s="286">
        <v>974528</v>
      </c>
      <c r="F33" s="292">
        <f>E33/'- 3 -'!$D33*100</f>
        <v>3.6827453467421472</v>
      </c>
      <c r="G33" s="286">
        <f>E33/'- 7 -'!$E33</f>
        <v>479.09542303721543</v>
      </c>
      <c r="H33" s="286">
        <v>418762</v>
      </c>
      <c r="I33" s="292">
        <f>H33/'- 3 -'!$D33*100</f>
        <v>1.5825033317590003</v>
      </c>
      <c r="J33" s="286">
        <f>H33/'- 7 -'!$E33</f>
        <v>205.87090113563738</v>
      </c>
    </row>
    <row r="34" spans="1:10" ht="14.1" customHeight="1">
      <c r="A34" s="19" t="s">
        <v>132</v>
      </c>
      <c r="B34" s="20">
        <v>1292674</v>
      </c>
      <c r="C34" s="70">
        <f>B34/'- 3 -'!$D34*100</f>
        <v>4.6340669672173052</v>
      </c>
      <c r="D34" s="20">
        <f>B34/'- 7 -'!$E34</f>
        <v>652.35168251276775</v>
      </c>
      <c r="E34" s="20">
        <v>1297875</v>
      </c>
      <c r="F34" s="70">
        <f>E34/'- 3 -'!$D34*100</f>
        <v>4.652711870956761</v>
      </c>
      <c r="G34" s="20">
        <f>E34/'- 7 -'!$E34</f>
        <v>654.97638224429238</v>
      </c>
      <c r="H34" s="20">
        <v>633953</v>
      </c>
      <c r="I34" s="70">
        <f>H34/'- 3 -'!$D34*100</f>
        <v>2.2726384657448917</v>
      </c>
      <c r="J34" s="20">
        <f>H34/'- 7 -'!$E34</f>
        <v>319.92621974605868</v>
      </c>
    </row>
    <row r="35" spans="1:10" ht="14.1" customHeight="1">
      <c r="A35" s="285" t="s">
        <v>133</v>
      </c>
      <c r="B35" s="286">
        <v>14000069</v>
      </c>
      <c r="C35" s="292">
        <f>B35/'- 3 -'!$D35*100</f>
        <v>7.7545686896364501</v>
      </c>
      <c r="D35" s="286">
        <f>B35/'- 7 -'!$E35</f>
        <v>907.41608063000297</v>
      </c>
      <c r="E35" s="286">
        <v>10086636</v>
      </c>
      <c r="F35" s="292">
        <f>E35/'- 3 -'!$D35*100</f>
        <v>5.5869375864761697</v>
      </c>
      <c r="G35" s="286">
        <f>E35/'- 7 -'!$E35</f>
        <v>653.76647114107004</v>
      </c>
      <c r="H35" s="286">
        <v>2968994</v>
      </c>
      <c r="I35" s="292">
        <f>H35/'- 3 -'!$D35*100</f>
        <v>1.6445110314898079</v>
      </c>
      <c r="J35" s="286">
        <f>H35/'- 7 -'!$E35</f>
        <v>192.43568720225556</v>
      </c>
    </row>
    <row r="36" spans="1:10" ht="14.1" customHeight="1">
      <c r="A36" s="19" t="s">
        <v>134</v>
      </c>
      <c r="B36" s="20">
        <v>740150</v>
      </c>
      <c r="C36" s="70">
        <f>B36/'- 3 -'!$D36*100</f>
        <v>3.2985813537611404</v>
      </c>
      <c r="D36" s="20">
        <f>B36/'- 7 -'!$E36</f>
        <v>452.27619920562177</v>
      </c>
      <c r="E36" s="20">
        <v>1134142</v>
      </c>
      <c r="F36" s="70">
        <f>E36/'- 3 -'!$D36*100</f>
        <v>5.0544614655372122</v>
      </c>
      <c r="G36" s="20">
        <f>E36/'- 7 -'!$E36</f>
        <v>693.02902535899784</v>
      </c>
      <c r="H36" s="20">
        <v>484076</v>
      </c>
      <c r="I36" s="70">
        <f>H36/'- 3 -'!$D36*100</f>
        <v>2.1573519791978355</v>
      </c>
      <c r="J36" s="20">
        <f>H36/'- 7 -'!$E36</f>
        <v>295.7995722578674</v>
      </c>
    </row>
    <row r="37" spans="1:10" ht="14.1" customHeight="1">
      <c r="A37" s="285" t="s">
        <v>135</v>
      </c>
      <c r="B37" s="286">
        <v>3921448</v>
      </c>
      <c r="C37" s="292">
        <f>B37/'- 3 -'!$D37*100</f>
        <v>8.2105159396252443</v>
      </c>
      <c r="D37" s="286">
        <f>B37/'- 7 -'!$E37</f>
        <v>955.6349457779944</v>
      </c>
      <c r="E37" s="286">
        <v>1764549</v>
      </c>
      <c r="F37" s="292">
        <f>E37/'- 3 -'!$D37*100</f>
        <v>3.6945173544950194</v>
      </c>
      <c r="G37" s="286">
        <f>E37/'- 7 -'!$E37</f>
        <v>430.01072255391739</v>
      </c>
      <c r="H37" s="286">
        <v>1396087</v>
      </c>
      <c r="I37" s="292">
        <f>H37/'- 3 -'!$D37*100</f>
        <v>2.9230515275489024</v>
      </c>
      <c r="J37" s="286">
        <f>H37/'- 7 -'!$E37</f>
        <v>340.21859388327039</v>
      </c>
    </row>
    <row r="38" spans="1:10" ht="14.1" customHeight="1">
      <c r="A38" s="19" t="s">
        <v>136</v>
      </c>
      <c r="B38" s="20">
        <v>11327969</v>
      </c>
      <c r="C38" s="70">
        <f>B38/'- 3 -'!$D38*100</f>
        <v>8.9238161067774691</v>
      </c>
      <c r="D38" s="20">
        <f>B38/'- 7 -'!$E38</f>
        <v>1048.9540062781846</v>
      </c>
      <c r="E38" s="20">
        <v>4825992</v>
      </c>
      <c r="F38" s="70">
        <f>E38/'- 3 -'!$D38*100</f>
        <v>3.8017640356165541</v>
      </c>
      <c r="G38" s="20">
        <f>E38/'- 7 -'!$E38</f>
        <v>446.88007556045295</v>
      </c>
      <c r="H38" s="20">
        <v>3434069</v>
      </c>
      <c r="I38" s="70">
        <f>H38/'- 3 -'!$D38*100</f>
        <v>2.7052510696299752</v>
      </c>
      <c r="J38" s="20">
        <f>H38/'- 7 -'!$E38</f>
        <v>317.98996231237209</v>
      </c>
    </row>
    <row r="39" spans="1:10" ht="14.1" customHeight="1">
      <c r="A39" s="285" t="s">
        <v>137</v>
      </c>
      <c r="B39" s="286">
        <v>1370392</v>
      </c>
      <c r="C39" s="292">
        <f>B39/'- 3 -'!$D39*100</f>
        <v>6.6277819048503428</v>
      </c>
      <c r="D39" s="286">
        <f>B39/'- 7 -'!$E39</f>
        <v>864.65518329232123</v>
      </c>
      <c r="E39" s="286">
        <v>699809</v>
      </c>
      <c r="F39" s="292">
        <f>E39/'- 3 -'!$D39*100</f>
        <v>3.3845654579502895</v>
      </c>
      <c r="G39" s="286">
        <f>E39/'- 7 -'!$E39</f>
        <v>441.54773171808944</v>
      </c>
      <c r="H39" s="286">
        <v>342032</v>
      </c>
      <c r="I39" s="292">
        <f>H39/'- 3 -'!$D39*100</f>
        <v>1.6542080663633267</v>
      </c>
      <c r="J39" s="286">
        <f>H39/'- 7 -'!$E39</f>
        <v>215.80667550003153</v>
      </c>
    </row>
    <row r="40" spans="1:10" ht="14.1" customHeight="1">
      <c r="A40" s="19" t="s">
        <v>138</v>
      </c>
      <c r="B40" s="20">
        <v>10184704</v>
      </c>
      <c r="C40" s="70">
        <f>B40/'- 3 -'!$D40*100</f>
        <v>9.9998758938587731</v>
      </c>
      <c r="D40" s="20">
        <f>B40/'- 7 -'!$E40</f>
        <v>1279.6622648858511</v>
      </c>
      <c r="E40" s="20">
        <v>6434400</v>
      </c>
      <c r="F40" s="70">
        <f>E40/'- 3 -'!$D40*100</f>
        <v>6.3176309740022765</v>
      </c>
      <c r="G40" s="20">
        <f>E40/'- 7 -'!$E40</f>
        <v>808.4534294940255</v>
      </c>
      <c r="H40" s="20">
        <v>2440180</v>
      </c>
      <c r="I40" s="70">
        <f>H40/'- 3 -'!$D40*100</f>
        <v>2.3958965482626002</v>
      </c>
      <c r="J40" s="20">
        <f>H40/'- 7 -'!$E40</f>
        <v>306.59764540325921</v>
      </c>
    </row>
    <row r="41" spans="1:10" ht="14.1" customHeight="1">
      <c r="A41" s="285" t="s">
        <v>139</v>
      </c>
      <c r="B41" s="286">
        <v>5450286</v>
      </c>
      <c r="C41" s="292">
        <f>B41/'- 3 -'!$D41*100</f>
        <v>8.817964535522318</v>
      </c>
      <c r="D41" s="286">
        <f>B41/'- 7 -'!$E41</f>
        <v>1242.655266757866</v>
      </c>
      <c r="E41" s="286">
        <v>2848956</v>
      </c>
      <c r="F41" s="292">
        <f>E41/'- 3 -'!$D41*100</f>
        <v>4.6092981122942023</v>
      </c>
      <c r="G41" s="286">
        <f>E41/'- 7 -'!$E41</f>
        <v>649.55677154582759</v>
      </c>
      <c r="H41" s="286">
        <v>1072915</v>
      </c>
      <c r="I41" s="292">
        <f>H41/'- 3 -'!$D41*100</f>
        <v>1.7358587089980098</v>
      </c>
      <c r="J41" s="286">
        <f>H41/'- 7 -'!$E41</f>
        <v>244.62266301869585</v>
      </c>
    </row>
    <row r="42" spans="1:10" ht="14.1" customHeight="1">
      <c r="A42" s="19" t="s">
        <v>140</v>
      </c>
      <c r="B42" s="20">
        <v>1455792</v>
      </c>
      <c r="C42" s="70">
        <f>B42/'- 3 -'!$D42*100</f>
        <v>7.2699049698647853</v>
      </c>
      <c r="D42" s="20">
        <f>B42/'- 7 -'!$E42</f>
        <v>1051.7208495882098</v>
      </c>
      <c r="E42" s="20">
        <v>734415</v>
      </c>
      <c r="F42" s="70">
        <f>E42/'- 3 -'!$D42*100</f>
        <v>3.6675069367349495</v>
      </c>
      <c r="G42" s="20">
        <f>E42/'- 7 -'!$E42</f>
        <v>530.57000433463384</v>
      </c>
      <c r="H42" s="20">
        <v>196342</v>
      </c>
      <c r="I42" s="70">
        <f>H42/'- 3 -'!$D42*100</f>
        <v>0.98048875223465415</v>
      </c>
      <c r="J42" s="20">
        <f>H42/'- 7 -'!$E42</f>
        <v>141.84510908828207</v>
      </c>
    </row>
    <row r="43" spans="1:10" ht="14.1" customHeight="1">
      <c r="A43" s="285" t="s">
        <v>141</v>
      </c>
      <c r="B43" s="286">
        <v>372606</v>
      </c>
      <c r="C43" s="292">
        <f>B43/'- 3 -'!$D43*100</f>
        <v>2.9297740689920015</v>
      </c>
      <c r="D43" s="286">
        <f>B43/'- 7 -'!$E43</f>
        <v>393.58402873138272</v>
      </c>
      <c r="E43" s="286">
        <v>1186088</v>
      </c>
      <c r="F43" s="292">
        <f>E43/'- 3 -'!$D43*100</f>
        <v>9.3261242866260492</v>
      </c>
      <c r="G43" s="286">
        <f>E43/'- 7 -'!$E43</f>
        <v>1252.865744163938</v>
      </c>
      <c r="H43" s="286">
        <v>209693</v>
      </c>
      <c r="I43" s="292">
        <f>H43/'- 3 -'!$D43*100</f>
        <v>1.6488009153076972</v>
      </c>
      <c r="J43" s="286">
        <f>H43/'- 7 -'!$E43</f>
        <v>221.49889088412382</v>
      </c>
    </row>
    <row r="44" spans="1:10" ht="14.1" customHeight="1">
      <c r="A44" s="19" t="s">
        <v>142</v>
      </c>
      <c r="B44" s="20">
        <v>896657</v>
      </c>
      <c r="C44" s="70">
        <f>B44/'- 3 -'!$D44*100</f>
        <v>8.2523133032804772</v>
      </c>
      <c r="D44" s="20">
        <f>B44/'- 7 -'!$E44</f>
        <v>1316.6769456681352</v>
      </c>
      <c r="E44" s="20">
        <v>496025</v>
      </c>
      <c r="F44" s="70">
        <f>E44/'- 3 -'!$D44*100</f>
        <v>4.5651276979488236</v>
      </c>
      <c r="G44" s="20">
        <f>E44/'- 7 -'!$E44</f>
        <v>728.37738619676941</v>
      </c>
      <c r="H44" s="20">
        <v>59629</v>
      </c>
      <c r="I44" s="70">
        <f>H44/'- 3 -'!$D44*100</f>
        <v>0.54879088655005381</v>
      </c>
      <c r="J44" s="20">
        <f>H44/'- 7 -'!$E44</f>
        <v>87.560939794419966</v>
      </c>
    </row>
    <row r="45" spans="1:10" ht="14.1" customHeight="1">
      <c r="A45" s="285" t="s">
        <v>143</v>
      </c>
      <c r="B45" s="286">
        <v>648045</v>
      </c>
      <c r="C45" s="292">
        <f>B45/'- 3 -'!$D45*100</f>
        <v>3.5348881506503989</v>
      </c>
      <c r="D45" s="286">
        <f>B45/'- 7 -'!$E45</f>
        <v>390.38855421686748</v>
      </c>
      <c r="E45" s="286">
        <v>972678</v>
      </c>
      <c r="F45" s="292">
        <f>E45/'- 3 -'!$D45*100</f>
        <v>5.3056623175833906</v>
      </c>
      <c r="G45" s="286">
        <f>E45/'- 7 -'!$E45</f>
        <v>585.95060240963858</v>
      </c>
      <c r="H45" s="286">
        <v>453412</v>
      </c>
      <c r="I45" s="292">
        <f>H45/'- 3 -'!$D45*100</f>
        <v>2.4732243997912162</v>
      </c>
      <c r="J45" s="286">
        <f>H45/'- 7 -'!$E45</f>
        <v>273.1397590361446</v>
      </c>
    </row>
    <row r="46" spans="1:10" ht="14.1" customHeight="1">
      <c r="A46" s="19" t="s">
        <v>144</v>
      </c>
      <c r="B46" s="20">
        <v>16090712</v>
      </c>
      <c r="C46" s="70">
        <f>B46/'- 3 -'!$D46*100</f>
        <v>4.2171321345470121</v>
      </c>
      <c r="D46" s="20">
        <f>B46/'- 7 -'!$E46</f>
        <v>539.3233450645215</v>
      </c>
      <c r="E46" s="20">
        <v>22735737</v>
      </c>
      <c r="F46" s="70">
        <f>E46/'- 3 -'!$D46*100</f>
        <v>5.9586926361810146</v>
      </c>
      <c r="G46" s="20">
        <f>E46/'- 7 -'!$E46</f>
        <v>762.04917043740568</v>
      </c>
      <c r="H46" s="20">
        <v>6120937</v>
      </c>
      <c r="I46" s="70">
        <f>H46/'- 3 -'!$D46*100</f>
        <v>1.6042049672033023</v>
      </c>
      <c r="J46" s="20">
        <f>H46/'- 7 -'!$E46</f>
        <v>205.15961119490532</v>
      </c>
    </row>
    <row r="47" spans="1:10" ht="5.0999999999999996" customHeight="1">
      <c r="A47" s="21"/>
      <c r="B47" s="22"/>
      <c r="C47"/>
      <c r="D47" s="22"/>
      <c r="E47" s="22"/>
      <c r="F47"/>
      <c r="G47" s="22"/>
      <c r="H47"/>
      <c r="I47"/>
      <c r="J47"/>
    </row>
    <row r="48" spans="1:10" ht="14.1" customHeight="1">
      <c r="A48" s="287" t="s">
        <v>145</v>
      </c>
      <c r="B48" s="288">
        <f>SUM(B11:B46)</f>
        <v>140927316</v>
      </c>
      <c r="C48" s="295">
        <f>B48/'- 3 -'!$D48*100</f>
        <v>6.3609620017567936</v>
      </c>
      <c r="D48" s="288">
        <f>B48/'- 7 -'!$E48</f>
        <v>809.8943619060916</v>
      </c>
      <c r="E48" s="288">
        <f>SUM(E11:E46)</f>
        <v>112759460</v>
      </c>
      <c r="F48" s="295">
        <f>E48/'- 3 -'!$D48*100</f>
        <v>5.0895643283138599</v>
      </c>
      <c r="G48" s="288">
        <f>E48/'- 7 -'!$E48</f>
        <v>648.0166762388028</v>
      </c>
      <c r="H48" s="288">
        <f>SUM(H11:H46)</f>
        <v>42439742</v>
      </c>
      <c r="I48" s="295">
        <f>H48/'- 3 -'!$D48*100</f>
        <v>1.9155802713674182</v>
      </c>
      <c r="J48" s="288">
        <f>H48/'- 7 -'!$E48</f>
        <v>243.89670322359046</v>
      </c>
    </row>
    <row r="49" spans="1:10" ht="5.0999999999999996" customHeight="1">
      <c r="A49" s="21" t="s">
        <v>7</v>
      </c>
      <c r="B49" s="22"/>
      <c r="C49"/>
      <c r="E49" s="22"/>
      <c r="F49"/>
      <c r="H49"/>
      <c r="I49"/>
      <c r="J49"/>
    </row>
    <row r="50" spans="1:10" ht="14.1" customHeight="1">
      <c r="A50" s="19" t="s">
        <v>146</v>
      </c>
      <c r="B50" s="20">
        <v>231112</v>
      </c>
      <c r="C50" s="70">
        <f>B50/'- 3 -'!$D50*100</f>
        <v>6.8802315400707279</v>
      </c>
      <c r="D50" s="20">
        <f>B50/'- 7 -'!$E50</f>
        <v>1351.53216374269</v>
      </c>
      <c r="E50" s="20">
        <v>95504</v>
      </c>
      <c r="F50" s="70">
        <f>E50/'- 3 -'!$D50*100</f>
        <v>2.8431653613958376</v>
      </c>
      <c r="G50" s="20">
        <f>E50/'- 7 -'!$E50</f>
        <v>558.50292397660814</v>
      </c>
      <c r="H50" s="20">
        <v>104512</v>
      </c>
      <c r="I50" s="70">
        <f>H50/'- 3 -'!$D50*100</f>
        <v>3.1113345854645016</v>
      </c>
      <c r="J50" s="20">
        <f>H50/'- 7 -'!$E50</f>
        <v>611.18128654970758</v>
      </c>
    </row>
    <row r="51" spans="1:10" ht="14.1" customHeight="1">
      <c r="A51" s="285" t="s">
        <v>612</v>
      </c>
      <c r="B51" s="286">
        <v>61669</v>
      </c>
      <c r="C51" s="292">
        <f>B51/'- 3 -'!$D51*100</f>
        <v>0.23260312044012982</v>
      </c>
      <c r="D51" s="286">
        <f>B51/'- 7 -'!$E51</f>
        <v>60.697834645669289</v>
      </c>
      <c r="E51" s="286">
        <v>61293</v>
      </c>
      <c r="F51" s="292">
        <f>E51/'- 3 -'!$D51*100</f>
        <v>0.23118492372402466</v>
      </c>
      <c r="G51" s="286">
        <f>E51/'- 7 -'!$E51</f>
        <v>60.327755905511808</v>
      </c>
      <c r="H51" s="286">
        <v>419993</v>
      </c>
      <c r="I51" s="292">
        <f>H51/'- 3 -'!$D51*100</f>
        <v>1.5841295036892351</v>
      </c>
      <c r="J51" s="286">
        <f>H51/'- 7 -'!$E51</f>
        <v>413.37893700787401</v>
      </c>
    </row>
    <row r="52" spans="1:10" ht="50.1" customHeight="1">
      <c r="A52" s="23"/>
      <c r="B52" s="23"/>
      <c r="C52" s="23"/>
      <c r="D52" s="23"/>
      <c r="E52" s="23"/>
      <c r="F52" s="23"/>
      <c r="G52" s="23"/>
      <c r="H52" s="23"/>
      <c r="I52" s="23"/>
      <c r="J52" s="23"/>
    </row>
    <row r="53" spans="1:10">
      <c r="A53" s="130" t="s">
        <v>345</v>
      </c>
      <c r="B53" s="130"/>
    </row>
    <row r="54" spans="1:10">
      <c r="A54" s="130" t="s">
        <v>331</v>
      </c>
      <c r="B54" s="130"/>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sheetPr codeName="Sheet171">
    <pageSetUpPr fitToPage="1"/>
  </sheetPr>
  <dimension ref="A1:F52"/>
  <sheetViews>
    <sheetView showGridLines="0" showZeros="0" workbookViewId="0"/>
  </sheetViews>
  <sheetFormatPr defaultColWidth="15.83203125" defaultRowHeight="12"/>
  <cols>
    <col min="1" max="1" width="32.83203125" style="2" customWidth="1"/>
    <col min="2" max="2" width="23.83203125" style="2" customWidth="1"/>
    <col min="3" max="3" width="12.83203125" style="2" customWidth="1"/>
    <col min="4" max="4" width="22.83203125" style="2" customWidth="1"/>
    <col min="5" max="5" width="12.83203125" style="2" customWidth="1"/>
    <col min="6" max="6" width="27.83203125" style="2" customWidth="1"/>
    <col min="7" max="16384" width="15.83203125" style="2"/>
  </cols>
  <sheetData>
    <row r="1" spans="1:6" ht="6.95" customHeight="1">
      <c r="A1" s="7"/>
      <c r="B1" s="8"/>
      <c r="C1" s="8"/>
      <c r="D1" s="8"/>
      <c r="E1" s="8"/>
    </row>
    <row r="2" spans="1:6" ht="15.95" customHeight="1">
      <c r="A2" s="134"/>
      <c r="B2" s="9" t="s">
        <v>263</v>
      </c>
      <c r="C2" s="10"/>
      <c r="D2" s="10"/>
      <c r="E2" s="135"/>
      <c r="F2" s="396" t="s">
        <v>407</v>
      </c>
    </row>
    <row r="3" spans="1:6" ht="15.95" customHeight="1">
      <c r="A3" s="543"/>
      <c r="B3" s="11" t="str">
        <f>OPYEAR</f>
        <v>OPERATING FUND 2015/2016 ACTUAL</v>
      </c>
      <c r="C3" s="12"/>
      <c r="D3" s="12"/>
      <c r="E3" s="66"/>
      <c r="F3" s="66"/>
    </row>
    <row r="4" spans="1:6" ht="15.95" customHeight="1">
      <c r="B4" s="8"/>
      <c r="C4" s="8"/>
      <c r="D4" s="8"/>
      <c r="E4" s="8"/>
    </row>
    <row r="5" spans="1:6" ht="15.95" customHeight="1">
      <c r="B5" s="154" t="s">
        <v>189</v>
      </c>
      <c r="C5" s="173"/>
      <c r="D5" s="39"/>
      <c r="E5" s="183"/>
    </row>
    <row r="6" spans="1:6" ht="15.95" customHeight="1">
      <c r="B6" s="643" t="s">
        <v>490</v>
      </c>
      <c r="C6" s="644"/>
      <c r="D6" s="337"/>
      <c r="E6" s="338"/>
    </row>
    <row r="7" spans="1:6" ht="15.95" customHeight="1">
      <c r="B7" s="645"/>
      <c r="C7" s="646"/>
      <c r="D7" s="648" t="s">
        <v>79</v>
      </c>
      <c r="E7" s="649"/>
    </row>
    <row r="8" spans="1:6" ht="15.95" customHeight="1">
      <c r="A8" s="67"/>
      <c r="B8" s="139"/>
      <c r="C8" s="137"/>
      <c r="D8" s="139"/>
      <c r="E8" s="137"/>
    </row>
    <row r="9" spans="1:6" ht="15.95" customHeight="1">
      <c r="A9" s="35" t="s">
        <v>42</v>
      </c>
      <c r="B9" s="77" t="s">
        <v>43</v>
      </c>
      <c r="C9" s="77" t="s">
        <v>44</v>
      </c>
      <c r="D9" s="77" t="s">
        <v>43</v>
      </c>
      <c r="E9" s="77" t="s">
        <v>44</v>
      </c>
    </row>
    <row r="10" spans="1:6" ht="5.0999999999999996" customHeight="1">
      <c r="A10" s="6"/>
    </row>
    <row r="11" spans="1:6" ht="14.1" customHeight="1">
      <c r="A11" s="285" t="s">
        <v>110</v>
      </c>
      <c r="B11" s="286">
        <v>0</v>
      </c>
      <c r="C11" s="292">
        <f>B11/'- 3 -'!$D11*100</f>
        <v>0</v>
      </c>
      <c r="D11" s="286">
        <v>0</v>
      </c>
      <c r="E11" s="292">
        <f>D11/'- 3 -'!$D11*100</f>
        <v>0</v>
      </c>
    </row>
    <row r="12" spans="1:6" ht="14.1" customHeight="1">
      <c r="A12" s="19" t="s">
        <v>111</v>
      </c>
      <c r="B12" s="20">
        <v>126462</v>
      </c>
      <c r="C12" s="70">
        <f>B12/'- 3 -'!$D12*100</f>
        <v>0.39155653242573085</v>
      </c>
      <c r="D12" s="20">
        <v>441482</v>
      </c>
      <c r="E12" s="70">
        <f>D12/'- 3 -'!$D12*100</f>
        <v>1.3669336326198898</v>
      </c>
    </row>
    <row r="13" spans="1:6" ht="14.1" customHeight="1">
      <c r="A13" s="285" t="s">
        <v>112</v>
      </c>
      <c r="B13" s="286">
        <v>0</v>
      </c>
      <c r="C13" s="292">
        <f>B13/'- 3 -'!$D13*100</f>
        <v>0</v>
      </c>
      <c r="D13" s="286">
        <v>0</v>
      </c>
      <c r="E13" s="292">
        <f>D13/'- 3 -'!$D13*100</f>
        <v>0</v>
      </c>
    </row>
    <row r="14" spans="1:6" ht="14.1" customHeight="1">
      <c r="A14" s="19" t="s">
        <v>359</v>
      </c>
      <c r="B14" s="20">
        <v>73588</v>
      </c>
      <c r="C14" s="70">
        <f>B14/'- 3 -'!$D14*100</f>
        <v>9.060878060747507E-2</v>
      </c>
      <c r="D14" s="20">
        <v>168101</v>
      </c>
      <c r="E14" s="70">
        <f>D14/'- 3 -'!$D14*100</f>
        <v>0.20698247851412138</v>
      </c>
    </row>
    <row r="15" spans="1:6" ht="14.1" customHeight="1">
      <c r="A15" s="285" t="s">
        <v>113</v>
      </c>
      <c r="B15" s="286">
        <v>0</v>
      </c>
      <c r="C15" s="292">
        <f>B15/'- 3 -'!$D15*100</f>
        <v>0</v>
      </c>
      <c r="D15" s="286">
        <v>0</v>
      </c>
      <c r="E15" s="292">
        <f>D15/'- 3 -'!$D15*100</f>
        <v>0</v>
      </c>
    </row>
    <row r="16" spans="1:6" ht="14.1" customHeight="1">
      <c r="A16" s="19" t="s">
        <v>114</v>
      </c>
      <c r="B16" s="20">
        <v>22530</v>
      </c>
      <c r="C16" s="70">
        <f>B16/'- 3 -'!$D16*100</f>
        <v>0.1607007780756492</v>
      </c>
      <c r="D16" s="20">
        <v>69770</v>
      </c>
      <c r="E16" s="70">
        <f>D16/'- 3 -'!$D16*100</f>
        <v>0.49765172154185727</v>
      </c>
    </row>
    <row r="17" spans="1:5" ht="14.1" customHeight="1">
      <c r="A17" s="285" t="s">
        <v>115</v>
      </c>
      <c r="B17" s="286">
        <v>0</v>
      </c>
      <c r="C17" s="292">
        <f>B17/'- 3 -'!$D17*100</f>
        <v>0</v>
      </c>
      <c r="D17" s="286">
        <v>0</v>
      </c>
      <c r="E17" s="292">
        <f>D17/'- 3 -'!$D17*100</f>
        <v>0</v>
      </c>
    </row>
    <row r="18" spans="1:5" ht="14.1" customHeight="1">
      <c r="A18" s="19" t="s">
        <v>116</v>
      </c>
      <c r="B18" s="20">
        <v>223442</v>
      </c>
      <c r="C18" s="70">
        <f>B18/'- 3 -'!$D18*100</f>
        <v>0.17628245005103105</v>
      </c>
      <c r="D18" s="20">
        <v>1802600</v>
      </c>
      <c r="E18" s="70">
        <f>D18/'- 3 -'!$D18*100</f>
        <v>1.4221442005620633</v>
      </c>
    </row>
    <row r="19" spans="1:5" ht="14.1" customHeight="1">
      <c r="A19" s="285" t="s">
        <v>117</v>
      </c>
      <c r="B19" s="286">
        <v>0</v>
      </c>
      <c r="C19" s="292">
        <f>B19/'- 3 -'!$D19*100</f>
        <v>0</v>
      </c>
      <c r="D19" s="286">
        <v>0</v>
      </c>
      <c r="E19" s="292">
        <f>D19/'- 3 -'!$D19*100</f>
        <v>0</v>
      </c>
    </row>
    <row r="20" spans="1:5" ht="14.1" customHeight="1">
      <c r="A20" s="19" t="s">
        <v>118</v>
      </c>
      <c r="B20" s="20">
        <v>0</v>
      </c>
      <c r="C20" s="70">
        <f>B20/'- 3 -'!$D20*100</f>
        <v>0</v>
      </c>
      <c r="D20" s="20">
        <v>0</v>
      </c>
      <c r="E20" s="70">
        <f>D20/'- 3 -'!$D20*100</f>
        <v>0</v>
      </c>
    </row>
    <row r="21" spans="1:5" ht="14.1" customHeight="1">
      <c r="A21" s="285" t="s">
        <v>119</v>
      </c>
      <c r="B21" s="286">
        <v>0</v>
      </c>
      <c r="C21" s="292">
        <f>B21/'- 3 -'!$D21*100</f>
        <v>0</v>
      </c>
      <c r="D21" s="286">
        <v>0</v>
      </c>
      <c r="E21" s="292">
        <f>D21/'- 3 -'!$D21*100</f>
        <v>0</v>
      </c>
    </row>
    <row r="22" spans="1:5" ht="14.1" customHeight="1">
      <c r="A22" s="19" t="s">
        <v>120</v>
      </c>
      <c r="B22" s="20">
        <v>135607</v>
      </c>
      <c r="C22" s="70">
        <f>B22/'- 3 -'!$D22*100</f>
        <v>0.67854234611218811</v>
      </c>
      <c r="D22" s="20">
        <v>459761</v>
      </c>
      <c r="E22" s="70">
        <f>D22/'- 3 -'!$D22*100</f>
        <v>2.3005251026192286</v>
      </c>
    </row>
    <row r="23" spans="1:5" ht="14.1" customHeight="1">
      <c r="A23" s="285" t="s">
        <v>121</v>
      </c>
      <c r="B23" s="286">
        <v>59598</v>
      </c>
      <c r="C23" s="292">
        <f>B23/'- 3 -'!$D23*100</f>
        <v>0.36930968250942703</v>
      </c>
      <c r="D23" s="286">
        <v>204523</v>
      </c>
      <c r="E23" s="292">
        <f>D23/'- 3 -'!$D23*100</f>
        <v>1.2673634047430373</v>
      </c>
    </row>
    <row r="24" spans="1:5" ht="14.1" customHeight="1">
      <c r="A24" s="19" t="s">
        <v>122</v>
      </c>
      <c r="B24" s="20">
        <v>132621</v>
      </c>
      <c r="C24" s="70">
        <f>B24/'- 3 -'!$D24*100</f>
        <v>0.23809255799045939</v>
      </c>
      <c r="D24" s="20">
        <v>243942</v>
      </c>
      <c r="E24" s="70">
        <f>D24/'- 3 -'!$D24*100</f>
        <v>0.43794553487991078</v>
      </c>
    </row>
    <row r="25" spans="1:5" ht="14.1" customHeight="1">
      <c r="A25" s="285" t="s">
        <v>123</v>
      </c>
      <c r="B25" s="286">
        <v>103993</v>
      </c>
      <c r="C25" s="292">
        <f>B25/'- 3 -'!$D25*100</f>
        <v>6.1886183493114283E-2</v>
      </c>
      <c r="D25" s="286">
        <v>965203</v>
      </c>
      <c r="E25" s="292">
        <f>D25/'- 3 -'!$D25*100</f>
        <v>0.57439183373981306</v>
      </c>
    </row>
    <row r="26" spans="1:5" ht="14.1" customHeight="1">
      <c r="A26" s="19" t="s">
        <v>124</v>
      </c>
      <c r="B26" s="20">
        <v>0</v>
      </c>
      <c r="C26" s="70">
        <f>B26/'- 3 -'!$D26*100</f>
        <v>0</v>
      </c>
      <c r="D26" s="20">
        <v>0</v>
      </c>
      <c r="E26" s="70">
        <f>D26/'- 3 -'!$D26*100</f>
        <v>0</v>
      </c>
    </row>
    <row r="27" spans="1:5" ht="14.1" customHeight="1">
      <c r="A27" s="285" t="s">
        <v>125</v>
      </c>
      <c r="B27" s="286">
        <v>0</v>
      </c>
      <c r="C27" s="292">
        <f>B27/'- 3 -'!$D27*100</f>
        <v>0</v>
      </c>
      <c r="D27" s="286">
        <v>0</v>
      </c>
      <c r="E27" s="292">
        <f>D27/'- 3 -'!$D27*100</f>
        <v>0</v>
      </c>
    </row>
    <row r="28" spans="1:5" ht="14.1" customHeight="1">
      <c r="A28" s="19" t="s">
        <v>126</v>
      </c>
      <c r="B28" s="20">
        <v>0</v>
      </c>
      <c r="C28" s="70">
        <f>B28/'- 3 -'!$D28*100</f>
        <v>0</v>
      </c>
      <c r="D28" s="20">
        <v>101232</v>
      </c>
      <c r="E28" s="70">
        <f>D28/'- 3 -'!$D28*100</f>
        <v>0.36407310017602695</v>
      </c>
    </row>
    <row r="29" spans="1:5" ht="14.1" customHeight="1">
      <c r="A29" s="285" t="s">
        <v>127</v>
      </c>
      <c r="B29" s="286">
        <v>0</v>
      </c>
      <c r="C29" s="292">
        <f>B29/'- 3 -'!$D29*100</f>
        <v>0</v>
      </c>
      <c r="D29" s="286">
        <v>0</v>
      </c>
      <c r="E29" s="292">
        <f>D29/'- 3 -'!$D29*100</f>
        <v>0</v>
      </c>
    </row>
    <row r="30" spans="1:5" ht="14.1" customHeight="1">
      <c r="A30" s="19" t="s">
        <v>128</v>
      </c>
      <c r="B30" s="20">
        <v>0</v>
      </c>
      <c r="C30" s="70">
        <f>B30/'- 3 -'!$D30*100</f>
        <v>0</v>
      </c>
      <c r="D30" s="20">
        <v>0</v>
      </c>
      <c r="E30" s="70">
        <f>D30/'- 3 -'!$D30*100</f>
        <v>0</v>
      </c>
    </row>
    <row r="31" spans="1:5" ht="14.1" customHeight="1">
      <c r="A31" s="285" t="s">
        <v>129</v>
      </c>
      <c r="B31" s="286">
        <v>0</v>
      </c>
      <c r="C31" s="292">
        <f>B31/'- 3 -'!$D31*100</f>
        <v>0</v>
      </c>
      <c r="D31" s="286">
        <v>0</v>
      </c>
      <c r="E31" s="292">
        <f>D31/'- 3 -'!$D31*100</f>
        <v>0</v>
      </c>
    </row>
    <row r="32" spans="1:5" ht="14.1" customHeight="1">
      <c r="A32" s="19" t="s">
        <v>130</v>
      </c>
      <c r="B32" s="20">
        <v>64862</v>
      </c>
      <c r="C32" s="70">
        <f>B32/'- 3 -'!$D32*100</f>
        <v>0.23231473542760675</v>
      </c>
      <c r="D32" s="20">
        <v>202092</v>
      </c>
      <c r="E32" s="70">
        <f>D32/'- 3 -'!$D32*100</f>
        <v>0.72382827405932437</v>
      </c>
    </row>
    <row r="33" spans="1:6" ht="14.1" customHeight="1">
      <c r="A33" s="285" t="s">
        <v>131</v>
      </c>
      <c r="B33" s="286">
        <v>0</v>
      </c>
      <c r="C33" s="292">
        <f>B33/'- 3 -'!$D33*100</f>
        <v>0</v>
      </c>
      <c r="D33" s="286">
        <v>0</v>
      </c>
      <c r="E33" s="292">
        <f>D33/'- 3 -'!$D33*100</f>
        <v>0</v>
      </c>
    </row>
    <row r="34" spans="1:6" ht="14.1" customHeight="1">
      <c r="A34" s="19" t="s">
        <v>132</v>
      </c>
      <c r="B34" s="20">
        <v>0</v>
      </c>
      <c r="C34" s="70">
        <f>B34/'- 3 -'!$D34*100</f>
        <v>0</v>
      </c>
      <c r="D34" s="20">
        <v>0</v>
      </c>
      <c r="E34" s="70">
        <f>D34/'- 3 -'!$D34*100</f>
        <v>0</v>
      </c>
    </row>
    <row r="35" spans="1:6" ht="14.1" customHeight="1">
      <c r="A35" s="285" t="s">
        <v>133</v>
      </c>
      <c r="B35" s="286">
        <v>268514</v>
      </c>
      <c r="C35" s="292">
        <f>B35/'- 3 -'!$D35*100</f>
        <v>0.14872857106125989</v>
      </c>
      <c r="D35" s="286">
        <v>739015</v>
      </c>
      <c r="E35" s="292">
        <f>D35/'- 3 -'!$D35*100</f>
        <v>0.40933673828119571</v>
      </c>
    </row>
    <row r="36" spans="1:6" ht="14.1" customHeight="1">
      <c r="A36" s="19" t="s">
        <v>134</v>
      </c>
      <c r="B36" s="20">
        <v>31293</v>
      </c>
      <c r="C36" s="70">
        <f>B36/'- 3 -'!$D36*100</f>
        <v>0.13946160413868453</v>
      </c>
      <c r="D36" s="20">
        <v>88719</v>
      </c>
      <c r="E36" s="70">
        <f>D36/'- 3 -'!$D36*100</f>
        <v>0.39538855519061622</v>
      </c>
    </row>
    <row r="37" spans="1:6" ht="14.1" customHeight="1">
      <c r="A37" s="285" t="s">
        <v>135</v>
      </c>
      <c r="B37" s="286">
        <v>125371</v>
      </c>
      <c r="C37" s="292">
        <f>B37/'- 3 -'!$D37*100</f>
        <v>0.26249502578301598</v>
      </c>
      <c r="D37" s="286">
        <v>186528</v>
      </c>
      <c r="E37" s="292">
        <f>D37/'- 3 -'!$D37*100</f>
        <v>0.39054224796208376</v>
      </c>
    </row>
    <row r="38" spans="1:6" ht="14.1" customHeight="1">
      <c r="A38" s="19" t="s">
        <v>136</v>
      </c>
      <c r="B38" s="20">
        <v>175540</v>
      </c>
      <c r="C38" s="70">
        <f>B38/'- 3 -'!$D38*100</f>
        <v>0.13828486636781201</v>
      </c>
      <c r="D38" s="20">
        <v>664134</v>
      </c>
      <c r="E38" s="70">
        <f>D38/'- 3 -'!$D38*100</f>
        <v>0.52318378398268461</v>
      </c>
    </row>
    <row r="39" spans="1:6" ht="14.1" customHeight="1">
      <c r="A39" s="285" t="s">
        <v>137</v>
      </c>
      <c r="B39" s="286">
        <v>0</v>
      </c>
      <c r="C39" s="292">
        <f>B39/'- 3 -'!$D39*100</f>
        <v>0</v>
      </c>
      <c r="D39" s="286">
        <v>0</v>
      </c>
      <c r="E39" s="292">
        <f>D39/'- 3 -'!$D39*100</f>
        <v>0</v>
      </c>
    </row>
    <row r="40" spans="1:6" ht="14.1" customHeight="1">
      <c r="A40" s="19" t="s">
        <v>138</v>
      </c>
      <c r="B40" s="20">
        <v>0</v>
      </c>
      <c r="C40" s="70">
        <f>B40/'- 3 -'!$D40*100</f>
        <v>0</v>
      </c>
      <c r="D40" s="20">
        <v>0</v>
      </c>
      <c r="E40" s="70">
        <f>D40/'- 3 -'!$D40*100</f>
        <v>0</v>
      </c>
    </row>
    <row r="41" spans="1:6" ht="14.1" customHeight="1">
      <c r="A41" s="285" t="s">
        <v>139</v>
      </c>
      <c r="B41" s="286">
        <v>346115</v>
      </c>
      <c r="C41" s="292">
        <f>B41/'- 3 -'!$D41*100</f>
        <v>0.55997608111066222</v>
      </c>
      <c r="D41" s="286">
        <v>624855</v>
      </c>
      <c r="E41" s="292">
        <f>D41/'- 3 -'!$D41*100</f>
        <v>1.0109468071664125</v>
      </c>
    </row>
    <row r="42" spans="1:6" ht="14.1" customHeight="1">
      <c r="A42" s="19" t="s">
        <v>140</v>
      </c>
      <c r="B42" s="20">
        <v>0</v>
      </c>
      <c r="C42" s="70">
        <f>B42/'- 3 -'!$D42*100</f>
        <v>0</v>
      </c>
      <c r="D42" s="20">
        <v>0</v>
      </c>
      <c r="E42" s="70">
        <f>D42/'- 3 -'!$D42*100</f>
        <v>0</v>
      </c>
    </row>
    <row r="43" spans="1:6" ht="14.1" customHeight="1">
      <c r="A43" s="285" t="s">
        <v>141</v>
      </c>
      <c r="B43" s="286">
        <v>0</v>
      </c>
      <c r="C43" s="292">
        <f>B43/'- 3 -'!$D43*100</f>
        <v>0</v>
      </c>
      <c r="D43" s="286">
        <v>232675</v>
      </c>
      <c r="E43" s="292">
        <f>D43/'- 3 -'!$D43*100</f>
        <v>1.8295067215844996</v>
      </c>
    </row>
    <row r="44" spans="1:6" ht="14.1" customHeight="1">
      <c r="A44" s="19" t="s">
        <v>142</v>
      </c>
      <c r="B44" s="20">
        <v>0</v>
      </c>
      <c r="C44" s="70">
        <f>B44/'- 3 -'!$D44*100</f>
        <v>0</v>
      </c>
      <c r="D44" s="20">
        <v>0</v>
      </c>
      <c r="E44" s="70">
        <f>D44/'- 3 -'!$D44*100</f>
        <v>0</v>
      </c>
    </row>
    <row r="45" spans="1:6" ht="14.1" customHeight="1">
      <c r="A45" s="285" t="s">
        <v>143</v>
      </c>
      <c r="B45" s="286">
        <v>157732</v>
      </c>
      <c r="C45" s="292">
        <f>B45/'- 3 -'!$D45*100</f>
        <v>0.8603800319088778</v>
      </c>
      <c r="D45" s="286">
        <v>238236</v>
      </c>
      <c r="E45" s="292">
        <f>D45/'- 3 -'!$D45*100</f>
        <v>1.2995048391058468</v>
      </c>
    </row>
    <row r="46" spans="1:6" ht="14.1" customHeight="1">
      <c r="A46" s="19" t="s">
        <v>144</v>
      </c>
      <c r="B46" s="20">
        <v>113701</v>
      </c>
      <c r="C46" s="70">
        <f>B46/'- 3 -'!$D46*100</f>
        <v>2.9799311604740041E-2</v>
      </c>
      <c r="D46" s="20">
        <v>668093</v>
      </c>
      <c r="E46" s="70">
        <f>D46/'- 3 -'!$D46*100</f>
        <v>0.17509706588284699</v>
      </c>
    </row>
    <row r="47" spans="1:6" ht="5.0999999999999996" customHeight="1">
      <c r="A47"/>
      <c r="B47"/>
      <c r="C47"/>
      <c r="D47"/>
      <c r="E47"/>
      <c r="F47"/>
    </row>
    <row r="48" spans="1:6" ht="14.1" customHeight="1">
      <c r="A48" s="287" t="s">
        <v>145</v>
      </c>
      <c r="B48" s="288">
        <f>SUM(B11:B46)</f>
        <v>2160969</v>
      </c>
      <c r="C48" s="295">
        <f>B48/'- 3 -'!$D48*100</f>
        <v>9.7538519047466826E-2</v>
      </c>
      <c r="D48" s="288">
        <f>SUM(D11:D46)</f>
        <v>8100961</v>
      </c>
      <c r="E48" s="295">
        <f>D48/'- 3 -'!$D48*100</f>
        <v>0.36564880791963505</v>
      </c>
    </row>
    <row r="49" spans="1:5" ht="5.0999999999999996" customHeight="1">
      <c r="A49" s="21" t="s">
        <v>7</v>
      </c>
      <c r="B49"/>
      <c r="C49"/>
      <c r="D49"/>
      <c r="E49"/>
    </row>
    <row r="50" spans="1:5" ht="14.1" customHeight="1">
      <c r="A50" s="19" t="s">
        <v>146</v>
      </c>
      <c r="B50" s="20">
        <v>0</v>
      </c>
      <c r="C50" s="70">
        <f>B50/'- 3 -'!$D50*100</f>
        <v>0</v>
      </c>
      <c r="D50" s="20">
        <v>0</v>
      </c>
      <c r="E50" s="70">
        <f>D50/'- 3 -'!$D50*100</f>
        <v>0</v>
      </c>
    </row>
    <row r="51" spans="1:5" ht="14.1" customHeight="1">
      <c r="A51" s="285" t="s">
        <v>612</v>
      </c>
      <c r="B51" s="286">
        <v>1010352</v>
      </c>
      <c r="C51" s="292">
        <f>B51/'- 3 -'!$D51*100</f>
        <v>3.8108454481656264</v>
      </c>
      <c r="D51" s="286">
        <v>1827478</v>
      </c>
      <c r="E51" s="292">
        <f>D51/'- 3 -'!$D51*100</f>
        <v>6.8928811126447247</v>
      </c>
    </row>
    <row r="52" spans="1:5" ht="50.1" customHeight="1"/>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sheetPr transitionEntry="1" codeName="Sheet1">
    <pageSetUpPr fitToPage="1"/>
  </sheetPr>
  <dimension ref="A1:G58"/>
  <sheetViews>
    <sheetView showGridLines="0" showZeros="0" workbookViewId="0"/>
  </sheetViews>
  <sheetFormatPr defaultColWidth="15.83203125" defaultRowHeight="12"/>
  <cols>
    <col min="1" max="1" width="32.83203125" style="2" customWidth="1"/>
    <col min="2" max="2" width="18.83203125" style="2" customWidth="1"/>
    <col min="3" max="3" width="19.83203125" style="2" customWidth="1"/>
    <col min="4" max="4" width="21.83203125" style="2" customWidth="1"/>
    <col min="5" max="5" width="19.83203125" style="2" customWidth="1"/>
    <col min="6" max="6" width="20.83203125" style="2" customWidth="1"/>
    <col min="7" max="16384" width="15.83203125" style="2"/>
  </cols>
  <sheetData>
    <row r="1" spans="1:6" ht="6.95" customHeight="1">
      <c r="A1" s="7"/>
      <c r="B1" s="8"/>
      <c r="C1" s="8"/>
      <c r="D1" s="8"/>
      <c r="E1" s="8"/>
      <c r="F1" s="8"/>
    </row>
    <row r="2" spans="1:6" ht="15.95" customHeight="1">
      <c r="A2" s="9" t="s">
        <v>251</v>
      </c>
      <c r="B2" s="10"/>
      <c r="C2" s="10"/>
      <c r="D2" s="10"/>
      <c r="E2" s="10"/>
      <c r="F2" s="10"/>
    </row>
    <row r="3" spans="1:6" ht="15.95" customHeight="1">
      <c r="A3" s="11" t="str">
        <f>"OPERATING FUND "&amp;FALLYR&amp;"/"&amp;SPRINGYR&amp;" ACTUAL"</f>
        <v>OPERATING FUND 2015/2016 ACTUAL</v>
      </c>
      <c r="B3" s="12"/>
      <c r="C3" s="13"/>
      <c r="D3" s="12"/>
      <c r="E3" s="12"/>
      <c r="F3" s="12"/>
    </row>
    <row r="4" spans="1:6" ht="15.95" customHeight="1">
      <c r="B4" s="8"/>
      <c r="C4" s="8"/>
      <c r="D4" s="8"/>
      <c r="E4" s="8"/>
      <c r="F4" s="8"/>
    </row>
    <row r="5" spans="1:6" ht="15.95" customHeight="1">
      <c r="B5" s="8"/>
      <c r="C5" s="8"/>
      <c r="D5" s="8"/>
      <c r="E5" s="8"/>
      <c r="F5" s="8"/>
    </row>
    <row r="6" spans="1:6" ht="15.95" customHeight="1">
      <c r="B6" s="14"/>
      <c r="C6" s="596" t="s">
        <v>451</v>
      </c>
      <c r="D6" s="599" t="s">
        <v>452</v>
      </c>
      <c r="E6" s="596" t="s">
        <v>453</v>
      </c>
      <c r="F6" s="596" t="s">
        <v>454</v>
      </c>
    </row>
    <row r="7" spans="1:6" ht="15.95" customHeight="1">
      <c r="B7" s="14"/>
      <c r="C7" s="597"/>
      <c r="D7" s="600"/>
      <c r="E7" s="602"/>
      <c r="F7" s="602"/>
    </row>
    <row r="8" spans="1:6" ht="15.95" customHeight="1">
      <c r="A8" s="16"/>
      <c r="B8" s="594" t="s">
        <v>450</v>
      </c>
      <c r="C8" s="597"/>
      <c r="D8" s="600"/>
      <c r="E8" s="602"/>
      <c r="F8" s="602"/>
    </row>
    <row r="9" spans="1:6">
      <c r="A9" s="17" t="s">
        <v>42</v>
      </c>
      <c r="B9" s="595"/>
      <c r="C9" s="598"/>
      <c r="D9" s="601"/>
      <c r="E9" s="603"/>
      <c r="F9" s="603"/>
    </row>
    <row r="10" spans="1:6" ht="5.0999999999999996" customHeight="1">
      <c r="A10" s="18"/>
    </row>
    <row r="11" spans="1:6" ht="14.1" customHeight="1">
      <c r="A11" s="285" t="s">
        <v>110</v>
      </c>
      <c r="B11" s="286">
        <v>17986568</v>
      </c>
      <c r="C11" s="286">
        <f>-Data!K11</f>
        <v>-47493</v>
      </c>
      <c r="D11" s="286">
        <f>B11+C11</f>
        <v>17939075</v>
      </c>
      <c r="E11" s="286">
        <f>-'- 15 -'!H11-'- 16 -'!B11</f>
        <v>-22298</v>
      </c>
      <c r="F11" s="286">
        <f>D11+E11</f>
        <v>17916777</v>
      </c>
    </row>
    <row r="12" spans="1:6" ht="14.1" customHeight="1">
      <c r="A12" s="19" t="s">
        <v>111</v>
      </c>
      <c r="B12" s="20">
        <v>32677016</v>
      </c>
      <c r="C12" s="20">
        <f>-Data!K12</f>
        <v>-379764</v>
      </c>
      <c r="D12" s="20">
        <f t="shared" ref="D12:D46" si="0">B12+C12</f>
        <v>32297252</v>
      </c>
      <c r="E12" s="20">
        <f>-'- 15 -'!H12-'- 16 -'!B12</f>
        <v>-617577</v>
      </c>
      <c r="F12" s="20">
        <f t="shared" ref="F12:F46" si="1">D12+E12</f>
        <v>31679675</v>
      </c>
    </row>
    <row r="13" spans="1:6" ht="14.1" customHeight="1">
      <c r="A13" s="285" t="s">
        <v>112</v>
      </c>
      <c r="B13" s="286">
        <v>90865684</v>
      </c>
      <c r="C13" s="286">
        <f>-Data!K13</f>
        <v>-102960</v>
      </c>
      <c r="D13" s="286">
        <f t="shared" si="0"/>
        <v>90762724</v>
      </c>
      <c r="E13" s="286">
        <f>-'- 15 -'!H13-'- 16 -'!B13</f>
        <v>-253711</v>
      </c>
      <c r="F13" s="286">
        <f t="shared" si="1"/>
        <v>90509013</v>
      </c>
    </row>
    <row r="14" spans="1:6" ht="14.1" customHeight="1">
      <c r="A14" s="19" t="s">
        <v>359</v>
      </c>
      <c r="B14" s="20">
        <v>81571531</v>
      </c>
      <c r="C14" s="20">
        <f>-Data!K14</f>
        <v>-356444</v>
      </c>
      <c r="D14" s="20">
        <f t="shared" si="0"/>
        <v>81215087</v>
      </c>
      <c r="E14" s="20">
        <f>-'- 15 -'!H14-'- 16 -'!B14</f>
        <v>-1532636</v>
      </c>
      <c r="F14" s="20">
        <f t="shared" si="1"/>
        <v>79682451</v>
      </c>
    </row>
    <row r="15" spans="1:6" ht="14.1" customHeight="1">
      <c r="A15" s="285" t="s">
        <v>113</v>
      </c>
      <c r="B15" s="286">
        <v>19917650</v>
      </c>
      <c r="C15" s="286">
        <f>-Data!K15</f>
        <v>-83072</v>
      </c>
      <c r="D15" s="286">
        <f t="shared" si="0"/>
        <v>19834578</v>
      </c>
      <c r="E15" s="286">
        <f>-'- 15 -'!H15-'- 16 -'!B15</f>
        <v>-67438</v>
      </c>
      <c r="F15" s="286">
        <f t="shared" si="1"/>
        <v>19767140</v>
      </c>
    </row>
    <row r="16" spans="1:6" ht="14.1" customHeight="1">
      <c r="A16" s="19" t="s">
        <v>114</v>
      </c>
      <c r="B16" s="20">
        <v>14019845</v>
      </c>
      <c r="C16" s="20">
        <f>-Data!K16</f>
        <v>0</v>
      </c>
      <c r="D16" s="20">
        <f t="shared" si="0"/>
        <v>14019845</v>
      </c>
      <c r="E16" s="20">
        <f>-'- 15 -'!H16-'- 16 -'!B16</f>
        <v>-106531</v>
      </c>
      <c r="F16" s="20">
        <f t="shared" si="1"/>
        <v>13913314</v>
      </c>
    </row>
    <row r="17" spans="1:6" ht="14.1" customHeight="1">
      <c r="A17" s="285" t="s">
        <v>115</v>
      </c>
      <c r="B17" s="286">
        <v>17442990</v>
      </c>
      <c r="C17" s="286">
        <f>-Data!K17</f>
        <v>-72530</v>
      </c>
      <c r="D17" s="286">
        <f t="shared" si="0"/>
        <v>17370460</v>
      </c>
      <c r="E17" s="286">
        <f>-'- 15 -'!H17-'- 16 -'!B17</f>
        <v>-333840</v>
      </c>
      <c r="F17" s="286">
        <f t="shared" si="1"/>
        <v>17036620</v>
      </c>
    </row>
    <row r="18" spans="1:6" ht="14.1" customHeight="1">
      <c r="A18" s="19" t="s">
        <v>116</v>
      </c>
      <c r="B18" s="20">
        <v>131708925</v>
      </c>
      <c r="C18" s="20">
        <f>-Data!K18</f>
        <v>-4956659</v>
      </c>
      <c r="D18" s="20">
        <f t="shared" si="0"/>
        <v>126752266</v>
      </c>
      <c r="E18" s="20">
        <f>-'- 15 -'!H18-'- 16 -'!B18</f>
        <v>-4602132</v>
      </c>
      <c r="F18" s="20">
        <f t="shared" si="1"/>
        <v>122150134</v>
      </c>
    </row>
    <row r="19" spans="1:6" ht="14.1" customHeight="1">
      <c r="A19" s="285" t="s">
        <v>117</v>
      </c>
      <c r="B19" s="286">
        <v>45143950</v>
      </c>
      <c r="C19" s="286">
        <f>-Data!K19</f>
        <v>-415444</v>
      </c>
      <c r="D19" s="286">
        <f t="shared" si="0"/>
        <v>44728506</v>
      </c>
      <c r="E19" s="286">
        <f>-'- 15 -'!H19-'- 16 -'!B19</f>
        <v>-60471</v>
      </c>
      <c r="F19" s="286">
        <f t="shared" si="1"/>
        <v>44668035</v>
      </c>
    </row>
    <row r="20" spans="1:6" ht="14.1" customHeight="1">
      <c r="A20" s="19" t="s">
        <v>118</v>
      </c>
      <c r="B20" s="20">
        <v>79708028</v>
      </c>
      <c r="C20" s="20">
        <f>-Data!K20</f>
        <v>-1415081</v>
      </c>
      <c r="D20" s="20">
        <f t="shared" si="0"/>
        <v>78292947</v>
      </c>
      <c r="E20" s="20">
        <f>-'- 15 -'!H20-'- 16 -'!B20</f>
        <v>-155584</v>
      </c>
      <c r="F20" s="20">
        <f t="shared" si="1"/>
        <v>78137363</v>
      </c>
    </row>
    <row r="21" spans="1:6" ht="14.1" customHeight="1">
      <c r="A21" s="285" t="s">
        <v>119</v>
      </c>
      <c r="B21" s="286">
        <v>35473437</v>
      </c>
      <c r="C21" s="286">
        <f>-Data!K21</f>
        <v>-350091</v>
      </c>
      <c r="D21" s="286">
        <f t="shared" si="0"/>
        <v>35123346</v>
      </c>
      <c r="E21" s="286">
        <f>-'- 15 -'!H21-'- 16 -'!B21</f>
        <v>-248213</v>
      </c>
      <c r="F21" s="286">
        <f t="shared" si="1"/>
        <v>34875133</v>
      </c>
    </row>
    <row r="22" spans="1:6" ht="14.1" customHeight="1">
      <c r="A22" s="19" t="s">
        <v>120</v>
      </c>
      <c r="B22" s="20">
        <v>20014661</v>
      </c>
      <c r="C22" s="20">
        <f>-Data!K22</f>
        <v>-29615</v>
      </c>
      <c r="D22" s="20">
        <f t="shared" si="0"/>
        <v>19985046</v>
      </c>
      <c r="E22" s="20">
        <f>-'- 15 -'!H22-'- 16 -'!B22</f>
        <v>-651058</v>
      </c>
      <c r="F22" s="20">
        <f t="shared" si="1"/>
        <v>19333988</v>
      </c>
    </row>
    <row r="23" spans="1:6" ht="14.1" customHeight="1">
      <c r="A23" s="285" t="s">
        <v>121</v>
      </c>
      <c r="B23" s="286">
        <v>16198992</v>
      </c>
      <c r="C23" s="286">
        <f>-Data!K23</f>
        <v>-61316</v>
      </c>
      <c r="D23" s="286">
        <f t="shared" si="0"/>
        <v>16137676</v>
      </c>
      <c r="E23" s="286">
        <f>-'- 15 -'!H23-'- 16 -'!B23</f>
        <v>-563419</v>
      </c>
      <c r="F23" s="286">
        <f t="shared" si="1"/>
        <v>15574257</v>
      </c>
    </row>
    <row r="24" spans="1:6" ht="14.1" customHeight="1">
      <c r="A24" s="19" t="s">
        <v>122</v>
      </c>
      <c r="B24" s="20">
        <v>55889270</v>
      </c>
      <c r="C24" s="20">
        <f>-Data!K24</f>
        <v>-187823</v>
      </c>
      <c r="D24" s="20">
        <f t="shared" si="0"/>
        <v>55701447</v>
      </c>
      <c r="E24" s="20">
        <f>-'- 15 -'!H24-'- 16 -'!B24</f>
        <v>-894846</v>
      </c>
      <c r="F24" s="20">
        <f t="shared" si="1"/>
        <v>54806601</v>
      </c>
    </row>
    <row r="25" spans="1:6" ht="14.1" customHeight="1">
      <c r="A25" s="285" t="s">
        <v>123</v>
      </c>
      <c r="B25" s="286">
        <v>169118852</v>
      </c>
      <c r="C25" s="286">
        <f>-Data!K25</f>
        <v>-1079729</v>
      </c>
      <c r="D25" s="286">
        <f t="shared" si="0"/>
        <v>168039123</v>
      </c>
      <c r="E25" s="286">
        <f>-'- 15 -'!H25-'- 16 -'!B25</f>
        <v>-2591543</v>
      </c>
      <c r="F25" s="286">
        <f t="shared" si="1"/>
        <v>165447580</v>
      </c>
    </row>
    <row r="26" spans="1:6" ht="14.1" customHeight="1">
      <c r="A26" s="19" t="s">
        <v>124</v>
      </c>
      <c r="B26" s="20">
        <v>39636481</v>
      </c>
      <c r="C26" s="20">
        <f>-Data!K26</f>
        <v>-5335</v>
      </c>
      <c r="D26" s="20">
        <f t="shared" si="0"/>
        <v>39631146</v>
      </c>
      <c r="E26" s="20">
        <f>-'- 15 -'!H26-'- 16 -'!B26</f>
        <v>-100909</v>
      </c>
      <c r="F26" s="20">
        <f t="shared" si="1"/>
        <v>39530237</v>
      </c>
    </row>
    <row r="27" spans="1:6" ht="14.1" customHeight="1">
      <c r="A27" s="285" t="s">
        <v>125</v>
      </c>
      <c r="B27" s="286">
        <v>42014667</v>
      </c>
      <c r="C27" s="286">
        <f>-Data!K27</f>
        <v>0</v>
      </c>
      <c r="D27" s="286">
        <f t="shared" si="0"/>
        <v>42014667</v>
      </c>
      <c r="E27" s="286">
        <f>-'- 15 -'!H27-'- 16 -'!B27</f>
        <v>0</v>
      </c>
      <c r="F27" s="286">
        <f t="shared" si="1"/>
        <v>42014667</v>
      </c>
    </row>
    <row r="28" spans="1:6" ht="14.1" customHeight="1">
      <c r="A28" s="19" t="s">
        <v>126</v>
      </c>
      <c r="B28" s="20">
        <v>27958961</v>
      </c>
      <c r="C28" s="20">
        <f>-Data!K28</f>
        <v>-153556</v>
      </c>
      <c r="D28" s="20">
        <f t="shared" si="0"/>
        <v>27805405</v>
      </c>
      <c r="E28" s="20">
        <f>-'- 15 -'!H28-'- 16 -'!B28</f>
        <v>-198202</v>
      </c>
      <c r="F28" s="20">
        <f t="shared" si="1"/>
        <v>27607203</v>
      </c>
    </row>
    <row r="29" spans="1:6" ht="14.1" customHeight="1">
      <c r="A29" s="285" t="s">
        <v>127</v>
      </c>
      <c r="B29" s="286">
        <v>152253616</v>
      </c>
      <c r="C29" s="286">
        <f>-Data!K29</f>
        <v>-1870849</v>
      </c>
      <c r="D29" s="286">
        <f t="shared" si="0"/>
        <v>150382767</v>
      </c>
      <c r="E29" s="286">
        <f>-'- 15 -'!H29-'- 16 -'!B29</f>
        <v>-910999</v>
      </c>
      <c r="F29" s="286">
        <f t="shared" si="1"/>
        <v>149471768</v>
      </c>
    </row>
    <row r="30" spans="1:6" ht="14.1" customHeight="1">
      <c r="A30" s="19" t="s">
        <v>128</v>
      </c>
      <c r="B30" s="20">
        <v>13933084</v>
      </c>
      <c r="C30" s="20">
        <f>-Data!K30</f>
        <v>-43782</v>
      </c>
      <c r="D30" s="20">
        <f t="shared" si="0"/>
        <v>13889302</v>
      </c>
      <c r="E30" s="20">
        <f>-'- 15 -'!H30-'- 16 -'!B30</f>
        <v>-13421</v>
      </c>
      <c r="F30" s="20">
        <f t="shared" si="1"/>
        <v>13875881</v>
      </c>
    </row>
    <row r="31" spans="1:6" ht="14.1" customHeight="1">
      <c r="A31" s="285" t="s">
        <v>129</v>
      </c>
      <c r="B31" s="286">
        <v>35834379</v>
      </c>
      <c r="C31" s="286">
        <f>-Data!K31</f>
        <v>-41600</v>
      </c>
      <c r="D31" s="286">
        <f t="shared" si="0"/>
        <v>35792779</v>
      </c>
      <c r="E31" s="286">
        <f>-'- 15 -'!H31-'- 16 -'!B31</f>
        <v>-53529</v>
      </c>
      <c r="F31" s="286">
        <f t="shared" si="1"/>
        <v>35739250</v>
      </c>
    </row>
    <row r="32" spans="1:6" ht="14.1" customHeight="1">
      <c r="A32" s="19" t="s">
        <v>130</v>
      </c>
      <c r="B32" s="20">
        <v>28154839</v>
      </c>
      <c r="C32" s="20">
        <f>-Data!K32</f>
        <v>-234957</v>
      </c>
      <c r="D32" s="20">
        <f t="shared" si="0"/>
        <v>27919882</v>
      </c>
      <c r="E32" s="20">
        <f>-'- 15 -'!H32-'- 16 -'!B32</f>
        <v>-299303</v>
      </c>
      <c r="F32" s="20">
        <f t="shared" si="1"/>
        <v>27620579</v>
      </c>
    </row>
    <row r="33" spans="1:7" ht="14.1" customHeight="1">
      <c r="A33" s="285" t="s">
        <v>131</v>
      </c>
      <c r="B33" s="286">
        <v>26567876</v>
      </c>
      <c r="C33" s="286">
        <f>-Data!K33</f>
        <v>-105878</v>
      </c>
      <c r="D33" s="286">
        <f t="shared" si="0"/>
        <v>26461998</v>
      </c>
      <c r="E33" s="286">
        <f>-'- 15 -'!H33-'- 16 -'!B33</f>
        <v>-34125</v>
      </c>
      <c r="F33" s="286">
        <f t="shared" si="1"/>
        <v>26427873</v>
      </c>
    </row>
    <row r="34" spans="1:7" ht="14.1" customHeight="1">
      <c r="A34" s="19" t="s">
        <v>132</v>
      </c>
      <c r="B34" s="20">
        <v>28325919</v>
      </c>
      <c r="C34" s="20">
        <f>-Data!K34</f>
        <v>-430897</v>
      </c>
      <c r="D34" s="20">
        <f t="shared" si="0"/>
        <v>27895022</v>
      </c>
      <c r="E34" s="20">
        <f>-'- 15 -'!H34-'- 16 -'!B34</f>
        <v>-54281</v>
      </c>
      <c r="F34" s="20">
        <f t="shared" si="1"/>
        <v>27840741</v>
      </c>
    </row>
    <row r="35" spans="1:7" ht="14.1" customHeight="1">
      <c r="A35" s="285" t="s">
        <v>133</v>
      </c>
      <c r="B35" s="286">
        <v>181126141</v>
      </c>
      <c r="C35" s="286">
        <f>-Data!K35</f>
        <v>-586519</v>
      </c>
      <c r="D35" s="286">
        <f t="shared" si="0"/>
        <v>180539622</v>
      </c>
      <c r="E35" s="286">
        <f>-'- 15 -'!H35-'- 16 -'!B35</f>
        <v>-2475655</v>
      </c>
      <c r="F35" s="286">
        <f t="shared" si="1"/>
        <v>178063967</v>
      </c>
    </row>
    <row r="36" spans="1:7" ht="14.1" customHeight="1">
      <c r="A36" s="19" t="s">
        <v>134</v>
      </c>
      <c r="B36" s="20">
        <v>22738895</v>
      </c>
      <c r="C36" s="20">
        <f>-Data!K36</f>
        <v>-300461</v>
      </c>
      <c r="D36" s="20">
        <f t="shared" si="0"/>
        <v>22438434</v>
      </c>
      <c r="E36" s="20">
        <f>-'- 15 -'!H36-'- 16 -'!B36</f>
        <v>-173664</v>
      </c>
      <c r="F36" s="20">
        <f t="shared" si="1"/>
        <v>22264770</v>
      </c>
    </row>
    <row r="37" spans="1:7" ht="14.1" customHeight="1">
      <c r="A37" s="285" t="s">
        <v>135</v>
      </c>
      <c r="B37" s="286">
        <v>48269841</v>
      </c>
      <c r="C37" s="286">
        <f>-Data!K37</f>
        <v>-508555</v>
      </c>
      <c r="D37" s="286">
        <f t="shared" si="0"/>
        <v>47761286</v>
      </c>
      <c r="E37" s="286">
        <f>-'- 15 -'!H37-'- 16 -'!B37</f>
        <v>-666770</v>
      </c>
      <c r="F37" s="286">
        <f t="shared" si="1"/>
        <v>47094516</v>
      </c>
    </row>
    <row r="38" spans="1:7" ht="14.1" customHeight="1">
      <c r="A38" s="19" t="s">
        <v>136</v>
      </c>
      <c r="B38" s="20">
        <v>128088950</v>
      </c>
      <c r="C38" s="20">
        <f>-Data!K38</f>
        <v>-1148089</v>
      </c>
      <c r="D38" s="20">
        <f t="shared" si="0"/>
        <v>126940861</v>
      </c>
      <c r="E38" s="20">
        <f>-'- 15 -'!H38-'- 16 -'!B38</f>
        <v>-2730278</v>
      </c>
      <c r="F38" s="20">
        <f t="shared" si="1"/>
        <v>124210583</v>
      </c>
    </row>
    <row r="39" spans="1:7" ht="14.1" customHeight="1">
      <c r="A39" s="285" t="s">
        <v>137</v>
      </c>
      <c r="B39" s="286">
        <v>20853084</v>
      </c>
      <c r="C39" s="286">
        <f>-Data!K39</f>
        <v>-176604</v>
      </c>
      <c r="D39" s="286">
        <f t="shared" si="0"/>
        <v>20676480</v>
      </c>
      <c r="E39" s="286">
        <f>-'- 15 -'!H39-'- 16 -'!B39</f>
        <v>-155943</v>
      </c>
      <c r="F39" s="286">
        <f t="shared" si="1"/>
        <v>20520537</v>
      </c>
    </row>
    <row r="40" spans="1:7" ht="14.1" customHeight="1">
      <c r="A40" s="19" t="s">
        <v>138</v>
      </c>
      <c r="B40" s="20">
        <v>102325944</v>
      </c>
      <c r="C40" s="20">
        <f>-Data!K40</f>
        <v>-477640</v>
      </c>
      <c r="D40" s="20">
        <f t="shared" si="0"/>
        <v>101848304</v>
      </c>
      <c r="E40" s="20">
        <f>-'- 15 -'!H40-'- 16 -'!B40</f>
        <v>-1025501</v>
      </c>
      <c r="F40" s="20">
        <f t="shared" si="1"/>
        <v>100822803</v>
      </c>
    </row>
    <row r="41" spans="1:7" ht="14.1" customHeight="1">
      <c r="A41" s="285" t="s">
        <v>139</v>
      </c>
      <c r="B41" s="286">
        <v>62649541</v>
      </c>
      <c r="C41" s="286">
        <f>-Data!K41</f>
        <v>-840651</v>
      </c>
      <c r="D41" s="286">
        <f t="shared" si="0"/>
        <v>61808890</v>
      </c>
      <c r="E41" s="286">
        <f>-'- 15 -'!H41-'- 16 -'!B41</f>
        <v>-1272592</v>
      </c>
      <c r="F41" s="286">
        <f t="shared" si="1"/>
        <v>60536298</v>
      </c>
    </row>
    <row r="42" spans="1:7" ht="14.1" customHeight="1">
      <c r="A42" s="19" t="s">
        <v>140</v>
      </c>
      <c r="B42" s="20">
        <v>20084911</v>
      </c>
      <c r="C42" s="20">
        <f>-Data!K42</f>
        <v>-60000</v>
      </c>
      <c r="D42" s="20">
        <f t="shared" si="0"/>
        <v>20024911</v>
      </c>
      <c r="E42" s="20">
        <f>-'- 15 -'!H42-'- 16 -'!B42</f>
        <v>-241694</v>
      </c>
      <c r="F42" s="20">
        <f t="shared" si="1"/>
        <v>19783217</v>
      </c>
    </row>
    <row r="43" spans="1:7" ht="14.1" customHeight="1">
      <c r="A43" s="285" t="s">
        <v>141</v>
      </c>
      <c r="B43" s="286">
        <v>12746673</v>
      </c>
      <c r="C43" s="286">
        <f>-Data!K43</f>
        <v>-28764</v>
      </c>
      <c r="D43" s="286">
        <f t="shared" si="0"/>
        <v>12717909</v>
      </c>
      <c r="E43" s="286">
        <f>-'- 15 -'!H43-'- 16 -'!B43</f>
        <v>-244713</v>
      </c>
      <c r="F43" s="286">
        <f t="shared" si="1"/>
        <v>12473196</v>
      </c>
    </row>
    <row r="44" spans="1:7" ht="14.1" customHeight="1">
      <c r="A44" s="19" t="s">
        <v>142</v>
      </c>
      <c r="B44" s="20">
        <v>11040597</v>
      </c>
      <c r="C44" s="20">
        <f>-Data!K44</f>
        <v>-175074</v>
      </c>
      <c r="D44" s="20">
        <f t="shared" si="0"/>
        <v>10865523</v>
      </c>
      <c r="E44" s="20">
        <f>-'- 15 -'!H44-'- 16 -'!B44</f>
        <v>-11675</v>
      </c>
      <c r="F44" s="20">
        <f t="shared" si="1"/>
        <v>10853848</v>
      </c>
    </row>
    <row r="45" spans="1:7" ht="14.1" customHeight="1">
      <c r="A45" s="285" t="s">
        <v>143</v>
      </c>
      <c r="B45" s="286">
        <v>18667740</v>
      </c>
      <c r="C45" s="286">
        <f>-Data!K45</f>
        <v>-334911</v>
      </c>
      <c r="D45" s="286">
        <f t="shared" si="0"/>
        <v>18332829</v>
      </c>
      <c r="E45" s="286">
        <f>-'- 15 -'!H45-'- 16 -'!B45</f>
        <v>-450257</v>
      </c>
      <c r="F45" s="286">
        <f t="shared" si="1"/>
        <v>17882572</v>
      </c>
    </row>
    <row r="46" spans="1:7" ht="14.1" customHeight="1">
      <c r="A46" s="19" t="s">
        <v>144</v>
      </c>
      <c r="B46" s="20">
        <v>384002859</v>
      </c>
      <c r="C46" s="20">
        <f>-Data!K46</f>
        <v>-2447065</v>
      </c>
      <c r="D46" s="20">
        <f t="shared" si="0"/>
        <v>381555794</v>
      </c>
      <c r="E46" s="20">
        <f>-'- 15 -'!H46-'- 16 -'!B46</f>
        <v>-10233501</v>
      </c>
      <c r="F46" s="20">
        <f t="shared" si="1"/>
        <v>371322293</v>
      </c>
    </row>
    <row r="47" spans="1:7" ht="5.0999999999999996" customHeight="1">
      <c r="A47"/>
      <c r="B47" s="22"/>
      <c r="C47"/>
      <c r="D47"/>
      <c r="E47"/>
      <c r="F47"/>
      <c r="G47"/>
    </row>
    <row r="48" spans="1:7" ht="14.1" customHeight="1">
      <c r="A48" s="287" t="s">
        <v>145</v>
      </c>
      <c r="B48" s="288">
        <f>SUM(B11:B46)</f>
        <v>2235012397</v>
      </c>
      <c r="C48" s="288">
        <f>SUM(C11:C46)</f>
        <v>-19509208</v>
      </c>
      <c r="D48" s="288">
        <f>SUM(D11:D46)</f>
        <v>2215503189</v>
      </c>
      <c r="E48" s="288">
        <f>SUM(E11:E46)</f>
        <v>-34048309</v>
      </c>
      <c r="F48" s="288">
        <f>SUM(F11:F46)</f>
        <v>2181454880</v>
      </c>
    </row>
    <row r="49" spans="1:6" ht="5.0999999999999996" customHeight="1">
      <c r="A49" s="21" t="s">
        <v>7</v>
      </c>
      <c r="B49" s="22"/>
      <c r="C49" s="22"/>
      <c r="D49" s="22"/>
      <c r="E49" s="22"/>
      <c r="F49" s="22"/>
    </row>
    <row r="50" spans="1:6" ht="14.1" customHeight="1">
      <c r="A50" s="19" t="s">
        <v>146</v>
      </c>
      <c r="B50" s="20">
        <v>3359073</v>
      </c>
      <c r="C50" s="20">
        <f>-Data!K50</f>
        <v>0</v>
      </c>
      <c r="D50" s="20">
        <f>B50+C50</f>
        <v>3359073</v>
      </c>
      <c r="E50" s="20">
        <f>-'- 15 -'!H50-'- 16 -'!B50</f>
        <v>-74760</v>
      </c>
      <c r="F50" s="20">
        <f>D50+E50</f>
        <v>3284313</v>
      </c>
    </row>
    <row r="51" spans="1:6" ht="14.1" customHeight="1">
      <c r="A51" s="285" t="s">
        <v>612</v>
      </c>
      <c r="B51" s="286">
        <v>26894997</v>
      </c>
      <c r="C51" s="286">
        <f>-Data!K51</f>
        <v>-382455</v>
      </c>
      <c r="D51" s="286">
        <f>B51+C51</f>
        <v>26512542</v>
      </c>
      <c r="E51" s="286">
        <f>-'- 15 -'!H51-'- 16 -'!B51</f>
        <v>-12424093</v>
      </c>
      <c r="F51" s="286">
        <f>D51+E51</f>
        <v>14088449</v>
      </c>
    </row>
    <row r="52" spans="1:6" ht="50.1" customHeight="1">
      <c r="A52" s="23"/>
      <c r="B52" s="23"/>
      <c r="C52" s="23"/>
      <c r="D52" s="23"/>
      <c r="E52" s="23"/>
      <c r="F52" s="23"/>
    </row>
    <row r="53" spans="1:6" ht="14.45" customHeight="1">
      <c r="A53" s="2" t="s">
        <v>339</v>
      </c>
    </row>
    <row r="54" spans="1:6" ht="12" customHeight="1">
      <c r="A54" s="593" t="s">
        <v>449</v>
      </c>
      <c r="B54" s="593"/>
      <c r="C54" s="593"/>
      <c r="D54" s="593"/>
      <c r="E54" s="593"/>
      <c r="F54" s="593"/>
    </row>
    <row r="55" spans="1:6" ht="12" customHeight="1">
      <c r="A55" s="593"/>
      <c r="B55" s="593"/>
      <c r="C55" s="593"/>
      <c r="D55" s="593"/>
      <c r="E55" s="593"/>
      <c r="F55" s="593"/>
    </row>
    <row r="56" spans="1:6" ht="12" customHeight="1">
      <c r="A56" s="2" t="s">
        <v>340</v>
      </c>
    </row>
    <row r="57" spans="1:6" ht="12" customHeight="1">
      <c r="A57" s="2" t="s">
        <v>341</v>
      </c>
    </row>
    <row r="58" spans="1:6" ht="12" customHeight="1">
      <c r="A58" s="2" t="s">
        <v>342</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sheetPr codeName="Sheet20">
    <pageSetUpPr fitToPage="1"/>
  </sheetPr>
  <dimension ref="A1:J52"/>
  <sheetViews>
    <sheetView showGridLines="0" showZeros="0" workbookViewId="0"/>
  </sheetViews>
  <sheetFormatPr defaultColWidth="15.83203125" defaultRowHeight="12"/>
  <cols>
    <col min="1" max="1" width="32.83203125" style="2" customWidth="1"/>
    <col min="2" max="2" width="13.83203125" style="2" customWidth="1"/>
    <col min="3" max="3" width="8.83203125" style="2" customWidth="1"/>
    <col min="4" max="4" width="14.83203125" style="2" customWidth="1"/>
    <col min="5" max="5" width="10.5" style="2" customWidth="1"/>
    <col min="6" max="6" width="18.83203125" style="2" customWidth="1"/>
    <col min="7" max="7" width="8.83203125" style="2" customWidth="1"/>
    <col min="8" max="8" width="16.83203125" style="2" customWidth="1"/>
    <col min="9" max="9" width="8.83203125" style="2" customWidth="1"/>
    <col min="10" max="16384" width="15.83203125" style="2"/>
  </cols>
  <sheetData>
    <row r="1" spans="1:9" ht="6.95" customHeight="1">
      <c r="A1" s="7"/>
      <c r="B1" s="8"/>
      <c r="C1" s="8"/>
      <c r="D1" s="8"/>
      <c r="E1" s="8"/>
      <c r="F1" s="8"/>
      <c r="G1" s="8"/>
      <c r="H1" s="8"/>
      <c r="I1" s="8"/>
    </row>
    <row r="2" spans="1:9" ht="15.95" customHeight="1">
      <c r="A2" s="134"/>
      <c r="B2" s="9" t="s">
        <v>263</v>
      </c>
      <c r="C2" s="10"/>
      <c r="D2" s="10"/>
      <c r="E2" s="10"/>
      <c r="F2" s="10"/>
      <c r="G2" s="73"/>
      <c r="H2" s="73"/>
      <c r="I2" s="396" t="s">
        <v>408</v>
      </c>
    </row>
    <row r="3" spans="1:9" ht="15.95" customHeight="1">
      <c r="A3" s="543"/>
      <c r="B3" s="11" t="str">
        <f>OPYEAR</f>
        <v>OPERATING FUND 2015/2016 ACTUAL</v>
      </c>
      <c r="C3" s="12"/>
      <c r="D3" s="12"/>
      <c r="E3" s="12"/>
      <c r="F3" s="12"/>
      <c r="G3" s="75"/>
      <c r="H3" s="75"/>
      <c r="I3" s="66"/>
    </row>
    <row r="4" spans="1:9" ht="15.95" customHeight="1">
      <c r="B4" s="8"/>
      <c r="C4" s="8"/>
      <c r="D4" s="8"/>
      <c r="E4" s="8"/>
      <c r="F4" s="8"/>
      <c r="G4" s="8"/>
      <c r="H4" s="8"/>
      <c r="I4" s="8"/>
    </row>
    <row r="5" spans="1:9" ht="15.95" customHeight="1">
      <c r="B5" s="559" t="s">
        <v>14</v>
      </c>
      <c r="C5" s="560"/>
      <c r="D5" s="166"/>
      <c r="E5" s="166"/>
      <c r="F5" s="166"/>
      <c r="G5" s="166"/>
      <c r="H5" s="166"/>
      <c r="I5" s="167"/>
    </row>
    <row r="6" spans="1:9" ht="15.95" customHeight="1">
      <c r="B6" s="320"/>
      <c r="C6" s="321"/>
      <c r="D6" s="651" t="s">
        <v>492</v>
      </c>
      <c r="E6" s="644"/>
      <c r="F6" s="337"/>
      <c r="G6" s="338"/>
      <c r="H6" s="310"/>
      <c r="I6" s="311"/>
    </row>
    <row r="7" spans="1:9" ht="15.95" customHeight="1">
      <c r="B7" s="684" t="s">
        <v>491</v>
      </c>
      <c r="C7" s="685"/>
      <c r="D7" s="686"/>
      <c r="E7" s="687"/>
      <c r="F7" s="688" t="s">
        <v>493</v>
      </c>
      <c r="G7" s="687"/>
      <c r="H7" s="688" t="s">
        <v>494</v>
      </c>
      <c r="I7" s="687"/>
    </row>
    <row r="8" spans="1:9" ht="15.95" customHeight="1">
      <c r="A8" s="404"/>
      <c r="B8" s="672"/>
      <c r="C8" s="673"/>
      <c r="D8" s="652"/>
      <c r="E8" s="646"/>
      <c r="F8" s="645"/>
      <c r="G8" s="646"/>
      <c r="H8" s="645"/>
      <c r="I8" s="646"/>
    </row>
    <row r="9" spans="1:9" ht="15.95" customHeight="1">
      <c r="A9" s="35" t="s">
        <v>42</v>
      </c>
      <c r="B9" s="77" t="s">
        <v>43</v>
      </c>
      <c r="C9" s="77" t="s">
        <v>44</v>
      </c>
      <c r="D9" s="168" t="s">
        <v>43</v>
      </c>
      <c r="E9" s="168" t="s">
        <v>44</v>
      </c>
      <c r="F9" s="168" t="s">
        <v>43</v>
      </c>
      <c r="G9" s="168" t="s">
        <v>44</v>
      </c>
      <c r="H9" s="168" t="s">
        <v>43</v>
      </c>
      <c r="I9" s="168" t="s">
        <v>44</v>
      </c>
    </row>
    <row r="10" spans="1:9" ht="5.0999999999999996" customHeight="1">
      <c r="A10" s="6"/>
    </row>
    <row r="11" spans="1:9" ht="14.1" customHeight="1">
      <c r="A11" s="285" t="s">
        <v>110</v>
      </c>
      <c r="B11" s="286">
        <v>0</v>
      </c>
      <c r="C11" s="292">
        <f>B11/'- 3 -'!$D11*100</f>
        <v>0</v>
      </c>
      <c r="D11" s="286">
        <v>0</v>
      </c>
      <c r="E11" s="292">
        <f>D11/'- 3 -'!$D11*100</f>
        <v>0</v>
      </c>
      <c r="F11" s="286">
        <v>0</v>
      </c>
      <c r="G11" s="292">
        <f>F11/'- 3 -'!$D11*100</f>
        <v>0</v>
      </c>
      <c r="H11" s="286">
        <v>22298</v>
      </c>
      <c r="I11" s="292">
        <f>H11/'- 3 -'!$D11*100</f>
        <v>0.1242984936514285</v>
      </c>
    </row>
    <row r="12" spans="1:9" ht="14.1" customHeight="1">
      <c r="A12" s="19" t="s">
        <v>111</v>
      </c>
      <c r="B12" s="20">
        <v>0</v>
      </c>
      <c r="C12" s="70">
        <f>B12/'- 3 -'!$D12*100</f>
        <v>0</v>
      </c>
      <c r="D12" s="20">
        <v>0</v>
      </c>
      <c r="E12" s="70">
        <f>D12/'- 3 -'!$D12*100</f>
        <v>0</v>
      </c>
      <c r="F12" s="20">
        <v>0</v>
      </c>
      <c r="G12" s="70">
        <f>F12/'- 3 -'!$D12*100</f>
        <v>0</v>
      </c>
      <c r="H12" s="20">
        <v>49633</v>
      </c>
      <c r="I12" s="70">
        <f>H12/'- 3 -'!$D12*100</f>
        <v>0.15367561302119451</v>
      </c>
    </row>
    <row r="13" spans="1:9" ht="14.1" customHeight="1">
      <c r="A13" s="285" t="s">
        <v>112</v>
      </c>
      <c r="B13" s="286">
        <v>0</v>
      </c>
      <c r="C13" s="292">
        <f>B13/'- 3 -'!$D13*100</f>
        <v>0</v>
      </c>
      <c r="D13" s="286">
        <v>0</v>
      </c>
      <c r="E13" s="292">
        <f>D13/'- 3 -'!$D13*100</f>
        <v>0</v>
      </c>
      <c r="F13" s="286">
        <v>100474</v>
      </c>
      <c r="G13" s="292">
        <f>F13/'- 3 -'!$D13*100</f>
        <v>0.11069963039011478</v>
      </c>
      <c r="H13" s="286">
        <v>153237</v>
      </c>
      <c r="I13" s="292">
        <f>H13/'- 3 -'!$D13*100</f>
        <v>0.16883252644554828</v>
      </c>
    </row>
    <row r="14" spans="1:9" ht="14.1" customHeight="1">
      <c r="A14" s="19" t="s">
        <v>359</v>
      </c>
      <c r="B14" s="20">
        <v>0</v>
      </c>
      <c r="C14" s="70">
        <f>B14/'- 3 -'!$D14*100</f>
        <v>0</v>
      </c>
      <c r="D14" s="20">
        <v>0</v>
      </c>
      <c r="E14" s="70">
        <f>D14/'- 3 -'!$D14*100</f>
        <v>0</v>
      </c>
      <c r="F14" s="20">
        <v>0</v>
      </c>
      <c r="G14" s="70">
        <f>F14/'- 3 -'!$D14*100</f>
        <v>0</v>
      </c>
      <c r="H14" s="20">
        <v>1290947</v>
      </c>
      <c r="I14" s="70">
        <f>H14/'- 3 -'!$D14*100</f>
        <v>1.5895408694199884</v>
      </c>
    </row>
    <row r="15" spans="1:9" ht="14.1" customHeight="1">
      <c r="A15" s="285" t="s">
        <v>113</v>
      </c>
      <c r="B15" s="286">
        <v>0</v>
      </c>
      <c r="C15" s="292">
        <f>B15/'- 3 -'!$D15*100</f>
        <v>0</v>
      </c>
      <c r="D15" s="286">
        <v>0</v>
      </c>
      <c r="E15" s="292">
        <f>D15/'- 3 -'!$D15*100</f>
        <v>0</v>
      </c>
      <c r="F15" s="286">
        <v>0</v>
      </c>
      <c r="G15" s="292">
        <f>F15/'- 3 -'!$D15*100</f>
        <v>0</v>
      </c>
      <c r="H15" s="286">
        <v>67438</v>
      </c>
      <c r="I15" s="292">
        <f>H15/'- 3 -'!$D15*100</f>
        <v>0.34000219213133748</v>
      </c>
    </row>
    <row r="16" spans="1:9" ht="14.1" customHeight="1">
      <c r="A16" s="19" t="s">
        <v>114</v>
      </c>
      <c r="B16" s="20">
        <v>0</v>
      </c>
      <c r="C16" s="70">
        <f>B16/'- 3 -'!$D16*100</f>
        <v>0</v>
      </c>
      <c r="D16" s="20">
        <v>0</v>
      </c>
      <c r="E16" s="70">
        <f>D16/'- 3 -'!$D16*100</f>
        <v>0</v>
      </c>
      <c r="F16" s="20">
        <v>0</v>
      </c>
      <c r="G16" s="70">
        <f>F16/'- 3 -'!$D16*100</f>
        <v>0</v>
      </c>
      <c r="H16" s="20">
        <v>14231</v>
      </c>
      <c r="I16" s="70">
        <f>H16/'- 3 -'!$D16*100</f>
        <v>0.10150611508187146</v>
      </c>
    </row>
    <row r="17" spans="1:9" ht="14.1" customHeight="1">
      <c r="A17" s="285" t="s">
        <v>115</v>
      </c>
      <c r="B17" s="286">
        <v>0</v>
      </c>
      <c r="C17" s="292">
        <f>B17/'- 3 -'!$D17*100</f>
        <v>0</v>
      </c>
      <c r="D17" s="286">
        <v>0</v>
      </c>
      <c r="E17" s="292">
        <f>D17/'- 3 -'!$D17*100</f>
        <v>0</v>
      </c>
      <c r="F17" s="286">
        <v>81718</v>
      </c>
      <c r="G17" s="292">
        <f>F17/'- 3 -'!$D17*100</f>
        <v>0.47044234867700679</v>
      </c>
      <c r="H17" s="286">
        <v>252122</v>
      </c>
      <c r="I17" s="292">
        <f>H17/'- 3 -'!$D17*100</f>
        <v>1.4514411247600814</v>
      </c>
    </row>
    <row r="18" spans="1:9" ht="14.1" customHeight="1">
      <c r="A18" s="19" t="s">
        <v>116</v>
      </c>
      <c r="B18" s="20">
        <v>0</v>
      </c>
      <c r="C18" s="70">
        <f>B18/'- 3 -'!$D18*100</f>
        <v>0</v>
      </c>
      <c r="D18" s="20">
        <v>0</v>
      </c>
      <c r="E18" s="70">
        <f>D18/'- 3 -'!$D18*100</f>
        <v>0</v>
      </c>
      <c r="F18" s="20">
        <v>1035697</v>
      </c>
      <c r="G18" s="70">
        <f>F18/'- 3 -'!$D18*100</f>
        <v>0.81710334077972224</v>
      </c>
      <c r="H18" s="20">
        <v>1540393</v>
      </c>
      <c r="I18" s="70">
        <f>H18/'- 3 -'!$D18*100</f>
        <v>1.215278470840119</v>
      </c>
    </row>
    <row r="19" spans="1:9" ht="14.1" customHeight="1">
      <c r="A19" s="285" t="s">
        <v>117</v>
      </c>
      <c r="B19" s="286">
        <v>0</v>
      </c>
      <c r="C19" s="292">
        <f>B19/'- 3 -'!$D19*100</f>
        <v>0</v>
      </c>
      <c r="D19" s="286">
        <v>0</v>
      </c>
      <c r="E19" s="292">
        <f>D19/'- 3 -'!$D19*100</f>
        <v>0</v>
      </c>
      <c r="F19" s="286">
        <v>0</v>
      </c>
      <c r="G19" s="292">
        <f>F19/'- 3 -'!$D19*100</f>
        <v>0</v>
      </c>
      <c r="H19" s="286">
        <v>60471</v>
      </c>
      <c r="I19" s="292">
        <f>H19/'- 3 -'!$D19*100</f>
        <v>0.13519566247081896</v>
      </c>
    </row>
    <row r="20" spans="1:9" ht="14.1" customHeight="1">
      <c r="A20" s="19" t="s">
        <v>118</v>
      </c>
      <c r="B20" s="20">
        <v>0</v>
      </c>
      <c r="C20" s="70">
        <f>B20/'- 3 -'!$D20*100</f>
        <v>0</v>
      </c>
      <c r="D20" s="20">
        <v>0</v>
      </c>
      <c r="E20" s="70">
        <f>D20/'- 3 -'!$D20*100</f>
        <v>0</v>
      </c>
      <c r="F20" s="20">
        <v>0</v>
      </c>
      <c r="G20" s="70">
        <f>F20/'- 3 -'!$D20*100</f>
        <v>0</v>
      </c>
      <c r="H20" s="20">
        <v>155584</v>
      </c>
      <c r="I20" s="70">
        <f>H20/'- 3 -'!$D20*100</f>
        <v>0.19872032662150269</v>
      </c>
    </row>
    <row r="21" spans="1:9" ht="14.1" customHeight="1">
      <c r="A21" s="285" t="s">
        <v>119</v>
      </c>
      <c r="B21" s="286">
        <v>159658</v>
      </c>
      <c r="C21" s="292">
        <f>B21/'- 3 -'!$D21*100</f>
        <v>0.45456375369248708</v>
      </c>
      <c r="D21" s="286">
        <v>0</v>
      </c>
      <c r="E21" s="292">
        <f>D21/'- 3 -'!$D21*100</f>
        <v>0</v>
      </c>
      <c r="F21" s="286">
        <v>0</v>
      </c>
      <c r="G21" s="292">
        <f>F21/'- 3 -'!$D21*100</f>
        <v>0</v>
      </c>
      <c r="H21" s="286">
        <v>88555</v>
      </c>
      <c r="I21" s="292">
        <f>H21/'- 3 -'!$D21*100</f>
        <v>0.2521257513449886</v>
      </c>
    </row>
    <row r="22" spans="1:9" ht="14.1" customHeight="1">
      <c r="A22" s="19" t="s">
        <v>120</v>
      </c>
      <c r="B22" s="20">
        <v>0</v>
      </c>
      <c r="C22" s="70">
        <f>B22/'- 3 -'!$D22*100</f>
        <v>0</v>
      </c>
      <c r="D22" s="20">
        <v>0</v>
      </c>
      <c r="E22" s="70">
        <f>D22/'- 3 -'!$D22*100</f>
        <v>0</v>
      </c>
      <c r="F22" s="20">
        <v>55690</v>
      </c>
      <c r="G22" s="70">
        <f>F22/'- 3 -'!$D22*100</f>
        <v>0.27865835285042623</v>
      </c>
      <c r="H22" s="20">
        <v>0</v>
      </c>
      <c r="I22" s="70">
        <f>H22/'- 3 -'!$D22*100</f>
        <v>0</v>
      </c>
    </row>
    <row r="23" spans="1:9" ht="14.1" customHeight="1">
      <c r="A23" s="285" t="s">
        <v>121</v>
      </c>
      <c r="B23" s="286">
        <v>112472</v>
      </c>
      <c r="C23" s="292">
        <f>B23/'- 3 -'!$D23*100</f>
        <v>0.69695289458035969</v>
      </c>
      <c r="D23" s="286">
        <v>0</v>
      </c>
      <c r="E23" s="292">
        <f>D23/'- 3 -'!$D23*100</f>
        <v>0</v>
      </c>
      <c r="F23" s="286">
        <v>150400</v>
      </c>
      <c r="G23" s="292">
        <f>F23/'- 3 -'!$D23*100</f>
        <v>0.93198054044460921</v>
      </c>
      <c r="H23" s="286">
        <v>36426</v>
      </c>
      <c r="I23" s="292">
        <f>H23/'- 3 -'!$D23*100</f>
        <v>0.22572023381805412</v>
      </c>
    </row>
    <row r="24" spans="1:9" ht="14.1" customHeight="1">
      <c r="A24" s="19" t="s">
        <v>122</v>
      </c>
      <c r="B24" s="20">
        <v>276637</v>
      </c>
      <c r="C24" s="70">
        <f>B24/'- 3 -'!$D24*100</f>
        <v>0.49664239422720924</v>
      </c>
      <c r="D24" s="20">
        <v>0</v>
      </c>
      <c r="E24" s="70">
        <f>D24/'- 3 -'!$D24*100</f>
        <v>0</v>
      </c>
      <c r="F24" s="20">
        <v>241646</v>
      </c>
      <c r="G24" s="70">
        <f>F24/'- 3 -'!$D24*100</f>
        <v>0.43382355937719175</v>
      </c>
      <c r="H24" s="20">
        <v>0</v>
      </c>
      <c r="I24" s="70">
        <f>H24/'- 3 -'!$D24*100</f>
        <v>0</v>
      </c>
    </row>
    <row r="25" spans="1:9" ht="14.1" customHeight="1">
      <c r="A25" s="285" t="s">
        <v>123</v>
      </c>
      <c r="B25" s="286">
        <v>355715</v>
      </c>
      <c r="C25" s="292">
        <f>B25/'- 3 -'!$D25*100</f>
        <v>0.21168582271165504</v>
      </c>
      <c r="D25" s="286">
        <v>227255</v>
      </c>
      <c r="E25" s="292">
        <f>D25/'- 3 -'!$D25*100</f>
        <v>0.13523933947215375</v>
      </c>
      <c r="F25" s="286">
        <v>188883</v>
      </c>
      <c r="G25" s="292">
        <f>F25/'- 3 -'!$D25*100</f>
        <v>0.1124041810192023</v>
      </c>
      <c r="H25" s="286">
        <v>750494</v>
      </c>
      <c r="I25" s="292">
        <f>H25/'- 3 -'!$D25*100</f>
        <v>0.44661861273817766</v>
      </c>
    </row>
    <row r="26" spans="1:9" ht="14.1" customHeight="1">
      <c r="A26" s="19" t="s">
        <v>124</v>
      </c>
      <c r="B26" s="20">
        <v>0</v>
      </c>
      <c r="C26" s="70">
        <f>B26/'- 3 -'!$D26*100</f>
        <v>0</v>
      </c>
      <c r="D26" s="20">
        <v>0</v>
      </c>
      <c r="E26" s="70">
        <f>D26/'- 3 -'!$D26*100</f>
        <v>0</v>
      </c>
      <c r="F26" s="20">
        <v>0</v>
      </c>
      <c r="G26" s="70">
        <f>F26/'- 3 -'!$D26*100</f>
        <v>0</v>
      </c>
      <c r="H26" s="20">
        <v>100909</v>
      </c>
      <c r="I26" s="70">
        <f>H26/'- 3 -'!$D26*100</f>
        <v>0.25462044423343194</v>
      </c>
    </row>
    <row r="27" spans="1:9" ht="14.1" customHeight="1">
      <c r="A27" s="285" t="s">
        <v>125</v>
      </c>
      <c r="B27" s="286">
        <v>0</v>
      </c>
      <c r="C27" s="292">
        <f>B27/'- 3 -'!$D27*100</f>
        <v>0</v>
      </c>
      <c r="D27" s="286">
        <v>0</v>
      </c>
      <c r="E27" s="292">
        <f>D27/'- 3 -'!$D27*100</f>
        <v>0</v>
      </c>
      <c r="F27" s="286">
        <v>0</v>
      </c>
      <c r="G27" s="292">
        <f>F27/'- 3 -'!$D27*100</f>
        <v>0</v>
      </c>
      <c r="H27" s="286">
        <v>0</v>
      </c>
      <c r="I27" s="292">
        <f>H27/'- 3 -'!$D27*100</f>
        <v>0</v>
      </c>
    </row>
    <row r="28" spans="1:9" ht="14.1" customHeight="1">
      <c r="A28" s="19" t="s">
        <v>126</v>
      </c>
      <c r="B28" s="20">
        <v>0</v>
      </c>
      <c r="C28" s="70">
        <f>B28/'- 3 -'!$D28*100</f>
        <v>0</v>
      </c>
      <c r="D28" s="20">
        <v>0</v>
      </c>
      <c r="E28" s="70">
        <f>D28/'- 3 -'!$D28*100</f>
        <v>0</v>
      </c>
      <c r="F28" s="20">
        <v>0</v>
      </c>
      <c r="G28" s="70">
        <f>F28/'- 3 -'!$D28*100</f>
        <v>0</v>
      </c>
      <c r="H28" s="20">
        <v>96970</v>
      </c>
      <c r="I28" s="70">
        <f>H28/'- 3 -'!$D28*100</f>
        <v>0.34874514505363258</v>
      </c>
    </row>
    <row r="29" spans="1:9" ht="14.1" customHeight="1">
      <c r="A29" s="285" t="s">
        <v>127</v>
      </c>
      <c r="B29" s="286">
        <v>0</v>
      </c>
      <c r="C29" s="292">
        <f>B29/'- 3 -'!$D29*100</f>
        <v>0</v>
      </c>
      <c r="D29" s="286">
        <v>0</v>
      </c>
      <c r="E29" s="292">
        <f>D29/'- 3 -'!$D29*100</f>
        <v>0</v>
      </c>
      <c r="F29" s="286">
        <v>623357</v>
      </c>
      <c r="G29" s="292">
        <f>F29/'- 3 -'!$D29*100</f>
        <v>0.41451358585521969</v>
      </c>
      <c r="H29" s="286">
        <v>287642</v>
      </c>
      <c r="I29" s="292">
        <f>H29/'- 3 -'!$D29*100</f>
        <v>0.19127324608942725</v>
      </c>
    </row>
    <row r="30" spans="1:9" ht="14.1" customHeight="1">
      <c r="A30" s="19" t="s">
        <v>128</v>
      </c>
      <c r="B30" s="20">
        <v>0</v>
      </c>
      <c r="C30" s="70">
        <f>B30/'- 3 -'!$D30*100</f>
        <v>0</v>
      </c>
      <c r="D30" s="20">
        <v>0</v>
      </c>
      <c r="E30" s="70">
        <f>D30/'- 3 -'!$D30*100</f>
        <v>0</v>
      </c>
      <c r="F30" s="20">
        <v>0</v>
      </c>
      <c r="G30" s="70">
        <f>F30/'- 3 -'!$D30*100</f>
        <v>0</v>
      </c>
      <c r="H30" s="20">
        <v>13421</v>
      </c>
      <c r="I30" s="70">
        <f>H30/'- 3 -'!$D30*100</f>
        <v>9.6628325887074817E-2</v>
      </c>
    </row>
    <row r="31" spans="1:9" ht="14.1" customHeight="1">
      <c r="A31" s="285" t="s">
        <v>129</v>
      </c>
      <c r="B31" s="286">
        <v>0</v>
      </c>
      <c r="C31" s="292">
        <f>B31/'- 3 -'!$D31*100</f>
        <v>0</v>
      </c>
      <c r="D31" s="286">
        <v>0</v>
      </c>
      <c r="E31" s="292">
        <f>D31/'- 3 -'!$D31*100</f>
        <v>0</v>
      </c>
      <c r="F31" s="286">
        <v>0</v>
      </c>
      <c r="G31" s="292">
        <f>F31/'- 3 -'!$D31*100</f>
        <v>0</v>
      </c>
      <c r="H31" s="286">
        <v>53529</v>
      </c>
      <c r="I31" s="292">
        <f>H31/'- 3 -'!$D31*100</f>
        <v>0.14955251169516623</v>
      </c>
    </row>
    <row r="32" spans="1:9" ht="14.1" customHeight="1">
      <c r="A32" s="19" t="s">
        <v>130</v>
      </c>
      <c r="B32" s="20">
        <v>0</v>
      </c>
      <c r="C32" s="70">
        <f>B32/'- 3 -'!$D32*100</f>
        <v>0</v>
      </c>
      <c r="D32" s="20">
        <v>0</v>
      </c>
      <c r="E32" s="70">
        <f>D32/'- 3 -'!$D32*100</f>
        <v>0</v>
      </c>
      <c r="F32" s="20">
        <v>0</v>
      </c>
      <c r="G32" s="70">
        <f>F32/'- 3 -'!$D32*100</f>
        <v>0</v>
      </c>
      <c r="H32" s="20">
        <v>32349</v>
      </c>
      <c r="I32" s="70">
        <f>H32/'- 3 -'!$D32*100</f>
        <v>0.11586367019745999</v>
      </c>
    </row>
    <row r="33" spans="1:10" ht="14.1" customHeight="1">
      <c r="A33" s="285" t="s">
        <v>131</v>
      </c>
      <c r="B33" s="286">
        <v>0</v>
      </c>
      <c r="C33" s="292">
        <f>B33/'- 3 -'!$D33*100</f>
        <v>0</v>
      </c>
      <c r="D33" s="286">
        <v>0</v>
      </c>
      <c r="E33" s="292">
        <f>D33/'- 3 -'!$D33*100</f>
        <v>0</v>
      </c>
      <c r="F33" s="286">
        <v>0</v>
      </c>
      <c r="G33" s="292">
        <f>F33/'- 3 -'!$D33*100</f>
        <v>0</v>
      </c>
      <c r="H33" s="286">
        <v>34125</v>
      </c>
      <c r="I33" s="292">
        <f>H33/'- 3 -'!$D33*100</f>
        <v>0.12895851628437127</v>
      </c>
    </row>
    <row r="34" spans="1:10" ht="14.1" customHeight="1">
      <c r="A34" s="19" t="s">
        <v>132</v>
      </c>
      <c r="B34" s="20">
        <v>0</v>
      </c>
      <c r="C34" s="70">
        <f>B34/'- 3 -'!$D34*100</f>
        <v>0</v>
      </c>
      <c r="D34" s="20">
        <v>0</v>
      </c>
      <c r="E34" s="70">
        <f>D34/'- 3 -'!$D34*100</f>
        <v>0</v>
      </c>
      <c r="F34" s="20">
        <v>0</v>
      </c>
      <c r="G34" s="70">
        <f>F34/'- 3 -'!$D34*100</f>
        <v>0</v>
      </c>
      <c r="H34" s="20">
        <v>54281</v>
      </c>
      <c r="I34" s="70">
        <f>H34/'- 3 -'!$D34*100</f>
        <v>0.19459027492432163</v>
      </c>
    </row>
    <row r="35" spans="1:10" ht="14.1" customHeight="1">
      <c r="A35" s="285" t="s">
        <v>133</v>
      </c>
      <c r="B35" s="286">
        <v>310653</v>
      </c>
      <c r="C35" s="292">
        <f>B35/'- 3 -'!$D35*100</f>
        <v>0.17206915388357244</v>
      </c>
      <c r="D35" s="286">
        <v>185969</v>
      </c>
      <c r="E35" s="292">
        <f>D35/'- 3 -'!$D35*100</f>
        <v>0.1030073055099229</v>
      </c>
      <c r="F35" s="286">
        <v>674469</v>
      </c>
      <c r="G35" s="292">
        <f>F35/'- 3 -'!$D35*100</f>
        <v>0.37358502944024108</v>
      </c>
      <c r="H35" s="286">
        <v>297035</v>
      </c>
      <c r="I35" s="292">
        <f>H35/'- 3 -'!$D35*100</f>
        <v>0.16452621131554157</v>
      </c>
    </row>
    <row r="36" spans="1:10" ht="14.1" customHeight="1">
      <c r="A36" s="19" t="s">
        <v>134</v>
      </c>
      <c r="B36" s="20">
        <v>0</v>
      </c>
      <c r="C36" s="70">
        <f>B36/'- 3 -'!$D36*100</f>
        <v>0</v>
      </c>
      <c r="D36" s="20">
        <v>0</v>
      </c>
      <c r="E36" s="70">
        <f>D36/'- 3 -'!$D36*100</f>
        <v>0</v>
      </c>
      <c r="F36" s="20">
        <v>0</v>
      </c>
      <c r="G36" s="70">
        <f>F36/'- 3 -'!$D36*100</f>
        <v>0</v>
      </c>
      <c r="H36" s="20">
        <v>53652</v>
      </c>
      <c r="I36" s="70">
        <f>H36/'- 3 -'!$D36*100</f>
        <v>0.2391075954765827</v>
      </c>
    </row>
    <row r="37" spans="1:10" ht="14.1" customHeight="1">
      <c r="A37" s="285" t="s">
        <v>135</v>
      </c>
      <c r="B37" s="286">
        <v>0</v>
      </c>
      <c r="C37" s="292">
        <f>B37/'- 3 -'!$D37*100</f>
        <v>0</v>
      </c>
      <c r="D37" s="286">
        <v>0</v>
      </c>
      <c r="E37" s="292">
        <f>D37/'- 3 -'!$D37*100</f>
        <v>0</v>
      </c>
      <c r="F37" s="286">
        <v>0</v>
      </c>
      <c r="G37" s="292">
        <f>F37/'- 3 -'!$D37*100</f>
        <v>0</v>
      </c>
      <c r="H37" s="286">
        <v>354871</v>
      </c>
      <c r="I37" s="292">
        <f>H37/'- 3 -'!$D37*100</f>
        <v>0.74300972549189737</v>
      </c>
    </row>
    <row r="38" spans="1:10" ht="14.1" customHeight="1">
      <c r="A38" s="19" t="s">
        <v>136</v>
      </c>
      <c r="B38" s="20">
        <v>49528</v>
      </c>
      <c r="C38" s="70">
        <f>B38/'- 3 -'!$D38*100</f>
        <v>3.901659371918078E-2</v>
      </c>
      <c r="D38" s="20">
        <v>563390</v>
      </c>
      <c r="E38" s="70">
        <f>D38/'- 3 -'!$D38*100</f>
        <v>0.4438208434713547</v>
      </c>
      <c r="F38" s="20">
        <v>934619</v>
      </c>
      <c r="G38" s="70">
        <f>F38/'- 3 -'!$D38*100</f>
        <v>0.73626332186292631</v>
      </c>
      <c r="H38" s="20">
        <v>343067</v>
      </c>
      <c r="I38" s="70">
        <f>H38/'- 3 -'!$D38*100</f>
        <v>0.27025734448106509</v>
      </c>
    </row>
    <row r="39" spans="1:10" ht="14.1" customHeight="1">
      <c r="A39" s="285" t="s">
        <v>137</v>
      </c>
      <c r="B39" s="286">
        <v>0</v>
      </c>
      <c r="C39" s="292">
        <f>B39/'- 3 -'!$D39*100</f>
        <v>0</v>
      </c>
      <c r="D39" s="286">
        <v>0</v>
      </c>
      <c r="E39" s="292">
        <f>D39/'- 3 -'!$D39*100</f>
        <v>0</v>
      </c>
      <c r="F39" s="286">
        <v>0</v>
      </c>
      <c r="G39" s="292">
        <f>F39/'- 3 -'!$D39*100</f>
        <v>0</v>
      </c>
      <c r="H39" s="286">
        <v>155943</v>
      </c>
      <c r="I39" s="292">
        <f>H39/'- 3 -'!$D39*100</f>
        <v>0.75420477760237714</v>
      </c>
    </row>
    <row r="40" spans="1:10" ht="14.1" customHeight="1">
      <c r="A40" s="19" t="s">
        <v>138</v>
      </c>
      <c r="B40" s="20">
        <v>508315</v>
      </c>
      <c r="C40" s="70">
        <f>B40/'- 3 -'!$D40*100</f>
        <v>0.49909029412998379</v>
      </c>
      <c r="D40" s="20">
        <v>0</v>
      </c>
      <c r="E40" s="70">
        <f>D40/'- 3 -'!$D40*100</f>
        <v>0</v>
      </c>
      <c r="F40" s="20">
        <v>416524</v>
      </c>
      <c r="G40" s="70">
        <f>F40/'- 3 -'!$D40*100</f>
        <v>0.40896508203023196</v>
      </c>
      <c r="H40" s="20">
        <v>100662</v>
      </c>
      <c r="I40" s="70">
        <f>H40/'- 3 -'!$D40*100</f>
        <v>9.8835224590485077E-2</v>
      </c>
    </row>
    <row r="41" spans="1:10" ht="14.1" customHeight="1">
      <c r="A41" s="285" t="s">
        <v>139</v>
      </c>
      <c r="B41" s="286">
        <v>0</v>
      </c>
      <c r="C41" s="292">
        <f>B41/'- 3 -'!$D41*100</f>
        <v>0</v>
      </c>
      <c r="D41" s="286">
        <v>0</v>
      </c>
      <c r="E41" s="292">
        <f>D41/'- 3 -'!$D41*100</f>
        <v>0</v>
      </c>
      <c r="F41" s="286">
        <v>0</v>
      </c>
      <c r="G41" s="292">
        <f>F41/'- 3 -'!$D41*100</f>
        <v>0</v>
      </c>
      <c r="H41" s="286">
        <v>301622</v>
      </c>
      <c r="I41" s="292">
        <f>H41/'- 3 -'!$D41*100</f>
        <v>0.48799129057324925</v>
      </c>
    </row>
    <row r="42" spans="1:10" ht="14.1" customHeight="1">
      <c r="A42" s="19" t="s">
        <v>140</v>
      </c>
      <c r="B42" s="20">
        <v>0</v>
      </c>
      <c r="C42" s="70">
        <f>B42/'- 3 -'!$D42*100</f>
        <v>0</v>
      </c>
      <c r="D42" s="20">
        <v>0</v>
      </c>
      <c r="E42" s="70">
        <f>D42/'- 3 -'!$D42*100</f>
        <v>0</v>
      </c>
      <c r="F42" s="20">
        <v>537</v>
      </c>
      <c r="G42" s="70">
        <f>F42/'- 3 -'!$D42*100</f>
        <v>2.6816598585631666E-3</v>
      </c>
      <c r="H42" s="20">
        <v>241157</v>
      </c>
      <c r="I42" s="70">
        <f>H42/'- 3 -'!$D42*100</f>
        <v>1.2042850028147443</v>
      </c>
    </row>
    <row r="43" spans="1:10" ht="14.1" customHeight="1">
      <c r="A43" s="285" t="s">
        <v>141</v>
      </c>
      <c r="B43" s="286">
        <v>0</v>
      </c>
      <c r="C43" s="292">
        <f>B43/'- 3 -'!$D43*100</f>
        <v>0</v>
      </c>
      <c r="D43" s="286">
        <v>0</v>
      </c>
      <c r="E43" s="292">
        <f>D43/'- 3 -'!$D43*100</f>
        <v>0</v>
      </c>
      <c r="F43" s="286">
        <v>0</v>
      </c>
      <c r="G43" s="292">
        <f>F43/'- 3 -'!$D43*100</f>
        <v>0</v>
      </c>
      <c r="H43" s="286">
        <v>12038</v>
      </c>
      <c r="I43" s="292">
        <f>H43/'- 3 -'!$D43*100</f>
        <v>9.4653924634938033E-2</v>
      </c>
    </row>
    <row r="44" spans="1:10" ht="14.1" customHeight="1">
      <c r="A44" s="19" t="s">
        <v>142</v>
      </c>
      <c r="B44" s="20">
        <v>0</v>
      </c>
      <c r="C44" s="70">
        <f>B44/'- 3 -'!$D44*100</f>
        <v>0</v>
      </c>
      <c r="D44" s="20">
        <v>0</v>
      </c>
      <c r="E44" s="70">
        <f>D44/'- 3 -'!$D44*100</f>
        <v>0</v>
      </c>
      <c r="F44" s="20">
        <v>0</v>
      </c>
      <c r="G44" s="70">
        <f>F44/'- 3 -'!$D44*100</f>
        <v>0</v>
      </c>
      <c r="H44" s="20">
        <v>11675</v>
      </c>
      <c r="I44" s="70">
        <f>H44/'- 3 -'!$D44*100</f>
        <v>0.1074499589205232</v>
      </c>
    </row>
    <row r="45" spans="1:10" ht="14.1" customHeight="1">
      <c r="A45" s="285" t="s">
        <v>143</v>
      </c>
      <c r="B45" s="286">
        <v>0</v>
      </c>
      <c r="C45" s="292">
        <f>B45/'- 3 -'!$D45*100</f>
        <v>0</v>
      </c>
      <c r="D45" s="286">
        <v>0</v>
      </c>
      <c r="E45" s="292">
        <f>D45/'- 3 -'!$D45*100</f>
        <v>0</v>
      </c>
      <c r="F45" s="286">
        <v>6067</v>
      </c>
      <c r="G45" s="292">
        <f>F45/'- 3 -'!$D45*100</f>
        <v>3.3093637648613859E-2</v>
      </c>
      <c r="H45" s="286">
        <v>48222</v>
      </c>
      <c r="I45" s="292">
        <f>H45/'- 3 -'!$D45*100</f>
        <v>0.26303632679931721</v>
      </c>
    </row>
    <row r="46" spans="1:10" ht="14.1" customHeight="1">
      <c r="A46" s="19" t="s">
        <v>144</v>
      </c>
      <c r="B46" s="20">
        <v>0</v>
      </c>
      <c r="C46" s="70">
        <f>B46/'- 3 -'!$D46*100</f>
        <v>0</v>
      </c>
      <c r="D46" s="20">
        <v>3922049</v>
      </c>
      <c r="E46" s="70">
        <f>D46/'- 3 -'!$D46*100</f>
        <v>1.0279096954297593</v>
      </c>
      <c r="F46" s="20">
        <v>185366</v>
      </c>
      <c r="G46" s="70">
        <f>F46/'- 3 -'!$D46*100</f>
        <v>4.8581623687779726E-2</v>
      </c>
      <c r="H46" s="20">
        <v>5344292</v>
      </c>
      <c r="I46" s="70">
        <f>H46/'- 3 -'!$D46*100</f>
        <v>1.4006580647023277</v>
      </c>
    </row>
    <row r="47" spans="1:10" ht="5.0999999999999996" customHeight="1">
      <c r="A47"/>
      <c r="B47"/>
      <c r="C47"/>
      <c r="D47"/>
      <c r="E47"/>
      <c r="F47"/>
      <c r="G47"/>
      <c r="H47"/>
      <c r="I47"/>
      <c r="J47"/>
    </row>
    <row r="48" spans="1:10" ht="14.1" customHeight="1">
      <c r="A48" s="287" t="s">
        <v>145</v>
      </c>
      <c r="B48" s="288">
        <f>SUM(B11:B46)</f>
        <v>1772978</v>
      </c>
      <c r="C48" s="295">
        <f>B48/'- 3 -'!$D48*100</f>
        <v>8.0025973729257405E-2</v>
      </c>
      <c r="D48" s="288">
        <f>SUM(D11:D46)</f>
        <v>4898663</v>
      </c>
      <c r="E48" s="295">
        <f>D48/'- 3 -'!$D48*100</f>
        <v>0.22110837051925364</v>
      </c>
      <c r="F48" s="288">
        <f>SUM(F11:F46)</f>
        <v>4695447</v>
      </c>
      <c r="G48" s="295">
        <f>F48/'- 3 -'!$D48*100</f>
        <v>0.2119359170103185</v>
      </c>
      <c r="H48" s="288">
        <f>SUM(H11:H46)</f>
        <v>12419291</v>
      </c>
      <c r="I48" s="295">
        <f>H48/'- 3 -'!$D48*100</f>
        <v>0.5605629936197758</v>
      </c>
    </row>
    <row r="49" spans="1:9" ht="5.0999999999999996" customHeight="1">
      <c r="A49" s="21" t="s">
        <v>7</v>
      </c>
      <c r="B49"/>
      <c r="C49"/>
      <c r="D49"/>
      <c r="E49"/>
      <c r="F49"/>
      <c r="G49"/>
      <c r="H49"/>
      <c r="I49"/>
    </row>
    <row r="50" spans="1:9" ht="14.1" customHeight="1">
      <c r="A50" s="19" t="s">
        <v>146</v>
      </c>
      <c r="B50" s="20">
        <v>0</v>
      </c>
      <c r="C50" s="70">
        <f>B50/'- 3 -'!$D50*100</f>
        <v>0</v>
      </c>
      <c r="D50" s="20">
        <v>0</v>
      </c>
      <c r="E50" s="70">
        <f>D50/'- 3 -'!$D50*100</f>
        <v>0</v>
      </c>
      <c r="F50" s="20">
        <v>31452</v>
      </c>
      <c r="G50" s="70">
        <f>F50/'- 3 -'!$D50*100</f>
        <v>0.93632975526283591</v>
      </c>
      <c r="H50" s="20">
        <v>43308</v>
      </c>
      <c r="I50" s="70">
        <f>H50/'- 3 -'!$D50*100</f>
        <v>1.2892842757510778</v>
      </c>
    </row>
    <row r="51" spans="1:9" ht="14.1" customHeight="1">
      <c r="A51" s="285" t="s">
        <v>612</v>
      </c>
      <c r="B51" s="286">
        <v>0</v>
      </c>
      <c r="C51" s="292">
        <f>B51/'- 3 -'!$D51*100</f>
        <v>0</v>
      </c>
      <c r="D51" s="286">
        <v>4019157</v>
      </c>
      <c r="E51" s="292">
        <f>D51/'- 3 -'!$D51*100</f>
        <v>15.159455475827253</v>
      </c>
      <c r="F51" s="286">
        <v>5567106</v>
      </c>
      <c r="G51" s="292">
        <f>F51/'- 3 -'!$D51*100</f>
        <v>20.998009168641772</v>
      </c>
      <c r="H51" s="286">
        <v>0</v>
      </c>
      <c r="I51" s="292">
        <f>H51/'- 3 -'!$D51*100</f>
        <v>0</v>
      </c>
    </row>
    <row r="52" spans="1:9" ht="50.1" customHeight="1"/>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sheetPr codeName="Sheet21">
    <pageSetUpPr fitToPage="1"/>
  </sheetPr>
  <dimension ref="A1:J52"/>
  <sheetViews>
    <sheetView showGridLines="0" showZeros="0" workbookViewId="0"/>
  </sheetViews>
  <sheetFormatPr defaultColWidth="15.83203125" defaultRowHeight="12"/>
  <cols>
    <col min="1" max="1" width="32.83203125" style="2" customWidth="1"/>
    <col min="2" max="2" width="14.83203125" style="2" customWidth="1"/>
    <col min="3" max="3" width="7.83203125" style="2" customWidth="1"/>
    <col min="4" max="4" width="9.83203125" style="2" customWidth="1"/>
    <col min="5" max="5" width="16.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c r="A1" s="7"/>
      <c r="B1" s="8"/>
      <c r="C1" s="8"/>
      <c r="D1" s="8"/>
      <c r="E1" s="8"/>
      <c r="F1" s="8"/>
      <c r="G1" s="8"/>
      <c r="H1" s="8"/>
      <c r="I1" s="8"/>
      <c r="J1" s="8"/>
    </row>
    <row r="2" spans="1:10" ht="15.95" customHeight="1">
      <c r="A2" s="134"/>
      <c r="B2" s="9" t="s">
        <v>263</v>
      </c>
      <c r="C2" s="10"/>
      <c r="D2" s="10"/>
      <c r="E2" s="10"/>
      <c r="F2" s="10"/>
      <c r="G2" s="73"/>
      <c r="H2" s="73"/>
      <c r="I2" s="153"/>
      <c r="J2" s="396" t="s">
        <v>409</v>
      </c>
    </row>
    <row r="3" spans="1:10" ht="15.95" customHeight="1">
      <c r="A3" s="543"/>
      <c r="B3" s="11" t="str">
        <f>OPYEAR</f>
        <v>OPERATING FUND 2015/2016 ACTUAL</v>
      </c>
      <c r="C3" s="12"/>
      <c r="D3" s="12"/>
      <c r="E3" s="12"/>
      <c r="F3" s="12"/>
      <c r="G3" s="75"/>
      <c r="H3" s="75"/>
      <c r="I3" s="75"/>
      <c r="J3" s="66"/>
    </row>
    <row r="4" spans="1:10" ht="15.95" customHeight="1">
      <c r="B4" s="8"/>
      <c r="C4" s="8"/>
      <c r="D4" s="8"/>
      <c r="E4" s="8"/>
      <c r="F4" s="8"/>
      <c r="G4" s="8"/>
      <c r="H4" s="8"/>
      <c r="I4" s="8"/>
      <c r="J4" s="8"/>
    </row>
    <row r="5" spans="1:10" ht="15.95" customHeight="1">
      <c r="B5" s="164" t="s">
        <v>94</v>
      </c>
      <c r="C5" s="165"/>
      <c r="D5" s="166"/>
      <c r="E5" s="166"/>
      <c r="F5" s="166"/>
      <c r="G5" s="166"/>
      <c r="H5" s="166"/>
      <c r="I5" s="166"/>
      <c r="J5" s="167"/>
    </row>
    <row r="6" spans="1:10" ht="15.95" customHeight="1">
      <c r="B6" s="310"/>
      <c r="C6" s="313"/>
      <c r="D6" s="311"/>
      <c r="E6" s="643" t="s">
        <v>495</v>
      </c>
      <c r="F6" s="651"/>
      <c r="G6" s="644"/>
      <c r="H6" s="643" t="s">
        <v>496</v>
      </c>
      <c r="I6" s="651"/>
      <c r="J6" s="644"/>
    </row>
    <row r="7" spans="1:10" ht="15.95" customHeight="1">
      <c r="B7" s="648" t="s">
        <v>23</v>
      </c>
      <c r="C7" s="650"/>
      <c r="D7" s="649"/>
      <c r="E7" s="645"/>
      <c r="F7" s="652"/>
      <c r="G7" s="646"/>
      <c r="H7" s="645"/>
      <c r="I7" s="652"/>
      <c r="J7" s="646"/>
    </row>
    <row r="8" spans="1:10" ht="15.95" customHeight="1">
      <c r="A8" s="67"/>
      <c r="B8" s="137"/>
      <c r="C8" s="138"/>
      <c r="D8" s="596" t="s">
        <v>480</v>
      </c>
      <c r="E8" s="137"/>
      <c r="F8" s="139"/>
      <c r="G8" s="596" t="s">
        <v>480</v>
      </c>
      <c r="H8" s="137"/>
      <c r="I8" s="139"/>
      <c r="J8" s="596" t="s">
        <v>480</v>
      </c>
    </row>
    <row r="9" spans="1:10" ht="15.95" customHeight="1">
      <c r="A9" s="35" t="s">
        <v>42</v>
      </c>
      <c r="B9" s="77" t="s">
        <v>43</v>
      </c>
      <c r="C9" s="77" t="s">
        <v>44</v>
      </c>
      <c r="D9" s="598"/>
      <c r="E9" s="77" t="s">
        <v>43</v>
      </c>
      <c r="F9" s="77" t="s">
        <v>44</v>
      </c>
      <c r="G9" s="598"/>
      <c r="H9" s="77" t="s">
        <v>43</v>
      </c>
      <c r="I9" s="77" t="s">
        <v>44</v>
      </c>
      <c r="J9" s="598"/>
    </row>
    <row r="10" spans="1:10" ht="5.0999999999999996" customHeight="1">
      <c r="A10" s="6"/>
    </row>
    <row r="11" spans="1:10" ht="14.1" customHeight="1">
      <c r="A11" s="285" t="s">
        <v>110</v>
      </c>
      <c r="B11" s="286">
        <v>136276</v>
      </c>
      <c r="C11" s="292">
        <f>B11/'- 3 -'!$D11*100</f>
        <v>0.75966012740344757</v>
      </c>
      <c r="D11" s="286">
        <f>B11/'- 7 -'!$E11</f>
        <v>81.31026252983294</v>
      </c>
      <c r="E11" s="286">
        <v>137277</v>
      </c>
      <c r="F11" s="292">
        <f>E11/'- 3 -'!$D11*100</f>
        <v>0.76524012525729446</v>
      </c>
      <c r="G11" s="286">
        <f>E11/'- 7 -'!$E11</f>
        <v>81.907517899761331</v>
      </c>
      <c r="H11" s="286">
        <v>384476</v>
      </c>
      <c r="I11" s="292">
        <f>H11/'- 3 -'!$D11*100</f>
        <v>2.1432320228328385</v>
      </c>
      <c r="J11" s="286">
        <f>H11/'- 7 -'!$E11</f>
        <v>229.40095465393796</v>
      </c>
    </row>
    <row r="12" spans="1:10" ht="14.1" customHeight="1">
      <c r="A12" s="19" t="s">
        <v>111</v>
      </c>
      <c r="B12" s="20">
        <v>153632</v>
      </c>
      <c r="C12" s="70">
        <f>B12/'- 3 -'!$D12*100</f>
        <v>0.47568133660411727</v>
      </c>
      <c r="D12" s="20">
        <f>B12/'- 7 -'!$E12</f>
        <v>72.300814155960282</v>
      </c>
      <c r="E12" s="20">
        <v>177660</v>
      </c>
      <c r="F12" s="70">
        <f>E12/'- 3 -'!$D12*100</f>
        <v>0.55007775893750954</v>
      </c>
      <c r="G12" s="20">
        <f>E12/'- 7 -'!$E12</f>
        <v>83.608640406607364</v>
      </c>
      <c r="H12" s="20">
        <v>615982</v>
      </c>
      <c r="I12" s="70">
        <f>H12/'- 3 -'!$D12*100</f>
        <v>1.907227277416667</v>
      </c>
      <c r="J12" s="20">
        <f>H12/'- 7 -'!$E12</f>
        <v>289.88752411878204</v>
      </c>
    </row>
    <row r="13" spans="1:10" ht="14.1" customHeight="1">
      <c r="A13" s="285" t="s">
        <v>112</v>
      </c>
      <c r="B13" s="286">
        <v>290086</v>
      </c>
      <c r="C13" s="292">
        <f>B13/'- 3 -'!$D13*100</f>
        <v>0.31960918228941654</v>
      </c>
      <c r="D13" s="286">
        <f>B13/'- 7 -'!$E13</f>
        <v>35.161939393939392</v>
      </c>
      <c r="E13" s="286">
        <v>600990</v>
      </c>
      <c r="F13" s="292">
        <f>E13/'- 3 -'!$D13*100</f>
        <v>0.66215509353817981</v>
      </c>
      <c r="G13" s="286">
        <f>E13/'- 7 -'!$E13</f>
        <v>72.847272727272724</v>
      </c>
      <c r="H13" s="286">
        <v>1833286</v>
      </c>
      <c r="I13" s="292">
        <f>H13/'- 3 -'!$D13*100</f>
        <v>2.0198666580346356</v>
      </c>
      <c r="J13" s="286">
        <f>H13/'- 7 -'!$E13</f>
        <v>222.21648484848484</v>
      </c>
    </row>
    <row r="14" spans="1:10" ht="14.1" customHeight="1">
      <c r="A14" s="19" t="s">
        <v>359</v>
      </c>
      <c r="B14" s="20">
        <v>752225</v>
      </c>
      <c r="C14" s="70">
        <f>B14/'- 3 -'!$D14*100</f>
        <v>0.92621337707857165</v>
      </c>
      <c r="D14" s="20">
        <f>B14/'- 7 -'!$E14</f>
        <v>140.78701104248549</v>
      </c>
      <c r="E14" s="20">
        <v>1278037</v>
      </c>
      <c r="F14" s="70">
        <f>E14/'- 3 -'!$D14*100</f>
        <v>1.5736448081376802</v>
      </c>
      <c r="G14" s="20">
        <f>E14/'- 7 -'!$E14</f>
        <v>239.19839041736853</v>
      </c>
      <c r="H14" s="20">
        <v>1025765</v>
      </c>
      <c r="I14" s="70">
        <f>H14/'- 3 -'!$D14*100</f>
        <v>1.2630227189192078</v>
      </c>
      <c r="J14" s="20">
        <f>H14/'- 7 -'!$E14</f>
        <v>191.98296836982968</v>
      </c>
    </row>
    <row r="15" spans="1:10" ht="14.1" customHeight="1">
      <c r="A15" s="285" t="s">
        <v>113</v>
      </c>
      <c r="B15" s="286">
        <v>203016</v>
      </c>
      <c r="C15" s="292">
        <f>B15/'- 3 -'!$D15*100</f>
        <v>1.0235458500806016</v>
      </c>
      <c r="D15" s="286">
        <f>B15/'- 7 -'!$E15</f>
        <v>143.98297872340424</v>
      </c>
      <c r="E15" s="286">
        <v>198827</v>
      </c>
      <c r="F15" s="292">
        <f>E15/'- 3 -'!$D15*100</f>
        <v>1.0024261670704564</v>
      </c>
      <c r="G15" s="286">
        <f>E15/'- 7 -'!$E15</f>
        <v>141.01205673758867</v>
      </c>
      <c r="H15" s="286">
        <v>427826</v>
      </c>
      <c r="I15" s="292">
        <f>H15/'- 3 -'!$D15*100</f>
        <v>2.1569705188585306</v>
      </c>
      <c r="J15" s="286">
        <f>H15/'- 7 -'!$E15</f>
        <v>303.422695035461</v>
      </c>
    </row>
    <row r="16" spans="1:10" ht="14.1" customHeight="1">
      <c r="A16" s="19" t="s">
        <v>114</v>
      </c>
      <c r="B16" s="20">
        <v>116987</v>
      </c>
      <c r="C16" s="70">
        <f>B16/'- 3 -'!$D16*100</f>
        <v>0.83443861183914658</v>
      </c>
      <c r="D16" s="20">
        <f>B16/'- 7 -'!$E16</f>
        <v>125.45522788203753</v>
      </c>
      <c r="E16" s="20">
        <v>215278</v>
      </c>
      <c r="F16" s="70">
        <f>E16/'- 3 -'!$D16*100</f>
        <v>1.5355233955867558</v>
      </c>
      <c r="G16" s="20">
        <f>E16/'- 7 -'!$E16</f>
        <v>230.86112600536194</v>
      </c>
      <c r="H16" s="20">
        <v>336319</v>
      </c>
      <c r="I16" s="70">
        <f>H16/'- 3 -'!$D16*100</f>
        <v>2.3988781616344546</v>
      </c>
      <c r="J16" s="20">
        <f>H16/'- 7 -'!$E16</f>
        <v>360.66380697050937</v>
      </c>
    </row>
    <row r="17" spans="1:10" ht="14.1" customHeight="1">
      <c r="A17" s="285" t="s">
        <v>115</v>
      </c>
      <c r="B17" s="286">
        <v>197224</v>
      </c>
      <c r="C17" s="292">
        <f>B17/'- 3 -'!$D17*100</f>
        <v>1.1353988322704176</v>
      </c>
      <c r="D17" s="286">
        <f>B17/'- 7 -'!$E17</f>
        <v>146.96117776050926</v>
      </c>
      <c r="E17" s="286">
        <v>166713</v>
      </c>
      <c r="F17" s="292">
        <f>E17/'- 3 -'!$D17*100</f>
        <v>0.95975005843253436</v>
      </c>
      <c r="G17" s="286">
        <f>E17/'- 7 -'!$E17</f>
        <v>124.2259503305266</v>
      </c>
      <c r="H17" s="286">
        <v>300397</v>
      </c>
      <c r="I17" s="292">
        <f>H17/'- 3 -'!$D17*100</f>
        <v>1.7293554689973667</v>
      </c>
      <c r="J17" s="286">
        <f>H17/'- 7 -'!$E17</f>
        <v>223.84038918044305</v>
      </c>
    </row>
    <row r="18" spans="1:10" ht="14.1" customHeight="1">
      <c r="A18" s="19" t="s">
        <v>116</v>
      </c>
      <c r="B18" s="20">
        <v>1230559</v>
      </c>
      <c r="C18" s="70">
        <f>B18/'- 3 -'!$D18*100</f>
        <v>0.97083787046458003</v>
      </c>
      <c r="D18" s="20">
        <f>B18/'- 7 -'!$E18</f>
        <v>199.02296619763868</v>
      </c>
      <c r="E18" s="20">
        <v>2103694</v>
      </c>
      <c r="F18" s="70">
        <f>E18/'- 3 -'!$D18*100</f>
        <v>1.6596894606996611</v>
      </c>
      <c r="G18" s="20">
        <f>E18/'- 7 -'!$E18</f>
        <v>340.23839560084099</v>
      </c>
      <c r="H18" s="20">
        <v>3046059</v>
      </c>
      <c r="I18" s="70">
        <f>H18/'- 3 -'!$D18*100</f>
        <v>2.4031594038721167</v>
      </c>
      <c r="J18" s="20">
        <f>H18/'- 7 -'!$E18</f>
        <v>492.65065502183404</v>
      </c>
    </row>
    <row r="19" spans="1:10" ht="14.1" customHeight="1">
      <c r="A19" s="285" t="s">
        <v>117</v>
      </c>
      <c r="B19" s="286">
        <v>188564</v>
      </c>
      <c r="C19" s="292">
        <f>B19/'- 3 -'!$D19*100</f>
        <v>0.4215745547146153</v>
      </c>
      <c r="D19" s="286">
        <f>B19/'- 7 -'!$E19</f>
        <v>44.528301886792455</v>
      </c>
      <c r="E19" s="286">
        <v>346660</v>
      </c>
      <c r="F19" s="292">
        <f>E19/'- 3 -'!$D19*100</f>
        <v>0.77503147545326012</v>
      </c>
      <c r="G19" s="286">
        <f>E19/'- 7 -'!$E19</f>
        <v>81.861761163718796</v>
      </c>
      <c r="H19" s="286">
        <v>662946</v>
      </c>
      <c r="I19" s="292">
        <f>H19/'- 3 -'!$D19*100</f>
        <v>1.4821554737374862</v>
      </c>
      <c r="J19" s="286">
        <f>H19/'- 7 -'!$E19</f>
        <v>156.55087727584009</v>
      </c>
    </row>
    <row r="20" spans="1:10" ht="14.1" customHeight="1">
      <c r="A20" s="19" t="s">
        <v>118</v>
      </c>
      <c r="B20" s="20">
        <v>284681</v>
      </c>
      <c r="C20" s="70">
        <f>B20/'- 3 -'!$D20*100</f>
        <v>0.36361001968670309</v>
      </c>
      <c r="D20" s="20">
        <f>B20/'- 7 -'!$E20</f>
        <v>37.629090140044546</v>
      </c>
      <c r="E20" s="20">
        <v>598103</v>
      </c>
      <c r="F20" s="70">
        <f>E20/'- 3 -'!$D20*100</f>
        <v>0.76392960402933874</v>
      </c>
      <c r="G20" s="20">
        <f>E20/'- 7 -'!$E20</f>
        <v>79.057161173492659</v>
      </c>
      <c r="H20" s="20">
        <v>1266866</v>
      </c>
      <c r="I20" s="70">
        <f>H20/'- 3 -'!$D20*100</f>
        <v>1.6181099939947337</v>
      </c>
      <c r="J20" s="20">
        <f>H20/'- 7 -'!$E20</f>
        <v>167.45415011664872</v>
      </c>
    </row>
    <row r="21" spans="1:10" ht="14.1" customHeight="1">
      <c r="A21" s="285" t="s">
        <v>119</v>
      </c>
      <c r="B21" s="286">
        <v>198081</v>
      </c>
      <c r="C21" s="292">
        <f>B21/'- 3 -'!$D21*100</f>
        <v>0.5639582288088385</v>
      </c>
      <c r="D21" s="286">
        <f>B21/'- 7 -'!$E21</f>
        <v>73.742973083652885</v>
      </c>
      <c r="E21" s="286">
        <v>393406</v>
      </c>
      <c r="F21" s="292">
        <f>E21/'- 3 -'!$D21*100</f>
        <v>1.1200698247826388</v>
      </c>
      <c r="G21" s="286">
        <f>E21/'- 7 -'!$E21</f>
        <v>146.45992330888649</v>
      </c>
      <c r="H21" s="286">
        <v>686568</v>
      </c>
      <c r="I21" s="292">
        <f>H21/'- 3 -'!$D21*100</f>
        <v>1.9547340392911314</v>
      </c>
      <c r="J21" s="286">
        <f>H21/'- 7 -'!$E21</f>
        <v>255.60031272104538</v>
      </c>
    </row>
    <row r="22" spans="1:10" ht="14.1" customHeight="1">
      <c r="A22" s="19" t="s">
        <v>120</v>
      </c>
      <c r="B22" s="20">
        <v>94000</v>
      </c>
      <c r="C22" s="70">
        <f>B22/'- 3 -'!$D22*100</f>
        <v>0.47035168195259597</v>
      </c>
      <c r="D22" s="20">
        <f>B22/'- 7 -'!$E22</f>
        <v>61.361707683269138</v>
      </c>
      <c r="E22" s="20">
        <v>156813</v>
      </c>
      <c r="F22" s="70">
        <f>E22/'- 3 -'!$D22*100</f>
        <v>0.78465168406417485</v>
      </c>
      <c r="G22" s="20">
        <f>E22/'- 7 -'!$E22</f>
        <v>102.36503688230302</v>
      </c>
      <c r="H22" s="20">
        <v>520800</v>
      </c>
      <c r="I22" s="70">
        <f>H22/'- 3 -'!$D22*100</f>
        <v>2.6059484676692763</v>
      </c>
      <c r="J22" s="20">
        <f>H22/'- 7 -'!$E22</f>
        <v>339.96997193028261</v>
      </c>
    </row>
    <row r="23" spans="1:10" ht="14.1" customHeight="1">
      <c r="A23" s="285" t="s">
        <v>121</v>
      </c>
      <c r="B23" s="286">
        <v>107782</v>
      </c>
      <c r="C23" s="292">
        <f>B23/'- 3 -'!$D23*100</f>
        <v>0.66789046948271857</v>
      </c>
      <c r="D23" s="286">
        <f>B23/'- 7 -'!$E23</f>
        <v>97.057181449797383</v>
      </c>
      <c r="E23" s="286">
        <v>198369</v>
      </c>
      <c r="F23" s="292">
        <f>E23/'- 3 -'!$D23*100</f>
        <v>1.2292290414059621</v>
      </c>
      <c r="G23" s="286">
        <f>E23/'- 7 -'!$E23</f>
        <v>178.63034669067989</v>
      </c>
      <c r="H23" s="286">
        <v>334490</v>
      </c>
      <c r="I23" s="292">
        <f>H23/'- 3 -'!$D23*100</f>
        <v>2.0727272006204611</v>
      </c>
      <c r="J23" s="286">
        <f>H23/'- 7 -'!$E23</f>
        <v>301.20666366501575</v>
      </c>
    </row>
    <row r="24" spans="1:10" ht="14.1" customHeight="1">
      <c r="A24" s="19" t="s">
        <v>122</v>
      </c>
      <c r="B24" s="20">
        <v>304854</v>
      </c>
      <c r="C24" s="70">
        <f>B24/'- 3 -'!$D24*100</f>
        <v>0.54729996511580747</v>
      </c>
      <c r="D24" s="20">
        <f>B24/'- 7 -'!$E24</f>
        <v>76.375798571965433</v>
      </c>
      <c r="E24" s="20">
        <v>344387</v>
      </c>
      <c r="F24" s="70">
        <f>E24/'- 3 -'!$D24*100</f>
        <v>0.61827298669637787</v>
      </c>
      <c r="G24" s="20">
        <f>E24/'- 7 -'!$E24</f>
        <v>86.280095202304892</v>
      </c>
      <c r="H24" s="20">
        <v>1139316</v>
      </c>
      <c r="I24" s="70">
        <f>H24/'- 3 -'!$D24*100</f>
        <v>2.0453974920974676</v>
      </c>
      <c r="J24" s="20">
        <f>H24/'- 7 -'!$E24</f>
        <v>285.43555054490793</v>
      </c>
    </row>
    <row r="25" spans="1:10" ht="14.1" customHeight="1">
      <c r="A25" s="285" t="s">
        <v>123</v>
      </c>
      <c r="B25" s="286">
        <v>495898</v>
      </c>
      <c r="C25" s="292">
        <f>B25/'- 3 -'!$D25*100</f>
        <v>0.29510865752376009</v>
      </c>
      <c r="D25" s="286">
        <f>B25/'- 7 -'!$E25</f>
        <v>35.029456225364839</v>
      </c>
      <c r="E25" s="286">
        <v>576005</v>
      </c>
      <c r="F25" s="292">
        <f>E25/'- 3 -'!$D25*100</f>
        <v>0.34278029408663363</v>
      </c>
      <c r="G25" s="286">
        <f>E25/'- 7 -'!$E25</f>
        <v>40.688088947911218</v>
      </c>
      <c r="H25" s="286">
        <v>3687677</v>
      </c>
      <c r="I25" s="292">
        <f>H25/'- 3 -'!$D25*100</f>
        <v>2.194534781046197</v>
      </c>
      <c r="J25" s="286">
        <f>H25/'- 7 -'!$E25</f>
        <v>260.49171411214553</v>
      </c>
    </row>
    <row r="26" spans="1:10" ht="14.1" customHeight="1">
      <c r="A26" s="19" t="s">
        <v>124</v>
      </c>
      <c r="B26" s="20">
        <v>238666</v>
      </c>
      <c r="C26" s="70">
        <f>B26/'- 3 -'!$D26*100</f>
        <v>0.60221826540166157</v>
      </c>
      <c r="D26" s="20">
        <f>B26/'- 7 -'!$E26</f>
        <v>77.589726918075428</v>
      </c>
      <c r="E26" s="20">
        <v>438084</v>
      </c>
      <c r="F26" s="70">
        <f>E26/'- 3 -'!$D26*100</f>
        <v>1.1054033108202321</v>
      </c>
      <c r="G26" s="20">
        <f>E26/'- 7 -'!$E26</f>
        <v>142.42002600780233</v>
      </c>
      <c r="H26" s="20">
        <v>737840</v>
      </c>
      <c r="I26" s="70">
        <f>H26/'- 3 -'!$D26*100</f>
        <v>1.8617680144803281</v>
      </c>
      <c r="J26" s="20">
        <f>H26/'- 7 -'!$E26</f>
        <v>239.8699609882965</v>
      </c>
    </row>
    <row r="27" spans="1:10" ht="14.1" customHeight="1">
      <c r="A27" s="285" t="s">
        <v>125</v>
      </c>
      <c r="B27" s="286">
        <v>216708</v>
      </c>
      <c r="C27" s="292">
        <f>B27/'- 3 -'!$D27*100</f>
        <v>0.51579130687861929</v>
      </c>
      <c r="D27" s="286">
        <f>B27/'- 7 -'!$E27</f>
        <v>74.592886572743453</v>
      </c>
      <c r="E27" s="286">
        <v>684663</v>
      </c>
      <c r="F27" s="292">
        <f>E27/'- 3 -'!$D27*100</f>
        <v>1.6295809270605428</v>
      </c>
      <c r="G27" s="286">
        <f>E27/'- 7 -'!$E27</f>
        <v>235.66730115895237</v>
      </c>
      <c r="H27" s="286">
        <v>843453</v>
      </c>
      <c r="I27" s="292">
        <f>H27/'- 3 -'!$D27*100</f>
        <v>2.0075203737780427</v>
      </c>
      <c r="J27" s="286">
        <f>H27/'- 7 -'!$E27</f>
        <v>290.32427948409924</v>
      </c>
    </row>
    <row r="28" spans="1:10" ht="14.1" customHeight="1">
      <c r="A28" s="19" t="s">
        <v>126</v>
      </c>
      <c r="B28" s="20">
        <v>230393</v>
      </c>
      <c r="C28" s="70">
        <f>B28/'- 3 -'!$D28*100</f>
        <v>0.82859070026133408</v>
      </c>
      <c r="D28" s="20">
        <f>B28/'- 7 -'!$E28</f>
        <v>115.80447348580046</v>
      </c>
      <c r="E28" s="20">
        <v>377780</v>
      </c>
      <c r="F28" s="70">
        <f>E28/'- 3 -'!$D28*100</f>
        <v>1.3586567072121409</v>
      </c>
      <c r="G28" s="20">
        <f>E28/'- 7 -'!$E28</f>
        <v>189.88690625785372</v>
      </c>
      <c r="H28" s="20">
        <v>503154</v>
      </c>
      <c r="I28" s="70">
        <f>H28/'- 3 -'!$D28*100</f>
        <v>1.8095546531330868</v>
      </c>
      <c r="J28" s="20">
        <f>H28/'- 7 -'!$E28</f>
        <v>252.90474993717015</v>
      </c>
    </row>
    <row r="29" spans="1:10" ht="14.1" customHeight="1">
      <c r="A29" s="285" t="s">
        <v>127</v>
      </c>
      <c r="B29" s="286">
        <v>361480</v>
      </c>
      <c r="C29" s="292">
        <f>B29/'- 3 -'!$D29*100</f>
        <v>0.24037328692056847</v>
      </c>
      <c r="D29" s="286">
        <f>B29/'- 7 -'!$E29</f>
        <v>28.478015961176371</v>
      </c>
      <c r="E29" s="286">
        <v>2022405</v>
      </c>
      <c r="F29" s="292">
        <f>E29/'- 3 -'!$D29*100</f>
        <v>1.3448382686029443</v>
      </c>
      <c r="G29" s="286">
        <f>E29/'- 7 -'!$E29</f>
        <v>159.32854340478835</v>
      </c>
      <c r="H29" s="286">
        <v>1599920</v>
      </c>
      <c r="I29" s="292">
        <f>H29/'- 3 -'!$D29*100</f>
        <v>1.0638984984230275</v>
      </c>
      <c r="J29" s="286">
        <f>H29/'- 7 -'!$E29</f>
        <v>126.04444864613616</v>
      </c>
    </row>
    <row r="30" spans="1:10" ht="14.1" customHeight="1">
      <c r="A30" s="19" t="s">
        <v>128</v>
      </c>
      <c r="B30" s="20">
        <v>97827</v>
      </c>
      <c r="C30" s="70">
        <f>B30/'- 3 -'!$D30*100</f>
        <v>0.70433345030585415</v>
      </c>
      <c r="D30" s="20">
        <f>B30/'- 7 -'!$E30</f>
        <v>97.437250996015933</v>
      </c>
      <c r="E30" s="20">
        <v>105212</v>
      </c>
      <c r="F30" s="70">
        <f>E30/'- 3 -'!$D30*100</f>
        <v>0.75750386880492626</v>
      </c>
      <c r="G30" s="20">
        <f>E30/'- 7 -'!$E30</f>
        <v>104.79282868525897</v>
      </c>
      <c r="H30" s="20">
        <v>266389</v>
      </c>
      <c r="I30" s="70">
        <f>H30/'- 3 -'!$D30*100</f>
        <v>1.9179437526810204</v>
      </c>
      <c r="J30" s="20">
        <f>H30/'- 7 -'!$E30</f>
        <v>265.32768924302786</v>
      </c>
    </row>
    <row r="31" spans="1:10" ht="14.1" customHeight="1">
      <c r="A31" s="285" t="s">
        <v>129</v>
      </c>
      <c r="B31" s="286">
        <v>157790</v>
      </c>
      <c r="C31" s="292">
        <f>B31/'- 3 -'!$D31*100</f>
        <v>0.44084310972333274</v>
      </c>
      <c r="D31" s="286">
        <f>B31/'- 7 -'!$E31</f>
        <v>48.275967569221358</v>
      </c>
      <c r="E31" s="286">
        <v>285998</v>
      </c>
      <c r="F31" s="292">
        <f>E31/'- 3 -'!$D31*100</f>
        <v>0.79903826411466961</v>
      </c>
      <c r="G31" s="286">
        <f>E31/'- 7 -'!$E31</f>
        <v>87.501300290653205</v>
      </c>
      <c r="H31" s="286">
        <v>563128</v>
      </c>
      <c r="I31" s="292">
        <f>H31/'- 3 -'!$D31*100</f>
        <v>1.5733005811032443</v>
      </c>
      <c r="J31" s="286">
        <f>H31/'- 7 -'!$E31</f>
        <v>172.2894294018663</v>
      </c>
    </row>
    <row r="32" spans="1:10" ht="14.1" customHeight="1">
      <c r="A32" s="19" t="s">
        <v>130</v>
      </c>
      <c r="B32" s="20">
        <v>187330</v>
      </c>
      <c r="C32" s="70">
        <f>B32/'- 3 -'!$D32*100</f>
        <v>0.6709555577634605</v>
      </c>
      <c r="D32" s="20">
        <f>B32/'- 7 -'!$E32</f>
        <v>88.689518038064563</v>
      </c>
      <c r="E32" s="20">
        <v>227514</v>
      </c>
      <c r="F32" s="70">
        <f>E32/'- 3 -'!$D32*100</f>
        <v>0.81488166747982671</v>
      </c>
      <c r="G32" s="20">
        <f>E32/'- 7 -'!$E32</f>
        <v>107.71423160685539</v>
      </c>
      <c r="H32" s="20">
        <v>637279</v>
      </c>
      <c r="I32" s="70">
        <f>H32/'- 3 -'!$D32*100</f>
        <v>2.2825275550949677</v>
      </c>
      <c r="J32" s="20">
        <f>H32/'- 7 -'!$E32</f>
        <v>301.71337941482813</v>
      </c>
    </row>
    <row r="33" spans="1:10" ht="14.1" customHeight="1">
      <c r="A33" s="285" t="s">
        <v>131</v>
      </c>
      <c r="B33" s="286">
        <v>202675</v>
      </c>
      <c r="C33" s="292">
        <f>B33/'- 3 -'!$D33*100</f>
        <v>0.76590966411530981</v>
      </c>
      <c r="D33" s="286">
        <f>B33/'- 7 -'!$E33</f>
        <v>99.638660832800738</v>
      </c>
      <c r="E33" s="286">
        <v>218096</v>
      </c>
      <c r="F33" s="292">
        <f>E33/'- 3 -'!$D33*100</f>
        <v>0.82418568696135486</v>
      </c>
      <c r="G33" s="286">
        <f>E33/'- 7 -'!$E33</f>
        <v>107.21990069318126</v>
      </c>
      <c r="H33" s="286">
        <v>409139</v>
      </c>
      <c r="I33" s="292">
        <f>H33/'- 3 -'!$D33*100</f>
        <v>1.5461379749178426</v>
      </c>
      <c r="J33" s="286">
        <f>H33/'- 7 -'!$E33</f>
        <v>201.14006194385723</v>
      </c>
    </row>
    <row r="34" spans="1:10" ht="14.1" customHeight="1">
      <c r="A34" s="19" t="s">
        <v>132</v>
      </c>
      <c r="B34" s="20">
        <v>174461</v>
      </c>
      <c r="C34" s="70">
        <f>B34/'- 3 -'!$D34*100</f>
        <v>0.62541983297234893</v>
      </c>
      <c r="D34" s="20">
        <f>B34/'- 7 -'!$E34</f>
        <v>88.042249540765866</v>
      </c>
      <c r="E34" s="20">
        <v>291385</v>
      </c>
      <c r="F34" s="70">
        <f>E34/'- 3 -'!$D34*100</f>
        <v>1.0445770575122688</v>
      </c>
      <c r="G34" s="20">
        <f>E34/'- 7 -'!$E34</f>
        <v>147.04828518944672</v>
      </c>
      <c r="H34" s="20">
        <v>558174</v>
      </c>
      <c r="I34" s="70">
        <f>H34/'- 3 -'!$D34*100</f>
        <v>2.0009806767673459</v>
      </c>
      <c r="J34" s="20">
        <f>H34/'- 7 -'!$E34</f>
        <v>281.68412765699753</v>
      </c>
    </row>
    <row r="35" spans="1:10" ht="14.1" customHeight="1">
      <c r="A35" s="285" t="s">
        <v>133</v>
      </c>
      <c r="B35" s="286">
        <v>492225</v>
      </c>
      <c r="C35" s="292">
        <f>B35/'- 3 -'!$D35*100</f>
        <v>0.27264098293060562</v>
      </c>
      <c r="D35" s="286">
        <f>B35/'- 7 -'!$E35</f>
        <v>31.903619924166314</v>
      </c>
      <c r="E35" s="286">
        <v>1534919</v>
      </c>
      <c r="F35" s="292">
        <f>E35/'- 3 -'!$D35*100</f>
        <v>0.85018401113080877</v>
      </c>
      <c r="G35" s="286">
        <f>E35/'- 7 -'!$E35</f>
        <v>99.485951323848724</v>
      </c>
      <c r="H35" s="286">
        <v>2328219</v>
      </c>
      <c r="I35" s="292">
        <f>H35/'- 3 -'!$D35*100</f>
        <v>1.2895889413128383</v>
      </c>
      <c r="J35" s="286">
        <f>H35/'- 7 -'!$E35</f>
        <v>150.90378196195354</v>
      </c>
    </row>
    <row r="36" spans="1:10" ht="14.1" customHeight="1">
      <c r="A36" s="19" t="s">
        <v>134</v>
      </c>
      <c r="B36" s="20">
        <v>198417</v>
      </c>
      <c r="C36" s="70">
        <f>B36/'- 3 -'!$D36*100</f>
        <v>0.88427293990302536</v>
      </c>
      <c r="D36" s="20">
        <f>B36/'- 7 -'!$E36</f>
        <v>121.24472960586618</v>
      </c>
      <c r="E36" s="20">
        <v>202589</v>
      </c>
      <c r="F36" s="70">
        <f>E36/'- 3 -'!$D36*100</f>
        <v>0.90286603779925101</v>
      </c>
      <c r="G36" s="20">
        <f>E36/'- 7 -'!$E36</f>
        <v>123.79407271616255</v>
      </c>
      <c r="H36" s="20">
        <v>457116</v>
      </c>
      <c r="I36" s="70">
        <f>H36/'- 3 -'!$D36*100</f>
        <v>2.037200991833922</v>
      </c>
      <c r="J36" s="20">
        <f>H36/'- 7 -'!$E36</f>
        <v>279.32538955087074</v>
      </c>
    </row>
    <row r="37" spans="1:10" ht="14.1" customHeight="1">
      <c r="A37" s="285" t="s">
        <v>135</v>
      </c>
      <c r="B37" s="286">
        <v>189805</v>
      </c>
      <c r="C37" s="292">
        <f>B37/'- 3 -'!$D37*100</f>
        <v>0.39740345349997491</v>
      </c>
      <c r="D37" s="286">
        <f>B37/'- 7 -'!$E37</f>
        <v>46.254416961130744</v>
      </c>
      <c r="E37" s="286">
        <v>428489</v>
      </c>
      <c r="F37" s="292">
        <f>E37/'- 3 -'!$D37*100</f>
        <v>0.89714711618108445</v>
      </c>
      <c r="G37" s="286">
        <f>E37/'- 7 -'!$E37</f>
        <v>104.42037285244304</v>
      </c>
      <c r="H37" s="286">
        <v>785119</v>
      </c>
      <c r="I37" s="292">
        <f>H37/'- 3 -'!$D37*100</f>
        <v>1.643839740831099</v>
      </c>
      <c r="J37" s="286">
        <f>H37/'- 7 -'!$E37</f>
        <v>191.32910929694162</v>
      </c>
    </row>
    <row r="38" spans="1:10" ht="14.1" customHeight="1">
      <c r="A38" s="19" t="s">
        <v>136</v>
      </c>
      <c r="B38" s="20">
        <v>357371</v>
      </c>
      <c r="C38" s="70">
        <f>B38/'- 3 -'!$D38*100</f>
        <v>0.2815255837913373</v>
      </c>
      <c r="D38" s="20">
        <f>B38/'- 7 -'!$E38</f>
        <v>33.092052262646646</v>
      </c>
      <c r="E38" s="20">
        <v>1180510</v>
      </c>
      <c r="F38" s="70">
        <f>E38/'- 3 -'!$D38*100</f>
        <v>0.92996848351296435</v>
      </c>
      <c r="G38" s="20">
        <f>E38/'- 7 -'!$E38</f>
        <v>109.31356662005869</v>
      </c>
      <c r="H38" s="20">
        <v>1610872</v>
      </c>
      <c r="I38" s="70">
        <f>H38/'- 3 -'!$D38*100</f>
        <v>1.268994071184061</v>
      </c>
      <c r="J38" s="20">
        <f>H38/'- 7 -'!$E38</f>
        <v>149.16448288314982</v>
      </c>
    </row>
    <row r="39" spans="1:10" ht="14.1" customHeight="1">
      <c r="A39" s="285" t="s">
        <v>137</v>
      </c>
      <c r="B39" s="286">
        <v>154196</v>
      </c>
      <c r="C39" s="292">
        <f>B39/'- 3 -'!$D39*100</f>
        <v>0.74575556380970065</v>
      </c>
      <c r="D39" s="286">
        <f>B39/'- 7 -'!$E39</f>
        <v>97.290680800050467</v>
      </c>
      <c r="E39" s="286">
        <v>226730</v>
      </c>
      <c r="F39" s="292">
        <f>E39/'- 3 -'!$D39*100</f>
        <v>1.0965599560466772</v>
      </c>
      <c r="G39" s="286">
        <f>E39/'- 7 -'!$E39</f>
        <v>143.05634424884849</v>
      </c>
      <c r="H39" s="286">
        <v>430796</v>
      </c>
      <c r="I39" s="292">
        <f>H39/'- 3 -'!$D39*100</f>
        <v>2.0835074442071377</v>
      </c>
      <c r="J39" s="286">
        <f>H39/'- 7 -'!$E39</f>
        <v>271.81273266452138</v>
      </c>
    </row>
    <row r="40" spans="1:10" ht="14.1" customHeight="1">
      <c r="A40" s="19" t="s">
        <v>138</v>
      </c>
      <c r="B40" s="20">
        <v>484896</v>
      </c>
      <c r="C40" s="70">
        <f>B40/'- 3 -'!$D40*100</f>
        <v>0.47609629316949648</v>
      </c>
      <c r="D40" s="20">
        <f>B40/'- 7 -'!$E40</f>
        <v>60.925002198796314</v>
      </c>
      <c r="E40" s="20">
        <v>1133283</v>
      </c>
      <c r="F40" s="70">
        <f>E40/'- 3 -'!$D40*100</f>
        <v>1.1127166143090612</v>
      </c>
      <c r="G40" s="20">
        <f>E40/'- 7 -'!$E40</f>
        <v>142.39191345537699</v>
      </c>
      <c r="H40" s="20">
        <v>1571263</v>
      </c>
      <c r="I40" s="70">
        <f>H40/'- 3 -'!$D40*100</f>
        <v>1.542748321071699</v>
      </c>
      <c r="J40" s="20">
        <f>H40/'- 7 -'!$E40</f>
        <v>197.42213119903502</v>
      </c>
    </row>
    <row r="41" spans="1:10" ht="14.1" customHeight="1">
      <c r="A41" s="285" t="s">
        <v>139</v>
      </c>
      <c r="B41" s="286">
        <v>270502</v>
      </c>
      <c r="C41" s="292">
        <f>B41/'- 3 -'!$D41*100</f>
        <v>0.43764254624213439</v>
      </c>
      <c r="D41" s="286">
        <f>B41/'- 7 -'!$E41</f>
        <v>61.673962608299135</v>
      </c>
      <c r="E41" s="286">
        <v>733301</v>
      </c>
      <c r="F41" s="292">
        <f>E41/'- 3 -'!$D41*100</f>
        <v>1.1864005323506053</v>
      </c>
      <c r="G41" s="286">
        <f>E41/'- 7 -'!$E41</f>
        <v>167.19129046967623</v>
      </c>
      <c r="H41" s="286">
        <v>1059374</v>
      </c>
      <c r="I41" s="292">
        <f>H41/'- 3 -'!$D41*100</f>
        <v>1.7139508572310553</v>
      </c>
      <c r="J41" s="286">
        <f>H41/'- 7 -'!$E41</f>
        <v>241.53533971728226</v>
      </c>
    </row>
    <row r="42" spans="1:10" ht="14.1" customHeight="1">
      <c r="A42" s="19" t="s">
        <v>140</v>
      </c>
      <c r="B42" s="20">
        <v>200863</v>
      </c>
      <c r="C42" s="70">
        <f>B42/'- 3 -'!$D42*100</f>
        <v>1.0030656316025575</v>
      </c>
      <c r="D42" s="20">
        <f>B42/'- 7 -'!$E42</f>
        <v>145.11125559890192</v>
      </c>
      <c r="E42" s="20">
        <v>232021</v>
      </c>
      <c r="F42" s="70">
        <f>E42/'- 3 -'!$D42*100</f>
        <v>1.158661828759189</v>
      </c>
      <c r="G42" s="20">
        <f>E42/'- 7 -'!$E42</f>
        <v>167.62100852477968</v>
      </c>
      <c r="H42" s="20">
        <v>394973</v>
      </c>
      <c r="I42" s="70">
        <f>H42/'- 3 -'!$D42*100</f>
        <v>1.9724082668831837</v>
      </c>
      <c r="J42" s="20">
        <f>H42/'- 7 -'!$E42</f>
        <v>285.34388094206042</v>
      </c>
    </row>
    <row r="43" spans="1:10" ht="14.1" customHeight="1">
      <c r="A43" s="285" t="s">
        <v>141</v>
      </c>
      <c r="B43" s="286">
        <v>108618</v>
      </c>
      <c r="C43" s="292">
        <f>B43/'- 3 -'!$D43*100</f>
        <v>0.85405548978216472</v>
      </c>
      <c r="D43" s="286">
        <f>B43/'- 7 -'!$E43</f>
        <v>114.7332840392944</v>
      </c>
      <c r="E43" s="286">
        <v>118089</v>
      </c>
      <c r="F43" s="292">
        <f>E43/'- 3 -'!$D43*100</f>
        <v>0.92852527880172753</v>
      </c>
      <c r="G43" s="286">
        <f>E43/'- 7 -'!$E43</f>
        <v>124.73750924263231</v>
      </c>
      <c r="H43" s="286">
        <v>305574</v>
      </c>
      <c r="I43" s="292">
        <f>H43/'- 3 -'!$D43*100</f>
        <v>2.4027062939355837</v>
      </c>
      <c r="J43" s="286">
        <f>H43/'- 7 -'!$E43</f>
        <v>322.77807119467627</v>
      </c>
    </row>
    <row r="44" spans="1:10" ht="14.1" customHeight="1">
      <c r="A44" s="19" t="s">
        <v>142</v>
      </c>
      <c r="B44" s="20">
        <v>94711</v>
      </c>
      <c r="C44" s="70">
        <f>B44/'- 3 -'!$D44*100</f>
        <v>0.87166535840014336</v>
      </c>
      <c r="D44" s="20">
        <f>B44/'- 7 -'!$E44</f>
        <v>139.0763582966226</v>
      </c>
      <c r="E44" s="20">
        <v>49044</v>
      </c>
      <c r="F44" s="70">
        <f>E44/'- 3 -'!$D44*100</f>
        <v>0.45137265826964795</v>
      </c>
      <c r="G44" s="20">
        <f>E44/'- 7 -'!$E44</f>
        <v>72.017621145374449</v>
      </c>
      <c r="H44" s="20">
        <v>247460</v>
      </c>
      <c r="I44" s="70">
        <f>H44/'- 3 -'!$D44*100</f>
        <v>2.2774789579848109</v>
      </c>
      <c r="J44" s="20">
        <f>H44/'- 7 -'!$E44</f>
        <v>363.37738619676946</v>
      </c>
    </row>
    <row r="45" spans="1:10" ht="14.1" customHeight="1">
      <c r="A45" s="285" t="s">
        <v>143</v>
      </c>
      <c r="B45" s="286">
        <v>119466</v>
      </c>
      <c r="C45" s="292">
        <f>B45/'- 3 -'!$D45*100</f>
        <v>0.6516506535897979</v>
      </c>
      <c r="D45" s="286">
        <f>B45/'- 7 -'!$E45</f>
        <v>71.967469879518077</v>
      </c>
      <c r="E45" s="286">
        <v>167699</v>
      </c>
      <c r="F45" s="292">
        <f>E45/'- 3 -'!$D45*100</f>
        <v>0.91474698203970595</v>
      </c>
      <c r="G45" s="286">
        <f>E45/'- 7 -'!$E45</f>
        <v>101.02349397590362</v>
      </c>
      <c r="H45" s="286">
        <v>363446</v>
      </c>
      <c r="I45" s="292">
        <f>H45/'- 3 -'!$D45*100</f>
        <v>1.9824872636950901</v>
      </c>
      <c r="J45" s="286">
        <f>H45/'- 7 -'!$E45</f>
        <v>218.94337349397591</v>
      </c>
    </row>
    <row r="46" spans="1:10" ht="14.1" customHeight="1">
      <c r="A46" s="19" t="s">
        <v>144</v>
      </c>
      <c r="B46" s="20">
        <v>908327</v>
      </c>
      <c r="C46" s="70">
        <f>B46/'- 3 -'!$D46*100</f>
        <v>0.2380587621216938</v>
      </c>
      <c r="D46" s="20">
        <f>B46/'- 7 -'!$E46</f>
        <v>30.445014245014246</v>
      </c>
      <c r="E46" s="20">
        <v>2819110</v>
      </c>
      <c r="F46" s="70">
        <f>E46/'- 3 -'!$D46*100</f>
        <v>0.73884607292845883</v>
      </c>
      <c r="G46" s="20">
        <f>E46/'- 7 -'!$E46</f>
        <v>94.490028490028493</v>
      </c>
      <c r="H46" s="20">
        <v>5602635</v>
      </c>
      <c r="I46" s="70">
        <f>H46/'- 3 -'!$D46*100</f>
        <v>1.4683658558202892</v>
      </c>
      <c r="J46" s="20">
        <f>H46/'- 7 -'!$E46</f>
        <v>187.78733031674207</v>
      </c>
    </row>
    <row r="47" spans="1:10" ht="5.0999999999999996" customHeight="1">
      <c r="A47" s="21"/>
      <c r="B47" s="22"/>
      <c r="C47"/>
      <c r="D47" s="22"/>
      <c r="E47" s="554"/>
      <c r="F47"/>
      <c r="G47" s="22"/>
      <c r="H47"/>
      <c r="I47"/>
      <c r="J47"/>
    </row>
    <row r="48" spans="1:10" ht="14.1" customHeight="1">
      <c r="A48" s="287" t="s">
        <v>145</v>
      </c>
      <c r="B48" s="288">
        <f>SUM(B11:B46)</f>
        <v>10200592</v>
      </c>
      <c r="C48" s="295">
        <f>B48/'- 3 -'!$D48*100</f>
        <v>0.46041874598267618</v>
      </c>
      <c r="D48" s="288">
        <f>B48/'- 7 -'!$E48</f>
        <v>58.621722057804483</v>
      </c>
      <c r="E48" s="288">
        <f>SUM(E11:E46)</f>
        <v>20969140</v>
      </c>
      <c r="F48" s="295">
        <f>E48/'- 3 -'!$D48*100</f>
        <v>0.94647302265742761</v>
      </c>
      <c r="G48" s="288">
        <f>E48/'- 7 -'!$E48</f>
        <v>120.50742710532784</v>
      </c>
      <c r="H48" s="288">
        <f>SUM(H11:H46)</f>
        <v>37544096</v>
      </c>
      <c r="I48" s="295">
        <f>H48/'- 3 -'!$D48*100</f>
        <v>1.6946080775873802</v>
      </c>
      <c r="J48" s="288">
        <f>H48/'- 7 -'!$E48</f>
        <v>215.76194407378796</v>
      </c>
    </row>
    <row r="49" spans="1:10" ht="5.0999999999999996" customHeight="1">
      <c r="A49" s="21" t="s">
        <v>7</v>
      </c>
      <c r="B49" s="22"/>
      <c r="C49"/>
      <c r="D49" s="22"/>
      <c r="E49" s="554"/>
      <c r="F49"/>
      <c r="H49"/>
      <c r="I49"/>
      <c r="J49"/>
    </row>
    <row r="50" spans="1:10" ht="14.1" customHeight="1">
      <c r="A50" s="19" t="s">
        <v>146</v>
      </c>
      <c r="B50" s="20">
        <v>41814</v>
      </c>
      <c r="C50" s="70">
        <f>B50/'- 3 -'!$D50*100</f>
        <v>1.2448077192725493</v>
      </c>
      <c r="D50" s="20">
        <f>B50/'- 7 -'!$E50</f>
        <v>244.52631578947367</v>
      </c>
      <c r="E50" s="20">
        <v>33029</v>
      </c>
      <c r="F50" s="70">
        <f>E50/'- 3 -'!$D50*100</f>
        <v>0.98327723154572699</v>
      </c>
      <c r="G50" s="20">
        <f>E50/'- 7 -'!$E50</f>
        <v>193.15204678362574</v>
      </c>
      <c r="H50" s="20">
        <v>82018</v>
      </c>
      <c r="I50" s="70">
        <f>H50/'- 3 -'!$D50*100</f>
        <v>2.4416855483640876</v>
      </c>
      <c r="J50" s="20">
        <f>H50/'- 7 -'!$E50</f>
        <v>479.63742690058479</v>
      </c>
    </row>
    <row r="51" spans="1:10" ht="14.1" customHeight="1">
      <c r="A51" s="285" t="s">
        <v>612</v>
      </c>
      <c r="B51" s="286">
        <v>42481</v>
      </c>
      <c r="C51" s="292">
        <f>B51/'- 3 -'!$D51*100</f>
        <v>0.16022982632144439</v>
      </c>
      <c r="D51" s="286">
        <f>B51/'- 7 -'!$E51</f>
        <v>41.812007874015748</v>
      </c>
      <c r="E51" s="286">
        <v>421879</v>
      </c>
      <c r="F51" s="292">
        <f>E51/'- 3 -'!$D51*100</f>
        <v>1.5912431180684221</v>
      </c>
      <c r="G51" s="286">
        <f>E51/'- 7 -'!$E51</f>
        <v>415.23523622047242</v>
      </c>
      <c r="H51" s="286">
        <v>2617196</v>
      </c>
      <c r="I51" s="292">
        <f>H51/'- 3 -'!$D51*100</f>
        <v>9.8715392888392213</v>
      </c>
      <c r="J51" s="286">
        <f>H51/'- 7 -'!$E51</f>
        <v>2575.98031496063</v>
      </c>
    </row>
    <row r="52" spans="1:10" ht="50.1" customHeight="1"/>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sheetPr codeName="Sheet22">
    <pageSetUpPr fitToPage="1"/>
  </sheetPr>
  <dimension ref="A1:E52"/>
  <sheetViews>
    <sheetView showGridLines="0" showZeros="0" workbookViewId="0"/>
  </sheetViews>
  <sheetFormatPr defaultColWidth="15.83203125" defaultRowHeight="12"/>
  <cols>
    <col min="1" max="1" width="35.83203125" style="2" customWidth="1"/>
    <col min="2" max="2" width="20.83203125" style="2" customWidth="1"/>
    <col min="3" max="4" width="15.83203125" style="2" customWidth="1"/>
    <col min="5" max="5" width="44.83203125" style="2" customWidth="1"/>
    <col min="6" max="16384" width="15.83203125" style="2"/>
  </cols>
  <sheetData>
    <row r="1" spans="1:5" ht="6.95" customHeight="1">
      <c r="A1" s="7"/>
      <c r="B1" s="8"/>
      <c r="C1" s="8"/>
      <c r="D1" s="8"/>
      <c r="E1" s="8"/>
    </row>
    <row r="2" spans="1:5" ht="15.95" customHeight="1">
      <c r="A2" s="134"/>
      <c r="B2" s="9" t="s">
        <v>263</v>
      </c>
      <c r="C2" s="10"/>
      <c r="D2" s="10"/>
      <c r="E2" s="396" t="s">
        <v>410</v>
      </c>
    </row>
    <row r="3" spans="1:5" ht="15.95" customHeight="1">
      <c r="A3" s="543"/>
      <c r="B3" s="11" t="str">
        <f>OPYEAR</f>
        <v>OPERATING FUND 2015/2016 ACTUAL</v>
      </c>
      <c r="C3" s="12"/>
      <c r="D3" s="12"/>
      <c r="E3" s="66"/>
    </row>
    <row r="4" spans="1:5" ht="15.95" customHeight="1">
      <c r="B4" s="8"/>
      <c r="C4" s="8"/>
      <c r="D4" s="8"/>
      <c r="E4" s="8"/>
    </row>
    <row r="5" spans="1:5" ht="15.95" customHeight="1">
      <c r="B5" s="164" t="s">
        <v>94</v>
      </c>
      <c r="C5" s="155"/>
      <c r="D5" s="157"/>
      <c r="E5" s="43"/>
    </row>
    <row r="6" spans="1:5" ht="15.95" customHeight="1">
      <c r="B6" s="643" t="s">
        <v>497</v>
      </c>
      <c r="C6" s="651"/>
      <c r="D6" s="644"/>
      <c r="E6" s="69"/>
    </row>
    <row r="7" spans="1:5" ht="15.95" customHeight="1">
      <c r="B7" s="645"/>
      <c r="C7" s="652"/>
      <c r="D7" s="646"/>
      <c r="E7" s="69"/>
    </row>
    <row r="8" spans="1:5" ht="15.95" customHeight="1">
      <c r="A8" s="67"/>
      <c r="B8" s="139"/>
      <c r="C8" s="68"/>
      <c r="D8" s="596" t="s">
        <v>480</v>
      </c>
      <c r="E8" s="69"/>
    </row>
    <row r="9" spans="1:5" ht="15.95" customHeight="1">
      <c r="A9" s="35" t="s">
        <v>42</v>
      </c>
      <c r="B9" s="77" t="s">
        <v>43</v>
      </c>
      <c r="C9" s="77" t="s">
        <v>44</v>
      </c>
      <c r="D9" s="598"/>
    </row>
    <row r="10" spans="1:5" ht="5.0999999999999996" customHeight="1">
      <c r="A10" s="6"/>
    </row>
    <row r="11" spans="1:5" ht="14.1" customHeight="1">
      <c r="A11" s="285" t="s">
        <v>110</v>
      </c>
      <c r="B11" s="286">
        <v>8756</v>
      </c>
      <c r="C11" s="292">
        <f>B11/'- 3 -'!$D11*100</f>
        <v>4.8809651556727424E-2</v>
      </c>
      <c r="D11" s="286">
        <f>B11/'- 7 -'!$E11</f>
        <v>5.2243436754176615</v>
      </c>
    </row>
    <row r="12" spans="1:5" ht="14.1" customHeight="1">
      <c r="A12" s="19" t="s">
        <v>111</v>
      </c>
      <c r="B12" s="20">
        <v>82859</v>
      </c>
      <c r="C12" s="70">
        <f>B12/'- 3 -'!$D12*100</f>
        <v>0.25655123847688344</v>
      </c>
      <c r="D12" s="20">
        <f>B12/'- 7 -'!$E12</f>
        <v>38.994305614381851</v>
      </c>
    </row>
    <row r="13" spans="1:5" ht="14.1" customHeight="1">
      <c r="A13" s="285" t="s">
        <v>112</v>
      </c>
      <c r="B13" s="286">
        <v>271975</v>
      </c>
      <c r="C13" s="292">
        <f>B13/'- 3 -'!$D13*100</f>
        <v>0.29965495526555591</v>
      </c>
      <c r="D13" s="286">
        <f>B13/'- 7 -'!$E13</f>
        <v>32.966666666666669</v>
      </c>
    </row>
    <row r="14" spans="1:5" ht="14.1" customHeight="1">
      <c r="A14" s="19" t="s">
        <v>359</v>
      </c>
      <c r="B14" s="20">
        <v>121649</v>
      </c>
      <c r="C14" s="70">
        <f>B14/'- 3 -'!$D14*100</f>
        <v>0.14978620905743781</v>
      </c>
      <c r="D14" s="20">
        <f>B14/'- 7 -'!$E14</f>
        <v>22.767920643833051</v>
      </c>
    </row>
    <row r="15" spans="1:5" ht="14.1" customHeight="1">
      <c r="A15" s="285" t="s">
        <v>113</v>
      </c>
      <c r="B15" s="286">
        <v>52656</v>
      </c>
      <c r="C15" s="292">
        <f>B15/'- 3 -'!$D15*100</f>
        <v>0.26547577669663552</v>
      </c>
      <c r="D15" s="286">
        <f>B15/'- 7 -'!$E15</f>
        <v>37.344680851063828</v>
      </c>
    </row>
    <row r="16" spans="1:5" ht="14.1" customHeight="1">
      <c r="A16" s="19" t="s">
        <v>114</v>
      </c>
      <c r="B16" s="20">
        <v>25212</v>
      </c>
      <c r="C16" s="70">
        <f>B16/'- 3 -'!$D16*100</f>
        <v>0.17983080412087296</v>
      </c>
      <c r="D16" s="20">
        <f>B16/'- 7 -'!$E16</f>
        <v>27.036997319034853</v>
      </c>
    </row>
    <row r="17" spans="1:4" ht="14.1" customHeight="1">
      <c r="A17" s="285" t="s">
        <v>115</v>
      </c>
      <c r="B17" s="286">
        <v>72169</v>
      </c>
      <c r="C17" s="292">
        <f>B17/'- 3 -'!$D17*100</f>
        <v>0.41546971122238557</v>
      </c>
      <c r="D17" s="286">
        <f>B17/'- 7 -'!$E17</f>
        <v>53.776625754462906</v>
      </c>
    </row>
    <row r="18" spans="1:4" ht="14.1" customHeight="1">
      <c r="A18" s="19" t="s">
        <v>116</v>
      </c>
      <c r="B18" s="20">
        <v>701605</v>
      </c>
      <c r="C18" s="70">
        <f>B18/'- 3 -'!$D18*100</f>
        <v>0.55352462101150912</v>
      </c>
      <c r="D18" s="20">
        <f>B18/'- 7 -'!$E18</f>
        <v>113.4732330583859</v>
      </c>
    </row>
    <row r="19" spans="1:4" ht="14.1" customHeight="1">
      <c r="A19" s="285" t="s">
        <v>117</v>
      </c>
      <c r="B19" s="286">
        <v>138459</v>
      </c>
      <c r="C19" s="292">
        <f>B19/'- 3 -'!$D19*100</f>
        <v>0.30955426948532555</v>
      </c>
      <c r="D19" s="286">
        <f>B19/'- 7 -'!$E19</f>
        <v>32.696294896923042</v>
      </c>
    </row>
    <row r="20" spans="1:4" ht="14.1" customHeight="1">
      <c r="A20" s="19" t="s">
        <v>118</v>
      </c>
      <c r="B20" s="20">
        <v>84891</v>
      </c>
      <c r="C20" s="70">
        <f>B20/'- 3 -'!$D20*100</f>
        <v>0.1084273912949017</v>
      </c>
      <c r="D20" s="20">
        <f>B20/'- 7 -'!$E20</f>
        <v>11.22087912814175</v>
      </c>
    </row>
    <row r="21" spans="1:4" ht="14.1" customHeight="1">
      <c r="A21" s="285" t="s">
        <v>119</v>
      </c>
      <c r="B21" s="286">
        <v>88125</v>
      </c>
      <c r="C21" s="292">
        <f>B21/'- 3 -'!$D21*100</f>
        <v>0.25090149440773668</v>
      </c>
      <c r="D21" s="286">
        <f>B21/'- 7 -'!$E21</f>
        <v>32.807788243177839</v>
      </c>
    </row>
    <row r="22" spans="1:4" ht="14.1" customHeight="1">
      <c r="A22" s="19" t="s">
        <v>120</v>
      </c>
      <c r="B22" s="20">
        <v>70533</v>
      </c>
      <c r="C22" s="70">
        <f>B22/'- 3 -'!$D22*100</f>
        <v>0.3529288849272601</v>
      </c>
      <c r="D22" s="20">
        <f>B22/'- 7 -'!$E22</f>
        <v>46.042822638553424</v>
      </c>
    </row>
    <row r="23" spans="1:4" ht="14.1" customHeight="1">
      <c r="A23" s="285" t="s">
        <v>121</v>
      </c>
      <c r="B23" s="286">
        <v>53225</v>
      </c>
      <c r="C23" s="292">
        <f>B23/'- 3 -'!$D23*100</f>
        <v>0.32981824644391178</v>
      </c>
      <c r="D23" s="286">
        <f>B23/'- 7 -'!$E23</f>
        <v>47.928860873480417</v>
      </c>
    </row>
    <row r="24" spans="1:4" ht="14.1" customHeight="1">
      <c r="A24" s="19" t="s">
        <v>122</v>
      </c>
      <c r="B24" s="20">
        <v>153916</v>
      </c>
      <c r="C24" s="70">
        <f>B24/'- 3 -'!$D24*100</f>
        <v>0.27632316266397894</v>
      </c>
      <c r="D24" s="20">
        <f>B24/'- 7 -'!$E24</f>
        <v>38.560942001753723</v>
      </c>
    </row>
    <row r="25" spans="1:4" ht="14.1" customHeight="1">
      <c r="A25" s="285" t="s">
        <v>123</v>
      </c>
      <c r="B25" s="286">
        <v>767587</v>
      </c>
      <c r="C25" s="292">
        <f>B25/'- 3 -'!$D25*100</f>
        <v>0.45679064868721075</v>
      </c>
      <c r="D25" s="286">
        <f>B25/'- 7 -'!$E25</f>
        <v>54.221140669369753</v>
      </c>
    </row>
    <row r="26" spans="1:4" ht="14.1" customHeight="1">
      <c r="A26" s="19" t="s">
        <v>124</v>
      </c>
      <c r="B26" s="20">
        <v>39219</v>
      </c>
      <c r="C26" s="70">
        <f>B26/'- 3 -'!$D26*100</f>
        <v>9.8960045212924203E-2</v>
      </c>
      <c r="D26" s="20">
        <f>B26/'- 7 -'!$E26</f>
        <v>12.75</v>
      </c>
    </row>
    <row r="27" spans="1:4" ht="14.1" customHeight="1">
      <c r="A27" s="285" t="s">
        <v>125</v>
      </c>
      <c r="B27" s="286">
        <v>213099</v>
      </c>
      <c r="C27" s="292">
        <f>B27/'- 3 -'!$D27*100</f>
        <v>0.50720144943669321</v>
      </c>
      <c r="D27" s="286">
        <f>B27/'- 7 -'!$E27</f>
        <v>73.350635582281484</v>
      </c>
    </row>
    <row r="28" spans="1:4" ht="14.1" customHeight="1">
      <c r="A28" s="19" t="s">
        <v>126</v>
      </c>
      <c r="B28" s="20">
        <v>89767</v>
      </c>
      <c r="C28" s="70">
        <f>B28/'- 3 -'!$D28*100</f>
        <v>0.3228401096837108</v>
      </c>
      <c r="D28" s="20">
        <f>B28/'- 7 -'!$E28</f>
        <v>45.120382005529031</v>
      </c>
    </row>
    <row r="29" spans="1:4" ht="14.1" customHeight="1">
      <c r="A29" s="285" t="s">
        <v>127</v>
      </c>
      <c r="B29" s="286">
        <v>830518</v>
      </c>
      <c r="C29" s="292">
        <f>B29/'- 3 -'!$D29*100</f>
        <v>0.55226939666564323</v>
      </c>
      <c r="D29" s="286">
        <f>B29/'- 7 -'!$E29</f>
        <v>65.429636107237684</v>
      </c>
    </row>
    <row r="30" spans="1:4" ht="14.1" customHeight="1">
      <c r="A30" s="19" t="s">
        <v>128</v>
      </c>
      <c r="B30" s="20">
        <v>46163</v>
      </c>
      <c r="C30" s="70">
        <f>B30/'- 3 -'!$D30*100</f>
        <v>0.3323637141736856</v>
      </c>
      <c r="D30" s="20">
        <f>B30/'- 7 -'!$E30</f>
        <v>45.979083665338642</v>
      </c>
    </row>
    <row r="31" spans="1:4" ht="14.1" customHeight="1">
      <c r="A31" s="285" t="s">
        <v>129</v>
      </c>
      <c r="B31" s="286">
        <v>155157</v>
      </c>
      <c r="C31" s="292">
        <f>B31/'- 3 -'!$D31*100</f>
        <v>0.43348687733914149</v>
      </c>
      <c r="D31" s="286">
        <f>B31/'- 7 -'!$E31</f>
        <v>47.470399265718221</v>
      </c>
    </row>
    <row r="32" spans="1:4" ht="14.1" customHeight="1">
      <c r="A32" s="19" t="s">
        <v>130</v>
      </c>
      <c r="B32" s="20">
        <v>64789</v>
      </c>
      <c r="C32" s="70">
        <f>B32/'- 3 -'!$D32*100</f>
        <v>0.23205327300452058</v>
      </c>
      <c r="D32" s="20">
        <f>B32/'- 7 -'!$E32</f>
        <v>30.67370514155856</v>
      </c>
    </row>
    <row r="33" spans="1:5" ht="14.1" customHeight="1">
      <c r="A33" s="285" t="s">
        <v>131</v>
      </c>
      <c r="B33" s="286">
        <v>67237</v>
      </c>
      <c r="C33" s="292">
        <f>B33/'- 3 -'!$D33*100</f>
        <v>0.25408890137471857</v>
      </c>
      <c r="D33" s="286">
        <f>B33/'- 7 -'!$E33</f>
        <v>33.054913721055996</v>
      </c>
    </row>
    <row r="34" spans="1:5" ht="14.1" customHeight="1">
      <c r="A34" s="19" t="s">
        <v>132</v>
      </c>
      <c r="B34" s="20">
        <v>70462</v>
      </c>
      <c r="C34" s="70">
        <f>B34/'- 3 -'!$D34*100</f>
        <v>0.25259704043251879</v>
      </c>
      <c r="D34" s="20">
        <f>B34/'- 7 -'!$E34</f>
        <v>35.558852621167162</v>
      </c>
    </row>
    <row r="35" spans="1:5" ht="14.1" customHeight="1">
      <c r="A35" s="285" t="s">
        <v>133</v>
      </c>
      <c r="B35" s="286">
        <v>1045915</v>
      </c>
      <c r="C35" s="292">
        <f>B35/'- 3 -'!$D35*100</f>
        <v>0.57932712410353893</v>
      </c>
      <c r="D35" s="286">
        <f>B35/'- 7 -'!$E35</f>
        <v>67.791100884726319</v>
      </c>
    </row>
    <row r="36" spans="1:5" ht="14.1" customHeight="1">
      <c r="A36" s="19" t="s">
        <v>134</v>
      </c>
      <c r="B36" s="20">
        <v>40788</v>
      </c>
      <c r="C36" s="70">
        <f>B36/'- 3 -'!$D36*100</f>
        <v>0.18177739141688765</v>
      </c>
      <c r="D36" s="20">
        <f>B36/'- 7 -'!$E36</f>
        <v>24.923923006416132</v>
      </c>
    </row>
    <row r="37" spans="1:5" ht="14.1" customHeight="1">
      <c r="A37" s="285" t="s">
        <v>135</v>
      </c>
      <c r="B37" s="286">
        <v>214526</v>
      </c>
      <c r="C37" s="292">
        <f>B37/'- 3 -'!$D37*100</f>
        <v>0.44916294758059905</v>
      </c>
      <c r="D37" s="286">
        <f>B37/'- 7 -'!$E37</f>
        <v>52.278786401852081</v>
      </c>
    </row>
    <row r="38" spans="1:5" ht="14.1" customHeight="1">
      <c r="A38" s="19" t="s">
        <v>136</v>
      </c>
      <c r="B38" s="20">
        <v>464925</v>
      </c>
      <c r="C38" s="70">
        <f>B38/'- 3 -'!$D38*100</f>
        <v>0.36625322716221376</v>
      </c>
      <c r="D38" s="20">
        <f>B38/'- 7 -'!$E38</f>
        <v>43.051401479725534</v>
      </c>
    </row>
    <row r="39" spans="1:5" ht="14.1" customHeight="1">
      <c r="A39" s="285" t="s">
        <v>137</v>
      </c>
      <c r="B39" s="286">
        <v>65827</v>
      </c>
      <c r="C39" s="292">
        <f>B39/'- 3 -'!$D39*100</f>
        <v>0.31836656916457734</v>
      </c>
      <c r="D39" s="286">
        <f>B39/'- 7 -'!$E39</f>
        <v>41.533850716133507</v>
      </c>
    </row>
    <row r="40" spans="1:5" ht="14.1" customHeight="1">
      <c r="A40" s="19" t="s">
        <v>138</v>
      </c>
      <c r="B40" s="20">
        <v>456137</v>
      </c>
      <c r="C40" s="70">
        <f>B40/'- 3 -'!$D40*100</f>
        <v>0.44785920048310279</v>
      </c>
      <c r="D40" s="20">
        <f>B40/'- 7 -'!$E40</f>
        <v>57.31156315571247</v>
      </c>
    </row>
    <row r="41" spans="1:5" ht="14.1" customHeight="1">
      <c r="A41" s="285" t="s">
        <v>139</v>
      </c>
      <c r="B41" s="286">
        <v>124534</v>
      </c>
      <c r="C41" s="292">
        <f>B41/'- 3 -'!$D41*100</f>
        <v>0.20148234339752744</v>
      </c>
      <c r="D41" s="286">
        <f>B41/'- 7 -'!$E41</f>
        <v>28.393524851801185</v>
      </c>
    </row>
    <row r="42" spans="1:5" ht="14.1" customHeight="1">
      <c r="A42" s="19" t="s">
        <v>140</v>
      </c>
      <c r="B42" s="20">
        <v>39813</v>
      </c>
      <c r="C42" s="70">
        <f>B42/'- 3 -'!$D42*100</f>
        <v>0.19881736303347364</v>
      </c>
      <c r="D42" s="20">
        <f>B42/'- 7 -'!$E42</f>
        <v>28.762462071954925</v>
      </c>
    </row>
    <row r="43" spans="1:5" ht="14.1" customHeight="1">
      <c r="A43" s="285" t="s">
        <v>141</v>
      </c>
      <c r="B43" s="286">
        <v>29250</v>
      </c>
      <c r="C43" s="292">
        <f>B43/'- 3 -'!$D43*100</f>
        <v>0.22999063761189042</v>
      </c>
      <c r="D43" s="286">
        <f>B43/'- 7 -'!$E43</f>
        <v>30.896799408471534</v>
      </c>
    </row>
    <row r="44" spans="1:5" ht="14.1" customHeight="1">
      <c r="A44" s="19" t="s">
        <v>142</v>
      </c>
      <c r="B44" s="20">
        <v>981</v>
      </c>
      <c r="C44" s="70">
        <f>B44/'- 3 -'!$D44*100</f>
        <v>9.0285575761056332E-3</v>
      </c>
      <c r="D44" s="20">
        <f>B44/'- 7 -'!$E44</f>
        <v>1.4405286343612336</v>
      </c>
    </row>
    <row r="45" spans="1:5" ht="14.1" customHeight="1">
      <c r="A45" s="285" t="s">
        <v>143</v>
      </c>
      <c r="B45" s="286">
        <v>74918</v>
      </c>
      <c r="C45" s="292">
        <f>B45/'- 3 -'!$D45*100</f>
        <v>0.40865487808782808</v>
      </c>
      <c r="D45" s="286">
        <f>B45/'- 7 -'!$E45</f>
        <v>45.131325301204818</v>
      </c>
    </row>
    <row r="46" spans="1:5" ht="14.1" customHeight="1">
      <c r="A46" s="19" t="s">
        <v>144</v>
      </c>
      <c r="B46" s="20">
        <v>1364720</v>
      </c>
      <c r="C46" s="70">
        <f>B46/'- 3 -'!$D46*100</f>
        <v>0.35767246139630104</v>
      </c>
      <c r="D46" s="20">
        <f>B46/'- 7 -'!$E46</f>
        <v>45.742249036366687</v>
      </c>
    </row>
    <row r="47" spans="1:5" ht="5.0999999999999996" customHeight="1">
      <c r="A47" s="21"/>
      <c r="B47" s="22"/>
      <c r="C47"/>
      <c r="D47" s="22"/>
    </row>
    <row r="48" spans="1:5" ht="14.1" customHeight="1">
      <c r="A48" s="287" t="s">
        <v>145</v>
      </c>
      <c r="B48" s="288">
        <f>SUM(B11:B46)</f>
        <v>8192362</v>
      </c>
      <c r="C48" s="295">
        <f>B48/'- 3 -'!$D48*100</f>
        <v>0.36977432669360061</v>
      </c>
      <c r="D48" s="288">
        <f>B48/'- 7 -'!$E48</f>
        <v>47.080636904301166</v>
      </c>
      <c r="E48" s="6"/>
    </row>
    <row r="49" spans="1:4" ht="5.0999999999999996" customHeight="1">
      <c r="A49" s="21" t="s">
        <v>7</v>
      </c>
      <c r="B49" s="22"/>
      <c r="C49"/>
      <c r="D49" s="22"/>
    </row>
    <row r="50" spans="1:4" ht="14.1" customHeight="1">
      <c r="A50" s="19" t="s">
        <v>146</v>
      </c>
      <c r="B50" s="20">
        <v>0</v>
      </c>
      <c r="C50" s="70">
        <f>B50/'- 3 -'!$D50*100</f>
        <v>0</v>
      </c>
      <c r="D50" s="20">
        <f>B50/'- 7 -'!$E50</f>
        <v>0</v>
      </c>
    </row>
    <row r="51" spans="1:4" ht="14.1" customHeight="1">
      <c r="A51" s="285" t="s">
        <v>612</v>
      </c>
      <c r="B51" s="286">
        <v>1129596</v>
      </c>
      <c r="C51" s="292">
        <f>B51/'- 3 -'!$D51*100</f>
        <v>4.2606099407593589</v>
      </c>
      <c r="D51" s="286">
        <f>B51/'- 7 -'!$E51</f>
        <v>1111.8070866141732</v>
      </c>
    </row>
    <row r="52" spans="1:4" ht="50.1" customHeight="1"/>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sheetPr codeName="Sheet24">
    <pageSetUpPr fitToPage="1"/>
  </sheetPr>
  <dimension ref="A1:J52"/>
  <sheetViews>
    <sheetView showGridLines="0" showZeros="0" workbookViewId="0"/>
  </sheetViews>
  <sheetFormatPr defaultColWidth="15.83203125" defaultRowHeight="1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c r="A1" s="7"/>
      <c r="B1" s="8"/>
      <c r="C1" s="8"/>
      <c r="D1" s="8"/>
      <c r="E1" s="8"/>
      <c r="F1" s="8"/>
      <c r="G1" s="8"/>
    </row>
    <row r="2" spans="1:10" ht="15.95" customHeight="1">
      <c r="A2" s="134"/>
      <c r="B2" s="9" t="s">
        <v>263</v>
      </c>
      <c r="C2" s="10"/>
      <c r="D2" s="10"/>
      <c r="E2" s="10"/>
      <c r="F2" s="10"/>
      <c r="G2" s="10"/>
      <c r="H2" s="73"/>
      <c r="I2" s="135"/>
      <c r="J2" s="396" t="s">
        <v>411</v>
      </c>
    </row>
    <row r="3" spans="1:10" ht="15.95" customHeight="1">
      <c r="A3" s="543"/>
      <c r="B3" s="11" t="str">
        <f>OPYEAR</f>
        <v>OPERATING FUND 2015/2016 ACTUAL</v>
      </c>
      <c r="C3" s="12"/>
      <c r="D3" s="12"/>
      <c r="E3" s="12"/>
      <c r="F3" s="12"/>
      <c r="G3" s="12"/>
      <c r="H3" s="75"/>
      <c r="I3" s="12"/>
      <c r="J3" s="12"/>
    </row>
    <row r="4" spans="1:10" ht="15.95" customHeight="1">
      <c r="B4" s="8"/>
      <c r="C4" s="8"/>
      <c r="D4" s="8"/>
      <c r="E4" s="8"/>
      <c r="F4" s="8"/>
      <c r="G4" s="8"/>
    </row>
    <row r="5" spans="1:10" ht="15.95" customHeight="1">
      <c r="B5" s="394" t="s">
        <v>249</v>
      </c>
      <c r="C5" s="166"/>
      <c r="D5" s="166"/>
      <c r="E5" s="166"/>
      <c r="F5" s="166"/>
      <c r="G5" s="166"/>
      <c r="H5" s="39"/>
      <c r="I5" s="39"/>
      <c r="J5" s="183"/>
    </row>
    <row r="6" spans="1:10" ht="15.95" customHeight="1">
      <c r="B6" s="643" t="s">
        <v>498</v>
      </c>
      <c r="C6" s="651"/>
      <c r="D6" s="644"/>
      <c r="E6" s="643" t="s">
        <v>499</v>
      </c>
      <c r="F6" s="651"/>
      <c r="G6" s="644"/>
      <c r="H6" s="643" t="s">
        <v>500</v>
      </c>
      <c r="I6" s="651"/>
      <c r="J6" s="644"/>
    </row>
    <row r="7" spans="1:10" ht="15.95" customHeight="1">
      <c r="B7" s="645"/>
      <c r="C7" s="652"/>
      <c r="D7" s="646"/>
      <c r="E7" s="645"/>
      <c r="F7" s="652"/>
      <c r="G7" s="646"/>
      <c r="H7" s="645"/>
      <c r="I7" s="652"/>
      <c r="J7" s="646"/>
    </row>
    <row r="8" spans="1:10" ht="15.95" customHeight="1">
      <c r="A8" s="67"/>
      <c r="B8" s="137"/>
      <c r="C8" s="138"/>
      <c r="D8" s="596" t="s">
        <v>480</v>
      </c>
      <c r="E8" s="137"/>
      <c r="F8" s="139"/>
      <c r="G8" s="596" t="s">
        <v>480</v>
      </c>
      <c r="H8" s="137"/>
      <c r="I8" s="139"/>
      <c r="J8" s="596" t="s">
        <v>480</v>
      </c>
    </row>
    <row r="9" spans="1:10" ht="15.95" customHeight="1">
      <c r="A9" s="35" t="s">
        <v>42</v>
      </c>
      <c r="B9" s="77" t="s">
        <v>43</v>
      </c>
      <c r="C9" s="77" t="s">
        <v>44</v>
      </c>
      <c r="D9" s="598"/>
      <c r="E9" s="77" t="s">
        <v>43</v>
      </c>
      <c r="F9" s="77" t="s">
        <v>44</v>
      </c>
      <c r="G9" s="598"/>
      <c r="H9" s="77" t="s">
        <v>43</v>
      </c>
      <c r="I9" s="77" t="s">
        <v>44</v>
      </c>
      <c r="J9" s="598"/>
    </row>
    <row r="10" spans="1:10" ht="5.0999999999999996" customHeight="1">
      <c r="A10" s="6"/>
    </row>
    <row r="11" spans="1:10" ht="14.1" customHeight="1">
      <c r="A11" s="285" t="s">
        <v>110</v>
      </c>
      <c r="B11" s="286">
        <v>14899</v>
      </c>
      <c r="C11" s="292">
        <f>B11/'- 3 -'!$D11*100</f>
        <v>8.3053334689776367E-2</v>
      </c>
      <c r="D11" s="286">
        <f>B11/'- 7 -'!$E11</f>
        <v>8.8896181384248205</v>
      </c>
      <c r="E11" s="286">
        <v>0</v>
      </c>
      <c r="F11" s="292">
        <f>E11/'- 3 -'!$D11*100</f>
        <v>0</v>
      </c>
      <c r="G11" s="286">
        <f>E11/'- 7 -'!$E11</f>
        <v>0</v>
      </c>
      <c r="H11" s="286">
        <v>217189</v>
      </c>
      <c r="I11" s="292">
        <f>H11/'- 3 -'!$D11*100</f>
        <v>1.2107034504287428</v>
      </c>
      <c r="J11" s="286">
        <f>H11/'- 7 -'!$E11</f>
        <v>129.58770883054893</v>
      </c>
    </row>
    <row r="12" spans="1:10" ht="14.1" customHeight="1">
      <c r="A12" s="19" t="s">
        <v>111</v>
      </c>
      <c r="B12" s="20">
        <v>0</v>
      </c>
      <c r="C12" s="70">
        <f>B12/'- 3 -'!$D12*100</f>
        <v>0</v>
      </c>
      <c r="D12" s="20">
        <f>B12/'- 7 -'!$E12</f>
        <v>0</v>
      </c>
      <c r="E12" s="20">
        <v>0</v>
      </c>
      <c r="F12" s="70">
        <f>E12/'- 3 -'!$D12*100</f>
        <v>0</v>
      </c>
      <c r="G12" s="20">
        <f>E12/'- 7 -'!$E12</f>
        <v>0</v>
      </c>
      <c r="H12" s="20">
        <v>273486</v>
      </c>
      <c r="I12" s="70">
        <f>H12/'- 3 -'!$D12*100</f>
        <v>0.84677792401656959</v>
      </c>
      <c r="J12" s="20">
        <f>H12/'- 7 -'!$E12</f>
        <v>128.70535084003953</v>
      </c>
    </row>
    <row r="13" spans="1:10" ht="14.1" customHeight="1">
      <c r="A13" s="285" t="s">
        <v>112</v>
      </c>
      <c r="B13" s="286">
        <v>71995</v>
      </c>
      <c r="C13" s="292">
        <f>B13/'- 3 -'!$D13*100</f>
        <v>7.932221161630186E-2</v>
      </c>
      <c r="D13" s="286">
        <f>B13/'- 7 -'!$E13</f>
        <v>8.7266666666666666</v>
      </c>
      <c r="E13" s="286">
        <v>461280</v>
      </c>
      <c r="F13" s="292">
        <f>E13/'- 3 -'!$D13*100</f>
        <v>0.50822626257889747</v>
      </c>
      <c r="G13" s="286">
        <f>E13/'- 7 -'!$E13</f>
        <v>55.912727272727274</v>
      </c>
      <c r="H13" s="286">
        <v>947288</v>
      </c>
      <c r="I13" s="292">
        <f>H13/'- 3 -'!$D13*100</f>
        <v>1.0436971900490779</v>
      </c>
      <c r="J13" s="286">
        <f>H13/'- 7 -'!$E13</f>
        <v>114.82278787878788</v>
      </c>
    </row>
    <row r="14" spans="1:10" ht="14.1" customHeight="1">
      <c r="A14" s="19" t="s">
        <v>359</v>
      </c>
      <c r="B14" s="20">
        <v>189659</v>
      </c>
      <c r="C14" s="70">
        <f>B14/'- 3 -'!$D14*100</f>
        <v>0.23352680764843606</v>
      </c>
      <c r="D14" s="20">
        <f>B14/'- 7 -'!$E14</f>
        <v>35.496724686505708</v>
      </c>
      <c r="E14" s="20">
        <v>1253350</v>
      </c>
      <c r="F14" s="70">
        <f>E14/'- 3 -'!$D14*100</f>
        <v>1.543247746567088</v>
      </c>
      <c r="G14" s="20">
        <f>E14/'- 7 -'!$E14</f>
        <v>234.57795246116413</v>
      </c>
      <c r="H14" s="20">
        <v>744105</v>
      </c>
      <c r="I14" s="70">
        <f>H14/'- 3 -'!$D14*100</f>
        <v>0.91621523473834365</v>
      </c>
      <c r="J14" s="20">
        <f>H14/'- 7 -'!$E14</f>
        <v>139.26726558113418</v>
      </c>
    </row>
    <row r="15" spans="1:10" ht="14.1" customHeight="1">
      <c r="A15" s="285" t="s">
        <v>113</v>
      </c>
      <c r="B15" s="286">
        <v>67111</v>
      </c>
      <c r="C15" s="292">
        <f>B15/'- 3 -'!$D15*100</f>
        <v>0.33835355609784085</v>
      </c>
      <c r="D15" s="286">
        <f>B15/'- 7 -'!$E15</f>
        <v>47.596453900709221</v>
      </c>
      <c r="E15" s="286">
        <v>93866</v>
      </c>
      <c r="F15" s="292">
        <f>E15/'- 3 -'!$D15*100</f>
        <v>0.47324425052047997</v>
      </c>
      <c r="G15" s="286">
        <f>E15/'- 7 -'!$E15</f>
        <v>66.571631205673754</v>
      </c>
      <c r="H15" s="286">
        <v>182010</v>
      </c>
      <c r="I15" s="292">
        <f>H15/'- 3 -'!$D15*100</f>
        <v>0.91763989130497248</v>
      </c>
      <c r="J15" s="286">
        <f>H15/'- 7 -'!$E15</f>
        <v>129.08510638297872</v>
      </c>
    </row>
    <row r="16" spans="1:10" ht="14.1" customHeight="1">
      <c r="A16" s="19" t="s">
        <v>114</v>
      </c>
      <c r="B16" s="20">
        <v>0</v>
      </c>
      <c r="C16" s="70">
        <f>B16/'- 3 -'!$D16*100</f>
        <v>0</v>
      </c>
      <c r="D16" s="20">
        <f>B16/'- 7 -'!$E16</f>
        <v>0</v>
      </c>
      <c r="E16" s="20">
        <v>0</v>
      </c>
      <c r="F16" s="70">
        <f>E16/'- 3 -'!$D16*100</f>
        <v>0</v>
      </c>
      <c r="G16" s="20">
        <f>E16/'- 7 -'!$E16</f>
        <v>0</v>
      </c>
      <c r="H16" s="20">
        <v>177676</v>
      </c>
      <c r="I16" s="70">
        <f>H16/'- 3 -'!$D16*100</f>
        <v>1.267317862643988</v>
      </c>
      <c r="J16" s="20">
        <f>H16/'- 7 -'!$E16</f>
        <v>190.5372654155496</v>
      </c>
    </row>
    <row r="17" spans="1:10" ht="14.1" customHeight="1">
      <c r="A17" s="285" t="s">
        <v>115</v>
      </c>
      <c r="B17" s="286">
        <v>0</v>
      </c>
      <c r="C17" s="292">
        <f>B17/'- 3 -'!$D17*100</f>
        <v>0</v>
      </c>
      <c r="D17" s="286">
        <f>B17/'- 7 -'!$E17</f>
        <v>0</v>
      </c>
      <c r="E17" s="286">
        <v>112105</v>
      </c>
      <c r="F17" s="292">
        <f>E17/'- 3 -'!$D17*100</f>
        <v>0.64537726692327091</v>
      </c>
      <c r="G17" s="286">
        <f>E17/'- 7 -'!$E17</f>
        <v>83.53487827466175</v>
      </c>
      <c r="H17" s="286">
        <v>201303</v>
      </c>
      <c r="I17" s="292">
        <f>H17/'- 3 -'!$D17*100</f>
        <v>1.1588812270947344</v>
      </c>
      <c r="J17" s="286">
        <f>H17/'- 7 -'!$E17</f>
        <v>150.00063869875774</v>
      </c>
    </row>
    <row r="18" spans="1:10" ht="14.1" customHeight="1">
      <c r="A18" s="19" t="s">
        <v>116</v>
      </c>
      <c r="B18" s="20">
        <v>0</v>
      </c>
      <c r="C18" s="70">
        <f>B18/'- 3 -'!$D18*100</f>
        <v>0</v>
      </c>
      <c r="D18" s="20">
        <f>B18/'- 7 -'!$E18</f>
        <v>0</v>
      </c>
      <c r="E18" s="20">
        <v>2303452</v>
      </c>
      <c r="F18" s="70">
        <f>E18/'- 3 -'!$D18*100</f>
        <v>1.8172866432226149</v>
      </c>
      <c r="G18" s="20">
        <f>E18/'- 7 -'!$E18</f>
        <v>372.54601326217045</v>
      </c>
      <c r="H18" s="20">
        <v>1857183</v>
      </c>
      <c r="I18" s="70">
        <f>H18/'- 3 -'!$D18*100</f>
        <v>1.4652069415469069</v>
      </c>
      <c r="J18" s="20">
        <f>H18/'- 7 -'!$E18</f>
        <v>300.36923823386707</v>
      </c>
    </row>
    <row r="19" spans="1:10" ht="14.1" customHeight="1">
      <c r="A19" s="285" t="s">
        <v>117</v>
      </c>
      <c r="B19" s="286">
        <v>50462</v>
      </c>
      <c r="C19" s="292">
        <f>B19/'- 3 -'!$D19*100</f>
        <v>0.11281843395350606</v>
      </c>
      <c r="D19" s="286">
        <f>B19/'- 7 -'!$E19</f>
        <v>11.916310482442677</v>
      </c>
      <c r="E19" s="286">
        <v>92891</v>
      </c>
      <c r="F19" s="292">
        <f>E19/'- 3 -'!$D19*100</f>
        <v>0.20767740375678992</v>
      </c>
      <c r="G19" s="286">
        <f>E19/'- 7 -'!$E19</f>
        <v>21.935674309868467</v>
      </c>
      <c r="H19" s="286">
        <v>440602</v>
      </c>
      <c r="I19" s="292">
        <f>H19/'- 3 -'!$D19*100</f>
        <v>0.98505861116845705</v>
      </c>
      <c r="J19" s="286">
        <f>H19/'- 7 -'!$E19</f>
        <v>104.04562306656906</v>
      </c>
    </row>
    <row r="20" spans="1:10" ht="14.1" customHeight="1">
      <c r="A20" s="19" t="s">
        <v>118</v>
      </c>
      <c r="B20" s="20">
        <v>26084</v>
      </c>
      <c r="C20" s="70">
        <f>B20/'- 3 -'!$D20*100</f>
        <v>3.3315900089953186E-2</v>
      </c>
      <c r="D20" s="20">
        <f>B20/'- 7 -'!$E20</f>
        <v>3.447779048172944</v>
      </c>
      <c r="E20" s="20">
        <v>477561</v>
      </c>
      <c r="F20" s="70">
        <f>E20/'- 3 -'!$D20*100</f>
        <v>0.60996682114929202</v>
      </c>
      <c r="G20" s="20">
        <f>E20/'- 7 -'!$E20</f>
        <v>63.123938430628712</v>
      </c>
      <c r="H20" s="20">
        <v>794023</v>
      </c>
      <c r="I20" s="70">
        <f>H20/'- 3 -'!$D20*100</f>
        <v>1.0141692584390776</v>
      </c>
      <c r="J20" s="20">
        <f>H20/'- 7 -'!$E20</f>
        <v>104.95383618951946</v>
      </c>
    </row>
    <row r="21" spans="1:10" ht="14.1" customHeight="1">
      <c r="A21" s="285" t="s">
        <v>119</v>
      </c>
      <c r="B21" s="286">
        <v>0</v>
      </c>
      <c r="C21" s="292">
        <f>B21/'- 3 -'!$D21*100</f>
        <v>0</v>
      </c>
      <c r="D21" s="286">
        <f>B21/'- 7 -'!$E21</f>
        <v>0</v>
      </c>
      <c r="E21" s="286">
        <v>66709</v>
      </c>
      <c r="F21" s="292">
        <f>E21/'- 3 -'!$D21*100</f>
        <v>0.1899278047142775</v>
      </c>
      <c r="G21" s="286">
        <f>E21/'- 7 -'!$E21</f>
        <v>24.834890733777598</v>
      </c>
      <c r="H21" s="286">
        <v>512062</v>
      </c>
      <c r="I21" s="292">
        <f>H21/'- 3 -'!$D21*100</f>
        <v>1.4578964088444193</v>
      </c>
      <c r="J21" s="286">
        <f>H21/'- 7 -'!$E21</f>
        <v>190.63400469081569</v>
      </c>
    </row>
    <row r="22" spans="1:10" ht="14.1" customHeight="1">
      <c r="A22" s="19" t="s">
        <v>120</v>
      </c>
      <c r="B22" s="20">
        <v>23080</v>
      </c>
      <c r="C22" s="70">
        <f>B22/'- 3 -'!$D22*100</f>
        <v>0.11548634914325441</v>
      </c>
      <c r="D22" s="20">
        <f>B22/'- 7 -'!$E22</f>
        <v>15.066257588615445</v>
      </c>
      <c r="E22" s="20">
        <v>74362</v>
      </c>
      <c r="F22" s="70">
        <f>E22/'- 3 -'!$D22*100</f>
        <v>0.37208821035488238</v>
      </c>
      <c r="G22" s="20">
        <f>E22/'- 7 -'!$E22</f>
        <v>48.542333050460208</v>
      </c>
      <c r="H22" s="20">
        <v>201397</v>
      </c>
      <c r="I22" s="70">
        <f>H22/'- 3 -'!$D22*100</f>
        <v>1.0077384860660317</v>
      </c>
      <c r="J22" s="20">
        <f>H22/'- 7 -'!$E22</f>
        <v>131.4687642796527</v>
      </c>
    </row>
    <row r="23" spans="1:10" ht="14.1" customHeight="1">
      <c r="A23" s="285" t="s">
        <v>121</v>
      </c>
      <c r="B23" s="286">
        <v>0</v>
      </c>
      <c r="C23" s="292">
        <f>B23/'- 3 -'!$D23*100</f>
        <v>0</v>
      </c>
      <c r="D23" s="286">
        <f>B23/'- 7 -'!$E23</f>
        <v>0</v>
      </c>
      <c r="E23" s="286">
        <v>0</v>
      </c>
      <c r="F23" s="292">
        <f>E23/'- 3 -'!$D23*100</f>
        <v>0</v>
      </c>
      <c r="G23" s="286">
        <f>E23/'- 7 -'!$E23</f>
        <v>0</v>
      </c>
      <c r="H23" s="286">
        <v>162635</v>
      </c>
      <c r="I23" s="292">
        <f>H23/'- 3 -'!$D23*100</f>
        <v>1.0077969095426131</v>
      </c>
      <c r="J23" s="286">
        <f>H23/'- 7 -'!$E23</f>
        <v>146.4520486267447</v>
      </c>
    </row>
    <row r="24" spans="1:10" ht="14.1" customHeight="1">
      <c r="A24" s="19" t="s">
        <v>122</v>
      </c>
      <c r="B24" s="20">
        <v>0</v>
      </c>
      <c r="C24" s="70">
        <f>B24/'- 3 -'!$D24*100</f>
        <v>0</v>
      </c>
      <c r="D24" s="20">
        <f>B24/'- 7 -'!$E24</f>
        <v>0</v>
      </c>
      <c r="E24" s="20">
        <v>92587</v>
      </c>
      <c r="F24" s="70">
        <f>E24/'- 3 -'!$D24*100</f>
        <v>0.1662200983755413</v>
      </c>
      <c r="G24" s="20">
        <f>E24/'- 7 -'!$E24</f>
        <v>23.196041588375298</v>
      </c>
      <c r="H24" s="20">
        <v>728106</v>
      </c>
      <c r="I24" s="70">
        <f>H24/'- 3 -'!$D24*100</f>
        <v>1.3071581425882888</v>
      </c>
      <c r="J24" s="20">
        <f>H24/'- 7 -'!$E24</f>
        <v>182.41413002630591</v>
      </c>
    </row>
    <row r="25" spans="1:10" ht="14.1" customHeight="1">
      <c r="A25" s="285" t="s">
        <v>123</v>
      </c>
      <c r="B25" s="286">
        <v>207270</v>
      </c>
      <c r="C25" s="292">
        <f>B25/'- 3 -'!$D25*100</f>
        <v>0.12334627573603797</v>
      </c>
      <c r="D25" s="286">
        <f>B25/'- 7 -'!$E25</f>
        <v>14.641227413361964</v>
      </c>
      <c r="E25" s="286">
        <v>1616850</v>
      </c>
      <c r="F25" s="292">
        <f>E25/'- 3 -'!$D25*100</f>
        <v>0.96218664507074347</v>
      </c>
      <c r="G25" s="286">
        <f>E25/'- 7 -'!$E25</f>
        <v>114.21174575816225</v>
      </c>
      <c r="H25" s="286">
        <v>3966241</v>
      </c>
      <c r="I25" s="292">
        <f>H25/'- 3 -'!$D25*100</f>
        <v>2.3603080813507935</v>
      </c>
      <c r="J25" s="286">
        <f>H25/'- 7 -'!$E25</f>
        <v>280.16903776330469</v>
      </c>
    </row>
    <row r="26" spans="1:10" ht="14.1" customHeight="1">
      <c r="A26" s="19" t="s">
        <v>124</v>
      </c>
      <c r="B26" s="20">
        <v>15619</v>
      </c>
      <c r="C26" s="70">
        <f>B26/'- 3 -'!$D26*100</f>
        <v>3.9410921904705958E-2</v>
      </c>
      <c r="D26" s="20">
        <f>B26/'- 7 -'!$E26</f>
        <v>5.0776983094928481</v>
      </c>
      <c r="E26" s="20">
        <v>144774</v>
      </c>
      <c r="F26" s="70">
        <f>E26/'- 3 -'!$D26*100</f>
        <v>0.36530359228067744</v>
      </c>
      <c r="G26" s="20">
        <f>E26/'- 7 -'!$E26</f>
        <v>47.06566970091027</v>
      </c>
      <c r="H26" s="20">
        <v>518301</v>
      </c>
      <c r="I26" s="70">
        <f>H26/'- 3 -'!$D26*100</f>
        <v>1.3078122949056281</v>
      </c>
      <c r="J26" s="20">
        <f>H26/'- 7 -'!$E26</f>
        <v>168.49837451235371</v>
      </c>
    </row>
    <row r="27" spans="1:10" ht="14.1" customHeight="1">
      <c r="A27" s="285" t="s">
        <v>125</v>
      </c>
      <c r="B27" s="286">
        <v>0</v>
      </c>
      <c r="C27" s="292">
        <f>B27/'- 3 -'!$D27*100</f>
        <v>0</v>
      </c>
      <c r="D27" s="286">
        <f>B27/'- 7 -'!$E27</f>
        <v>0</v>
      </c>
      <c r="E27" s="286">
        <v>576651</v>
      </c>
      <c r="F27" s="292">
        <f>E27/'- 3 -'!$D27*100</f>
        <v>1.3724992750745828</v>
      </c>
      <c r="G27" s="286">
        <f>E27/'- 7 -'!$E27</f>
        <v>198.48857741781146</v>
      </c>
      <c r="H27" s="286">
        <v>1058066</v>
      </c>
      <c r="I27" s="292">
        <f>H27/'- 3 -'!$D27*100</f>
        <v>2.5183253267245935</v>
      </c>
      <c r="J27" s="286">
        <f>H27/'- 7 -'!$E27</f>
        <v>364.19604779000485</v>
      </c>
    </row>
    <row r="28" spans="1:10" ht="14.1" customHeight="1">
      <c r="A28" s="19" t="s">
        <v>126</v>
      </c>
      <c r="B28" s="20">
        <v>0</v>
      </c>
      <c r="C28" s="70">
        <f>B28/'- 3 -'!$D28*100</f>
        <v>0</v>
      </c>
      <c r="D28" s="20">
        <f>B28/'- 7 -'!$E28</f>
        <v>0</v>
      </c>
      <c r="E28" s="20">
        <v>109036</v>
      </c>
      <c r="F28" s="70">
        <f>E28/'- 3 -'!$D28*100</f>
        <v>0.39213958581074437</v>
      </c>
      <c r="G28" s="20">
        <f>E28/'- 7 -'!$E28</f>
        <v>54.805730082935412</v>
      </c>
      <c r="H28" s="20">
        <v>272602</v>
      </c>
      <c r="I28" s="70">
        <f>H28/'- 3 -'!$D28*100</f>
        <v>0.98039212160369538</v>
      </c>
      <c r="J28" s="20">
        <f>H28/'- 7 -'!$E28</f>
        <v>137.02035687358634</v>
      </c>
    </row>
    <row r="29" spans="1:10" ht="14.1" customHeight="1">
      <c r="A29" s="285" t="s">
        <v>127</v>
      </c>
      <c r="B29" s="286">
        <v>371040</v>
      </c>
      <c r="C29" s="292">
        <f>B29/'- 3 -'!$D29*100</f>
        <v>0.24673039830421525</v>
      </c>
      <c r="D29" s="286">
        <f>B29/'- 7 -'!$E29</f>
        <v>29.23116919949895</v>
      </c>
      <c r="E29" s="286">
        <v>519455</v>
      </c>
      <c r="F29" s="292">
        <f>E29/'- 3 -'!$D29*100</f>
        <v>0.34542189265609136</v>
      </c>
      <c r="G29" s="286">
        <f>E29/'- 7 -'!$E29</f>
        <v>40.92355809757904</v>
      </c>
      <c r="H29" s="286">
        <v>3214772</v>
      </c>
      <c r="I29" s="292">
        <f>H29/'- 3 -'!$D29*100</f>
        <v>2.137726326049048</v>
      </c>
      <c r="J29" s="286">
        <f>H29/'- 7 -'!$E29</f>
        <v>253.26526592769414</v>
      </c>
    </row>
    <row r="30" spans="1:10" ht="14.1" customHeight="1">
      <c r="A30" s="19" t="s">
        <v>128</v>
      </c>
      <c r="B30" s="20">
        <v>0</v>
      </c>
      <c r="C30" s="70">
        <f>B30/'- 3 -'!$D30*100</f>
        <v>0</v>
      </c>
      <c r="D30" s="20">
        <f>B30/'- 7 -'!$E30</f>
        <v>0</v>
      </c>
      <c r="E30" s="20">
        <v>0</v>
      </c>
      <c r="F30" s="70">
        <f>E30/'- 3 -'!$D30*100</f>
        <v>0</v>
      </c>
      <c r="G30" s="20">
        <f>E30/'- 7 -'!$E30</f>
        <v>0</v>
      </c>
      <c r="H30" s="20">
        <v>385051</v>
      </c>
      <c r="I30" s="70">
        <f>H30/'- 3 -'!$D30*100</f>
        <v>2.7722847411626588</v>
      </c>
      <c r="J30" s="20">
        <f>H30/'- 7 -'!$E30</f>
        <v>383.51693227091636</v>
      </c>
    </row>
    <row r="31" spans="1:10" ht="14.1" customHeight="1">
      <c r="A31" s="285" t="s">
        <v>129</v>
      </c>
      <c r="B31" s="286">
        <v>0</v>
      </c>
      <c r="C31" s="292">
        <f>B31/'- 3 -'!$D31*100</f>
        <v>0</v>
      </c>
      <c r="D31" s="286">
        <f>B31/'- 7 -'!$E31</f>
        <v>0</v>
      </c>
      <c r="E31" s="286">
        <v>72195</v>
      </c>
      <c r="F31" s="292">
        <f>E31/'- 3 -'!$D31*100</f>
        <v>0.20170269539562716</v>
      </c>
      <c r="G31" s="286">
        <f>E31/'- 7 -'!$E31</f>
        <v>22.088113813675999</v>
      </c>
      <c r="H31" s="286">
        <v>472161</v>
      </c>
      <c r="I31" s="292">
        <f>H31/'- 3 -'!$D31*100</f>
        <v>1.3191515528872457</v>
      </c>
      <c r="J31" s="286">
        <f>H31/'- 7 -'!$E31</f>
        <v>144.45800826067003</v>
      </c>
    </row>
    <row r="32" spans="1:10" ht="14.1" customHeight="1">
      <c r="A32" s="19" t="s">
        <v>130</v>
      </c>
      <c r="B32" s="20">
        <v>50600</v>
      </c>
      <c r="C32" s="70">
        <f>B32/'- 3 -'!$D32*100</f>
        <v>0.18123285764603159</v>
      </c>
      <c r="D32" s="20">
        <f>B32/'- 7 -'!$E32</f>
        <v>23.956064766594068</v>
      </c>
      <c r="E32" s="20">
        <v>0</v>
      </c>
      <c r="F32" s="70">
        <f>E32/'- 3 -'!$D32*100</f>
        <v>0</v>
      </c>
      <c r="G32" s="20">
        <f>E32/'- 7 -'!$E32</f>
        <v>0</v>
      </c>
      <c r="H32" s="20">
        <v>317941</v>
      </c>
      <c r="I32" s="70">
        <f>H32/'- 3 -'!$D32*100</f>
        <v>1.1387619761430223</v>
      </c>
      <c r="J32" s="20">
        <f>H32/'- 7 -'!$E32</f>
        <v>150.52599185683172</v>
      </c>
    </row>
    <row r="33" spans="1:10" ht="14.1" customHeight="1">
      <c r="A33" s="285" t="s">
        <v>131</v>
      </c>
      <c r="B33" s="286">
        <v>0</v>
      </c>
      <c r="C33" s="292">
        <f>B33/'- 3 -'!$D33*100</f>
        <v>0</v>
      </c>
      <c r="D33" s="286">
        <f>B33/'- 7 -'!$E33</f>
        <v>0</v>
      </c>
      <c r="E33" s="286">
        <v>89954</v>
      </c>
      <c r="F33" s="292">
        <f>E33/'- 3 -'!$D33*100</f>
        <v>0.3399365384276728</v>
      </c>
      <c r="G33" s="286">
        <f>E33/'- 7 -'!$E33</f>
        <v>44.222997886042961</v>
      </c>
      <c r="H33" s="286">
        <v>350920</v>
      </c>
      <c r="I33" s="292">
        <f>H33/'- 3 -'!$D33*100</f>
        <v>1.3261281328794599</v>
      </c>
      <c r="J33" s="286">
        <f>H33/'- 7 -'!$E33</f>
        <v>172.5185585762745</v>
      </c>
    </row>
    <row r="34" spans="1:10" ht="14.1" customHeight="1">
      <c r="A34" s="19" t="s">
        <v>132</v>
      </c>
      <c r="B34" s="20">
        <v>7169</v>
      </c>
      <c r="C34" s="70">
        <f>B34/'- 3 -'!$D34*100</f>
        <v>2.5699925958115395E-2</v>
      </c>
      <c r="D34" s="20">
        <f>B34/'- 7 -'!$E34</f>
        <v>3.6178566382042434</v>
      </c>
      <c r="E34" s="20">
        <v>134345</v>
      </c>
      <c r="F34" s="70">
        <f>E34/'- 3 -'!$D34*100</f>
        <v>0.48160922762491459</v>
      </c>
      <c r="G34" s="20">
        <f>E34/'- 7 -'!$E34</f>
        <v>67.797593814974064</v>
      </c>
      <c r="H34" s="20">
        <v>233170</v>
      </c>
      <c r="I34" s="70">
        <f>H34/'- 3 -'!$D34*100</f>
        <v>0.83588390788865485</v>
      </c>
      <c r="J34" s="20">
        <f>H34/'- 7 -'!$E34</f>
        <v>117.66991663134097</v>
      </c>
    </row>
    <row r="35" spans="1:10" ht="14.1" customHeight="1">
      <c r="A35" s="285" t="s">
        <v>133</v>
      </c>
      <c r="B35" s="286">
        <v>371481</v>
      </c>
      <c r="C35" s="292">
        <f>B35/'- 3 -'!$D35*100</f>
        <v>0.205761480989475</v>
      </c>
      <c r="D35" s="286">
        <f>B35/'- 7 -'!$E35</f>
        <v>24.077583692517095</v>
      </c>
      <c r="E35" s="286">
        <v>676168</v>
      </c>
      <c r="F35" s="292">
        <f>E35/'- 3 -'!$D35*100</f>
        <v>0.37452609710238566</v>
      </c>
      <c r="G35" s="286">
        <f>E35/'- 7 -'!$E35</f>
        <v>43.825906601419454</v>
      </c>
      <c r="H35" s="286">
        <v>4139687</v>
      </c>
      <c r="I35" s="292">
        <f>H35/'- 3 -'!$D35*100</f>
        <v>2.2929520701001578</v>
      </c>
      <c r="J35" s="286">
        <f>H35/'- 7 -'!$E35</f>
        <v>268.31428849207634</v>
      </c>
    </row>
    <row r="36" spans="1:10" ht="14.1" customHeight="1">
      <c r="A36" s="19" t="s">
        <v>134</v>
      </c>
      <c r="B36" s="20">
        <v>18344</v>
      </c>
      <c r="C36" s="70">
        <f>B36/'- 3 -'!$D36*100</f>
        <v>8.1752585764229363E-2</v>
      </c>
      <c r="D36" s="20">
        <f>B36/'- 7 -'!$E36</f>
        <v>11.209288114879316</v>
      </c>
      <c r="E36" s="20">
        <v>258750</v>
      </c>
      <c r="F36" s="70">
        <f>E36/'- 3 -'!$D36*100</f>
        <v>1.1531553405197528</v>
      </c>
      <c r="G36" s="20">
        <f>E36/'- 7 -'!$E36</f>
        <v>158.11182401466544</v>
      </c>
      <c r="H36" s="20">
        <v>284195</v>
      </c>
      <c r="I36" s="70">
        <f>H36/'- 3 -'!$D36*100</f>
        <v>1.2665545198029415</v>
      </c>
      <c r="J36" s="20">
        <f>H36/'- 7 -'!$E36</f>
        <v>173.66025053467766</v>
      </c>
    </row>
    <row r="37" spans="1:10" ht="14.1" customHeight="1">
      <c r="A37" s="285" t="s">
        <v>135</v>
      </c>
      <c r="B37" s="286">
        <v>33273</v>
      </c>
      <c r="C37" s="292">
        <f>B37/'- 3 -'!$D37*100</f>
        <v>6.9665209600930755E-2</v>
      </c>
      <c r="D37" s="286">
        <f>B37/'- 7 -'!$E37</f>
        <v>8.1084440112099418</v>
      </c>
      <c r="E37" s="286">
        <v>479072</v>
      </c>
      <c r="F37" s="292">
        <f>E37/'- 3 -'!$D37*100</f>
        <v>1.0030550684920838</v>
      </c>
      <c r="G37" s="286">
        <f>E37/'- 7 -'!$E37</f>
        <v>116.74716705251615</v>
      </c>
      <c r="H37" s="286">
        <v>515680</v>
      </c>
      <c r="I37" s="292">
        <f>H37/'- 3 -'!$D37*100</f>
        <v>1.0797029208970628</v>
      </c>
      <c r="J37" s="286">
        <f>H37/'- 7 -'!$E37</f>
        <v>125.66833191178263</v>
      </c>
    </row>
    <row r="38" spans="1:10" ht="14.1" customHeight="1">
      <c r="A38" s="19" t="s">
        <v>136</v>
      </c>
      <c r="B38" s="20">
        <v>79711</v>
      </c>
      <c r="C38" s="70">
        <f>B38/'- 3 -'!$D38*100</f>
        <v>6.2793807582571845E-2</v>
      </c>
      <c r="D38" s="20">
        <f>B38/'- 7 -'!$E38</f>
        <v>7.381126554498902</v>
      </c>
      <c r="E38" s="20">
        <v>323276</v>
      </c>
      <c r="F38" s="70">
        <f>E38/'- 3 -'!$D38*100</f>
        <v>0.25466661991523754</v>
      </c>
      <c r="G38" s="20">
        <f>E38/'- 7 -'!$E38</f>
        <v>29.934903188169599</v>
      </c>
      <c r="H38" s="20">
        <v>1638913</v>
      </c>
      <c r="I38" s="70">
        <f>H38/'- 3 -'!$D38*100</f>
        <v>1.2910838851171809</v>
      </c>
      <c r="J38" s="20">
        <f>H38/'- 7 -'!$E38</f>
        <v>151.76104006741176</v>
      </c>
    </row>
    <row r="39" spans="1:10" ht="14.1" customHeight="1">
      <c r="A39" s="285" t="s">
        <v>137</v>
      </c>
      <c r="B39" s="286">
        <v>0</v>
      </c>
      <c r="C39" s="292">
        <f>B39/'- 3 -'!$D39*100</f>
        <v>0</v>
      </c>
      <c r="D39" s="286">
        <f>B39/'- 7 -'!$E39</f>
        <v>0</v>
      </c>
      <c r="E39" s="286">
        <v>105483</v>
      </c>
      <c r="F39" s="292">
        <f>E39/'- 3 -'!$D39*100</f>
        <v>0.51015936948648899</v>
      </c>
      <c r="G39" s="286">
        <f>E39/'- 7 -'!$E39</f>
        <v>66.554987696384629</v>
      </c>
      <c r="H39" s="286">
        <v>205756</v>
      </c>
      <c r="I39" s="292">
        <f>H39/'- 3 -'!$D39*100</f>
        <v>0.99512102640294664</v>
      </c>
      <c r="J39" s="286">
        <f>H39/'- 7 -'!$E39</f>
        <v>129.82270174774433</v>
      </c>
    </row>
    <row r="40" spans="1:10" ht="14.1" customHeight="1">
      <c r="A40" s="19" t="s">
        <v>138</v>
      </c>
      <c r="B40" s="20">
        <v>42492</v>
      </c>
      <c r="C40" s="70">
        <f>B40/'- 3 -'!$D40*100</f>
        <v>4.1720871463897913E-2</v>
      </c>
      <c r="D40" s="20">
        <f>B40/'- 7 -'!$E40</f>
        <v>5.3389287464348083</v>
      </c>
      <c r="E40" s="20">
        <v>1238383</v>
      </c>
      <c r="F40" s="70">
        <f>E40/'- 3 -'!$D40*100</f>
        <v>1.2159092997758705</v>
      </c>
      <c r="G40" s="20">
        <f>E40/'- 7 -'!$E40</f>
        <v>155.59725590219753</v>
      </c>
      <c r="H40" s="20">
        <v>1219777</v>
      </c>
      <c r="I40" s="70">
        <f>H40/'- 3 -'!$D40*100</f>
        <v>1.197640954335381</v>
      </c>
      <c r="J40" s="20">
        <f>H40/'- 7 -'!$E40</f>
        <v>153.25949565894783</v>
      </c>
    </row>
    <row r="41" spans="1:10" ht="14.1" customHeight="1">
      <c r="A41" s="285" t="s">
        <v>139</v>
      </c>
      <c r="B41" s="286">
        <v>44178</v>
      </c>
      <c r="C41" s="292">
        <f>B41/'- 3 -'!$D41*100</f>
        <v>7.1475155111182229E-2</v>
      </c>
      <c r="D41" s="286">
        <f>B41/'- 7 -'!$E41</f>
        <v>10.072503419972641</v>
      </c>
      <c r="E41" s="286">
        <v>434125</v>
      </c>
      <c r="F41" s="292">
        <f>E41/'- 3 -'!$D41*100</f>
        <v>0.70236660130929385</v>
      </c>
      <c r="G41" s="286">
        <f>E41/'- 7 -'!$E41</f>
        <v>98.979708162334703</v>
      </c>
      <c r="H41" s="286">
        <v>610556</v>
      </c>
      <c r="I41" s="292">
        <f>H41/'- 3 -'!$D41*100</f>
        <v>0.98781259459602011</v>
      </c>
      <c r="J41" s="286">
        <f>H41/'- 7 -'!$E41</f>
        <v>139.20565435476516</v>
      </c>
    </row>
    <row r="42" spans="1:10" ht="14.1" customHeight="1">
      <c r="A42" s="19" t="s">
        <v>140</v>
      </c>
      <c r="B42" s="20">
        <v>0</v>
      </c>
      <c r="C42" s="70">
        <f>B42/'- 3 -'!$D42*100</f>
        <v>0</v>
      </c>
      <c r="D42" s="20">
        <f>B42/'- 7 -'!$E42</f>
        <v>0</v>
      </c>
      <c r="E42" s="20">
        <v>0</v>
      </c>
      <c r="F42" s="70">
        <f>E42/'- 3 -'!$D42*100</f>
        <v>0</v>
      </c>
      <c r="G42" s="20">
        <f>E42/'- 7 -'!$E42</f>
        <v>0</v>
      </c>
      <c r="H42" s="20">
        <v>231619</v>
      </c>
      <c r="I42" s="70">
        <f>H42/'- 3 -'!$D42*100</f>
        <v>1.1566543292002647</v>
      </c>
      <c r="J42" s="20">
        <f>H42/'- 7 -'!$E42</f>
        <v>167.33058806530849</v>
      </c>
    </row>
    <row r="43" spans="1:10" ht="14.1" customHeight="1">
      <c r="A43" s="285" t="s">
        <v>141</v>
      </c>
      <c r="B43" s="286">
        <v>0</v>
      </c>
      <c r="C43" s="292">
        <f>B43/'- 3 -'!$D43*100</f>
        <v>0</v>
      </c>
      <c r="D43" s="286">
        <f>B43/'- 7 -'!$E43</f>
        <v>0</v>
      </c>
      <c r="E43" s="286">
        <v>48904</v>
      </c>
      <c r="F43" s="292">
        <f>E43/'- 3 -'!$D43*100</f>
        <v>0.38452862023151763</v>
      </c>
      <c r="G43" s="286">
        <f>E43/'- 7 -'!$E43</f>
        <v>51.657336009295449</v>
      </c>
      <c r="H43" s="286">
        <v>226681</v>
      </c>
      <c r="I43" s="292">
        <f>H43/'- 3 -'!$D43*100</f>
        <v>1.7823763324615705</v>
      </c>
      <c r="J43" s="286">
        <f>H43/'- 7 -'!$E43</f>
        <v>239.4433294602303</v>
      </c>
    </row>
    <row r="44" spans="1:10" ht="14.1" customHeight="1">
      <c r="A44" s="19" t="s">
        <v>142</v>
      </c>
      <c r="B44" s="20">
        <v>0</v>
      </c>
      <c r="C44" s="70">
        <f>B44/'- 3 -'!$D44*100</f>
        <v>0</v>
      </c>
      <c r="D44" s="20">
        <f>B44/'- 7 -'!$E44</f>
        <v>0</v>
      </c>
      <c r="E44" s="20">
        <v>0</v>
      </c>
      <c r="F44" s="70">
        <f>E44/'- 3 -'!$D44*100</f>
        <v>0</v>
      </c>
      <c r="G44" s="20">
        <f>E44/'- 7 -'!$E44</f>
        <v>0</v>
      </c>
      <c r="H44" s="20">
        <v>116817</v>
      </c>
      <c r="I44" s="70">
        <f>H44/'- 3 -'!$D44*100</f>
        <v>1.075116218519808</v>
      </c>
      <c r="J44" s="20">
        <f>H44/'- 7 -'!$E44</f>
        <v>171.53744493392071</v>
      </c>
    </row>
    <row r="45" spans="1:10" ht="14.1" customHeight="1">
      <c r="A45" s="285" t="s">
        <v>143</v>
      </c>
      <c r="B45" s="286">
        <v>0</v>
      </c>
      <c r="C45" s="292">
        <f>B45/'- 3 -'!$D45*100</f>
        <v>0</v>
      </c>
      <c r="D45" s="286">
        <f>B45/'- 7 -'!$E45</f>
        <v>0</v>
      </c>
      <c r="E45" s="286">
        <v>0</v>
      </c>
      <c r="F45" s="292">
        <f>E45/'- 3 -'!$D45*100</f>
        <v>0</v>
      </c>
      <c r="G45" s="286">
        <f>E45/'- 7 -'!$E45</f>
        <v>0</v>
      </c>
      <c r="H45" s="286">
        <v>231519</v>
      </c>
      <c r="I45" s="292">
        <f>H45/'- 3 -'!$D45*100</f>
        <v>1.2628656493768637</v>
      </c>
      <c r="J45" s="286">
        <f>H45/'- 7 -'!$E45</f>
        <v>139.46927710843374</v>
      </c>
    </row>
    <row r="46" spans="1:10" ht="14.1" customHeight="1">
      <c r="A46" s="19" t="s">
        <v>144</v>
      </c>
      <c r="B46" s="20">
        <v>34461</v>
      </c>
      <c r="C46" s="70">
        <f>B46/'- 3 -'!$D46*100</f>
        <v>9.0317066447168151E-3</v>
      </c>
      <c r="D46" s="20">
        <f>B46/'- 7 -'!$E46</f>
        <v>1.1550527903469079</v>
      </c>
      <c r="E46" s="20">
        <v>759244</v>
      </c>
      <c r="F46" s="70">
        <f>E46/'- 3 -'!$D46*100</f>
        <v>0.19898636370857992</v>
      </c>
      <c r="G46" s="20">
        <f>E46/'- 7 -'!$E46</f>
        <v>25.448097871627283</v>
      </c>
      <c r="H46" s="20">
        <v>3067299</v>
      </c>
      <c r="I46" s="70">
        <f>H46/'- 3 -'!$D46*100</f>
        <v>0.80389265429422363</v>
      </c>
      <c r="J46" s="20">
        <f>H46/'- 7 -'!$E46</f>
        <v>102.80874811463046</v>
      </c>
    </row>
    <row r="47" spans="1:10" ht="5.0999999999999996" customHeight="1">
      <c r="A47" s="21"/>
      <c r="B47" s="22"/>
      <c r="C47"/>
      <c r="D47" s="22"/>
      <c r="E47" s="22"/>
      <c r="F47"/>
      <c r="G47" s="22"/>
      <c r="H47"/>
      <c r="I47"/>
      <c r="J47"/>
    </row>
    <row r="48" spans="1:10" ht="14.1" customHeight="1">
      <c r="A48" s="287" t="s">
        <v>145</v>
      </c>
      <c r="B48" s="288">
        <f>SUM(B11:B46)</f>
        <v>1718928</v>
      </c>
      <c r="C48" s="295">
        <f>B48/'- 3 -'!$D48*100</f>
        <v>7.7586347360477662E-2</v>
      </c>
      <c r="D48" s="288">
        <f>B48/'- 7 -'!$E48</f>
        <v>9.8784971944155533</v>
      </c>
      <c r="E48" s="288">
        <f>SUM(E11:E46)</f>
        <v>12614828</v>
      </c>
      <c r="F48" s="295">
        <f>E48/'- 3 -'!$D48*100</f>
        <v>0.56938884415209923</v>
      </c>
      <c r="G48" s="288">
        <f>E48/'- 7 -'!$E48</f>
        <v>72.496080700317151</v>
      </c>
      <c r="H48" s="288">
        <f>SUM(H11:H46)</f>
        <v>30716789</v>
      </c>
      <c r="I48" s="295">
        <f>H48/'- 3 -'!$D48*100</f>
        <v>1.3864475191238372</v>
      </c>
      <c r="J48" s="288">
        <f>H48/'- 7 -'!$E48</f>
        <v>176.52613370539925</v>
      </c>
    </row>
    <row r="49" spans="1:10" ht="5.0999999999999996" customHeight="1">
      <c r="A49" s="21" t="s">
        <v>7</v>
      </c>
      <c r="B49" s="22"/>
      <c r="C49"/>
      <c r="D49" s="22"/>
      <c r="E49" s="22"/>
      <c r="F49"/>
      <c r="H49"/>
      <c r="I49"/>
      <c r="J49"/>
    </row>
    <row r="50" spans="1:10" ht="14.1" customHeight="1">
      <c r="A50" s="19" t="s">
        <v>146</v>
      </c>
      <c r="B50" s="20">
        <v>0</v>
      </c>
      <c r="C50" s="70">
        <f>B50/'- 3 -'!$D50*100</f>
        <v>0</v>
      </c>
      <c r="D50" s="20">
        <f>B50/'- 7 -'!$E50</f>
        <v>0</v>
      </c>
      <c r="E50" s="20">
        <v>0</v>
      </c>
      <c r="F50" s="70">
        <f>E50/'- 3 -'!$D50*100</f>
        <v>0</v>
      </c>
      <c r="G50" s="20">
        <f>E50/'- 7 -'!$E50</f>
        <v>0</v>
      </c>
      <c r="H50" s="20">
        <v>12322</v>
      </c>
      <c r="I50" s="70">
        <f>H50/'- 3 -'!$D50*100</f>
        <v>0.36682739553442273</v>
      </c>
      <c r="J50" s="20">
        <f>H50/'- 7 -'!$E50</f>
        <v>72.058479532163744</v>
      </c>
    </row>
    <row r="51" spans="1:10" ht="14.1" customHeight="1">
      <c r="A51" s="285" t="s">
        <v>612</v>
      </c>
      <c r="B51" s="286">
        <v>0</v>
      </c>
      <c r="C51" s="292">
        <f>B51/'- 3 -'!$D51*100</f>
        <v>0</v>
      </c>
      <c r="D51" s="286">
        <f>B51/'- 7 -'!$E51</f>
        <v>0</v>
      </c>
      <c r="E51" s="286">
        <v>274589</v>
      </c>
      <c r="F51" s="292">
        <f>E51/'- 3 -'!$D51*100</f>
        <v>1.0356947289324425</v>
      </c>
      <c r="G51" s="286">
        <f>E51/'- 7 -'!$E51</f>
        <v>270.26476377952758</v>
      </c>
      <c r="H51" s="286">
        <v>18931</v>
      </c>
      <c r="I51" s="292">
        <f>H51/'- 3 -'!$D51*100</f>
        <v>7.1403941576028432E-2</v>
      </c>
      <c r="J51" s="286">
        <f>H51/'- 7 -'!$E51</f>
        <v>18.632874015748033</v>
      </c>
    </row>
    <row r="52" spans="1:10" ht="50.1" customHeight="1">
      <c r="A52" s="184"/>
      <c r="B52" s="184"/>
      <c r="C52" s="184"/>
      <c r="D52" s="184"/>
      <c r="E52" s="184"/>
      <c r="F52" s="184"/>
      <c r="G52" s="184"/>
      <c r="H52" s="184"/>
      <c r="I52" s="184"/>
      <c r="J52" s="184"/>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sheetPr codeName="Sheet25">
    <pageSetUpPr fitToPage="1"/>
  </sheetPr>
  <dimension ref="A1:J53"/>
  <sheetViews>
    <sheetView showGridLines="0" showZeros="0" workbookViewId="0"/>
  </sheetViews>
  <sheetFormatPr defaultColWidth="15.83203125" defaultRowHeight="1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c r="A1" s="7"/>
      <c r="B1" s="8"/>
      <c r="C1" s="8"/>
      <c r="D1" s="8"/>
      <c r="E1" s="8"/>
      <c r="F1" s="8"/>
      <c r="G1" s="8"/>
      <c r="H1" s="8"/>
      <c r="I1" s="8"/>
      <c r="J1" s="8"/>
    </row>
    <row r="2" spans="1:10" ht="15.95" customHeight="1">
      <c r="A2" s="134"/>
      <c r="B2" s="9" t="s">
        <v>263</v>
      </c>
      <c r="C2" s="10"/>
      <c r="D2" s="10"/>
      <c r="E2" s="10"/>
      <c r="F2" s="10"/>
      <c r="G2" s="10"/>
      <c r="H2" s="73"/>
      <c r="I2" s="153"/>
      <c r="J2" s="396" t="s">
        <v>412</v>
      </c>
    </row>
    <row r="3" spans="1:10" ht="15.95" customHeight="1">
      <c r="A3" s="543"/>
      <c r="B3" s="11" t="str">
        <f>OPYEAR</f>
        <v>OPERATING FUND 2015/2016 ACTUAL</v>
      </c>
      <c r="C3" s="12"/>
      <c r="D3" s="12"/>
      <c r="E3" s="12"/>
      <c r="F3" s="12"/>
      <c r="G3" s="12"/>
      <c r="H3" s="75"/>
      <c r="I3" s="75"/>
      <c r="J3" s="66"/>
    </row>
    <row r="4" spans="1:10" ht="15.95" customHeight="1">
      <c r="B4" s="8"/>
      <c r="C4" s="8"/>
      <c r="D4" s="8"/>
      <c r="E4" s="8"/>
      <c r="F4" s="8"/>
      <c r="G4" s="8"/>
      <c r="H4" s="8"/>
      <c r="I4" s="8"/>
      <c r="J4" s="8"/>
    </row>
    <row r="5" spans="1:10" ht="15.95" customHeight="1">
      <c r="B5" s="394" t="s">
        <v>249</v>
      </c>
      <c r="C5" s="172"/>
      <c r="D5" s="173"/>
      <c r="E5" s="181"/>
      <c r="F5" s="181"/>
      <c r="G5" s="182"/>
    </row>
    <row r="6" spans="1:10" ht="15.95" customHeight="1">
      <c r="B6" s="643" t="s">
        <v>501</v>
      </c>
      <c r="C6" s="651"/>
      <c r="D6" s="644"/>
      <c r="E6" s="388"/>
      <c r="F6" s="389"/>
      <c r="G6" s="390"/>
    </row>
    <row r="7" spans="1:10" ht="15.95" customHeight="1">
      <c r="B7" s="645"/>
      <c r="C7" s="652"/>
      <c r="D7" s="646"/>
      <c r="E7" s="648" t="s">
        <v>281</v>
      </c>
      <c r="F7" s="650"/>
      <c r="G7" s="649"/>
    </row>
    <row r="8" spans="1:10" ht="15.95" customHeight="1">
      <c r="A8" s="67"/>
      <c r="B8" s="137"/>
      <c r="C8" s="138"/>
      <c r="D8" s="596" t="s">
        <v>480</v>
      </c>
      <c r="E8" s="137"/>
      <c r="F8" s="139"/>
      <c r="G8" s="596" t="s">
        <v>480</v>
      </c>
    </row>
    <row r="9" spans="1:10" ht="15.95" customHeight="1">
      <c r="A9" s="35" t="s">
        <v>42</v>
      </c>
      <c r="B9" s="77" t="s">
        <v>43</v>
      </c>
      <c r="C9" s="77" t="s">
        <v>44</v>
      </c>
      <c r="D9" s="598"/>
      <c r="E9" s="77" t="s">
        <v>43</v>
      </c>
      <c r="F9" s="77" t="s">
        <v>44</v>
      </c>
      <c r="G9" s="598"/>
    </row>
    <row r="10" spans="1:10" ht="5.0999999999999996" customHeight="1">
      <c r="A10" s="6"/>
    </row>
    <row r="11" spans="1:10" ht="14.1" customHeight="1">
      <c r="A11" s="285" t="s">
        <v>110</v>
      </c>
      <c r="B11" s="286">
        <v>124222</v>
      </c>
      <c r="C11" s="292">
        <f>B11/'- 3 -'!$D11*100</f>
        <v>0.69246602737320617</v>
      </c>
      <c r="D11" s="286">
        <f>B11/'- 7 -'!$E11</f>
        <v>74.118138424820998</v>
      </c>
      <c r="E11" s="286">
        <v>11633</v>
      </c>
      <c r="F11" s="292">
        <f>E11/'- 3 -'!$D11*100</f>
        <v>6.4847267766035874E-2</v>
      </c>
      <c r="G11" s="286">
        <f>E11/'- 7 -'!$E11</f>
        <v>6.9409307875894992</v>
      </c>
    </row>
    <row r="12" spans="1:10" ht="14.1" customHeight="1">
      <c r="A12" s="19" t="s">
        <v>111</v>
      </c>
      <c r="B12" s="20">
        <v>388496</v>
      </c>
      <c r="C12" s="70">
        <f>B12/'- 3 -'!$D12*100</f>
        <v>1.2028763313981017</v>
      </c>
      <c r="D12" s="20">
        <f>B12/'- 7 -'!$E12</f>
        <v>182.83025083533343</v>
      </c>
      <c r="E12" s="20">
        <v>163017</v>
      </c>
      <c r="F12" s="70">
        <f>E12/'- 3 -'!$D12*100</f>
        <v>0.50473953635436231</v>
      </c>
      <c r="G12" s="20">
        <f>E12/'- 7 -'!$E12</f>
        <v>76.717492587886483</v>
      </c>
    </row>
    <row r="13" spans="1:10" ht="14.1" customHeight="1">
      <c r="A13" s="285" t="s">
        <v>112</v>
      </c>
      <c r="B13" s="286">
        <v>1213381</v>
      </c>
      <c r="C13" s="292">
        <f>B13/'- 3 -'!$D13*100</f>
        <v>1.3368715112605039</v>
      </c>
      <c r="D13" s="286">
        <f>B13/'- 7 -'!$E13</f>
        <v>147.07648484848485</v>
      </c>
      <c r="E13" s="286">
        <v>63064</v>
      </c>
      <c r="F13" s="292">
        <f>E13/'- 3 -'!$D13*100</f>
        <v>6.9482268954378229E-2</v>
      </c>
      <c r="G13" s="286">
        <f>E13/'- 7 -'!$E13</f>
        <v>7.6441212121212123</v>
      </c>
    </row>
    <row r="14" spans="1:10" ht="14.1" customHeight="1">
      <c r="A14" s="19" t="s">
        <v>359</v>
      </c>
      <c r="B14" s="20">
        <v>434146</v>
      </c>
      <c r="C14" s="70">
        <f>B14/'- 3 -'!$D14*100</f>
        <v>0.53456323946313078</v>
      </c>
      <c r="D14" s="20">
        <f>B14/'- 7 -'!$E14</f>
        <v>81.25510013101254</v>
      </c>
      <c r="E14" s="20">
        <v>103089</v>
      </c>
      <c r="F14" s="70">
        <f>E14/'- 3 -'!$D14*100</f>
        <v>0.12693331227977384</v>
      </c>
      <c r="G14" s="20">
        <f>E14/'- 7 -'!$E14</f>
        <v>19.294216732172938</v>
      </c>
    </row>
    <row r="15" spans="1:10" ht="14.1" customHeight="1">
      <c r="A15" s="285" t="s">
        <v>113</v>
      </c>
      <c r="B15" s="286">
        <v>294133</v>
      </c>
      <c r="C15" s="292">
        <f>B15/'- 3 -'!$D15*100</f>
        <v>1.4829304661788116</v>
      </c>
      <c r="D15" s="286">
        <f>B15/'- 7 -'!$E15</f>
        <v>208.60496453900709</v>
      </c>
      <c r="E15" s="286">
        <v>5763</v>
      </c>
      <c r="F15" s="292">
        <f>E15/'- 3 -'!$D15*100</f>
        <v>2.9055319452725437E-2</v>
      </c>
      <c r="G15" s="286">
        <f>E15/'- 7 -'!$E15</f>
        <v>4.0872340425531917</v>
      </c>
    </row>
    <row r="16" spans="1:10" ht="14.1" customHeight="1">
      <c r="A16" s="19" t="s">
        <v>114</v>
      </c>
      <c r="B16" s="20">
        <v>82232</v>
      </c>
      <c r="C16" s="70">
        <f>B16/'- 3 -'!$D16*100</f>
        <v>0.58654000810993279</v>
      </c>
      <c r="D16" s="20">
        <f>B16/'- 7 -'!$E16</f>
        <v>88.184450402144776</v>
      </c>
      <c r="E16" s="20">
        <v>28930</v>
      </c>
      <c r="F16" s="70">
        <f>E16/'- 3 -'!$D16*100</f>
        <v>0.20635035551391617</v>
      </c>
      <c r="G16" s="20">
        <f>E16/'- 7 -'!$E16</f>
        <v>31.024128686327078</v>
      </c>
    </row>
    <row r="17" spans="1:7" ht="14.1" customHeight="1">
      <c r="A17" s="285" t="s">
        <v>115</v>
      </c>
      <c r="B17" s="286">
        <v>108123</v>
      </c>
      <c r="C17" s="292">
        <f>B17/'- 3 -'!$D17*100</f>
        <v>0.62245329139239836</v>
      </c>
      <c r="D17" s="286">
        <f>B17/'- 7 -'!$E17</f>
        <v>80.567696745829835</v>
      </c>
      <c r="E17" s="286">
        <v>1500</v>
      </c>
      <c r="F17" s="292">
        <f>E17/'- 3 -'!$D17*100</f>
        <v>8.6353498986209924E-3</v>
      </c>
      <c r="G17" s="286">
        <f>E17/'- 7 -'!$E17</f>
        <v>1.1177228260291034</v>
      </c>
    </row>
    <row r="18" spans="1:7" ht="14.1" customHeight="1">
      <c r="A18" s="19" t="s">
        <v>116</v>
      </c>
      <c r="B18" s="20">
        <v>834947</v>
      </c>
      <c r="C18" s="70">
        <f>B18/'- 3 -'!$D18*100</f>
        <v>0.65872352925035682</v>
      </c>
      <c r="D18" s="20">
        <f>B18/'- 7 -'!$E18</f>
        <v>135.03913957625747</v>
      </c>
      <c r="E18" s="20">
        <v>1649862</v>
      </c>
      <c r="F18" s="70">
        <f>E18/'- 3 -'!$D18*100</f>
        <v>1.3016430017905951</v>
      </c>
      <c r="G18" s="20">
        <f>E18/'- 7 -'!$E18</f>
        <v>266.83842794759823</v>
      </c>
    </row>
    <row r="19" spans="1:7" ht="14.1" customHeight="1">
      <c r="A19" s="285" t="s">
        <v>117</v>
      </c>
      <c r="B19" s="286">
        <v>397163</v>
      </c>
      <c r="C19" s="292">
        <f>B19/'- 3 -'!$D19*100</f>
        <v>0.88794157354596204</v>
      </c>
      <c r="D19" s="286">
        <f>B19/'- 7 -'!$E19</f>
        <v>93.787753559874375</v>
      </c>
      <c r="E19" s="286">
        <v>226639</v>
      </c>
      <c r="F19" s="292">
        <f>E19/'- 3 -'!$D19*100</f>
        <v>0.50669924007745748</v>
      </c>
      <c r="G19" s="286">
        <f>E19/'- 7 -'!$E19</f>
        <v>53.519493706756087</v>
      </c>
    </row>
    <row r="20" spans="1:7" ht="14.1" customHeight="1">
      <c r="A20" s="19" t="s">
        <v>118</v>
      </c>
      <c r="B20" s="20">
        <v>798233</v>
      </c>
      <c r="C20" s="70">
        <f>B20/'- 3 -'!$D20*100</f>
        <v>1.0195464988691765</v>
      </c>
      <c r="D20" s="20">
        <f>B20/'- 7 -'!$E20</f>
        <v>105.51031333231995</v>
      </c>
      <c r="E20" s="20">
        <v>213688</v>
      </c>
      <c r="F20" s="70">
        <f>E20/'- 3 -'!$D20*100</f>
        <v>0.27293390808242279</v>
      </c>
      <c r="G20" s="20">
        <f>E20/'- 7 -'!$E20</f>
        <v>28.245246482363903</v>
      </c>
    </row>
    <row r="21" spans="1:7" ht="14.1" customHeight="1">
      <c r="A21" s="285" t="s">
        <v>119</v>
      </c>
      <c r="B21" s="286">
        <v>575207</v>
      </c>
      <c r="C21" s="292">
        <f>B21/'- 3 -'!$D21*100</f>
        <v>1.6376771165252879</v>
      </c>
      <c r="D21" s="286">
        <f>B21/'- 7 -'!$E21</f>
        <v>214.14206470347344</v>
      </c>
      <c r="E21" s="286">
        <v>126356</v>
      </c>
      <c r="F21" s="292">
        <f>E21/'- 3 -'!$D21*100</f>
        <v>0.35974932456605929</v>
      </c>
      <c r="G21" s="286">
        <f>E21/'- 7 -'!$E21</f>
        <v>47.040690964595512</v>
      </c>
    </row>
    <row r="22" spans="1:7" ht="14.1" customHeight="1">
      <c r="A22" s="19" t="s">
        <v>120</v>
      </c>
      <c r="B22" s="20">
        <v>125374</v>
      </c>
      <c r="C22" s="70">
        <f>B22/'- 3 -'!$D22*100</f>
        <v>0.62733906141622087</v>
      </c>
      <c r="D22" s="20">
        <f>B22/'- 7 -'!$E22</f>
        <v>81.842156798746643</v>
      </c>
      <c r="E22" s="20">
        <v>24050</v>
      </c>
      <c r="F22" s="70">
        <f>E22/'- 3 -'!$D22*100</f>
        <v>0.12033997820170141</v>
      </c>
      <c r="G22" s="20">
        <f>E22/'- 7 -'!$E22</f>
        <v>15.699458189176838</v>
      </c>
    </row>
    <row r="23" spans="1:7" ht="14.1" customHeight="1">
      <c r="A23" s="285" t="s">
        <v>121</v>
      </c>
      <c r="B23" s="286">
        <v>280448</v>
      </c>
      <c r="C23" s="292">
        <f>B23/'- 3 -'!$D23*100</f>
        <v>1.7378462673311821</v>
      </c>
      <c r="D23" s="286">
        <f>B23/'- 7 -'!$E23</f>
        <v>252.54209815398468</v>
      </c>
      <c r="E23" s="286">
        <v>33486</v>
      </c>
      <c r="F23" s="292">
        <f>E23/'- 3 -'!$D23*100</f>
        <v>0.2075019971896821</v>
      </c>
      <c r="G23" s="286">
        <f>E23/'- 7 -'!$E23</f>
        <v>30.153984691580369</v>
      </c>
    </row>
    <row r="24" spans="1:7" ht="14.1" customHeight="1">
      <c r="A24" s="19" t="s">
        <v>122</v>
      </c>
      <c r="B24" s="20">
        <v>541624</v>
      </c>
      <c r="C24" s="70">
        <f>B24/'- 3 -'!$D24*100</f>
        <v>0.97236971240621461</v>
      </c>
      <c r="D24" s="20">
        <f>B24/'- 7 -'!$E24</f>
        <v>135.69435049480145</v>
      </c>
      <c r="E24" s="20">
        <v>134249</v>
      </c>
      <c r="F24" s="70">
        <f>E24/'- 3 -'!$D24*100</f>
        <v>0.24101528278071485</v>
      </c>
      <c r="G24" s="20">
        <f>E24/'- 7 -'!$E24</f>
        <v>33.633721658524365</v>
      </c>
    </row>
    <row r="25" spans="1:7" ht="14.1" customHeight="1">
      <c r="A25" s="285" t="s">
        <v>123</v>
      </c>
      <c r="B25" s="286">
        <v>1517590</v>
      </c>
      <c r="C25" s="292">
        <f>B25/'- 3 -'!$D25*100</f>
        <v>0.90311706756527177</v>
      </c>
      <c r="D25" s="286">
        <f>B25/'- 7 -'!$E25</f>
        <v>107.20017518330671</v>
      </c>
      <c r="E25" s="286">
        <v>449509</v>
      </c>
      <c r="F25" s="292">
        <f>E25/'- 3 -'!$D25*100</f>
        <v>0.26750258628759921</v>
      </c>
      <c r="G25" s="286">
        <f>E25/'- 7 -'!$E25</f>
        <v>31.752610089993354</v>
      </c>
    </row>
    <row r="26" spans="1:7" ht="14.1" customHeight="1">
      <c r="A26" s="19" t="s">
        <v>124</v>
      </c>
      <c r="B26" s="20">
        <v>277263</v>
      </c>
      <c r="C26" s="70">
        <f>B26/'- 3 -'!$D26*100</f>
        <v>0.69960883795790307</v>
      </c>
      <c r="D26" s="20">
        <f>B26/'- 7 -'!$E26</f>
        <v>90.137516254876459</v>
      </c>
      <c r="E26" s="20">
        <v>295132</v>
      </c>
      <c r="F26" s="70">
        <f>E26/'- 3 -'!$D26*100</f>
        <v>0.74469711272038408</v>
      </c>
      <c r="G26" s="20">
        <f>E26/'- 7 -'!$E26</f>
        <v>95.946684005201561</v>
      </c>
    </row>
    <row r="27" spans="1:7" ht="14.1" customHeight="1">
      <c r="A27" s="285" t="s">
        <v>125</v>
      </c>
      <c r="B27" s="286">
        <v>224283</v>
      </c>
      <c r="C27" s="292">
        <f>B27/'- 3 -'!$D27*100</f>
        <v>0.53382072503395062</v>
      </c>
      <c r="D27" s="286">
        <f>B27/'- 7 -'!$E27</f>
        <v>77.200271236846902</v>
      </c>
      <c r="E27" s="286">
        <v>1933</v>
      </c>
      <c r="F27" s="292">
        <f>E27/'- 3 -'!$D27*100</f>
        <v>4.6007742962713479E-3</v>
      </c>
      <c r="G27" s="286">
        <f>E27/'- 7 -'!$E27</f>
        <v>0.66535637699168049</v>
      </c>
    </row>
    <row r="28" spans="1:7" ht="14.1" customHeight="1">
      <c r="A28" s="19" t="s">
        <v>126</v>
      </c>
      <c r="B28" s="20">
        <v>349101</v>
      </c>
      <c r="C28" s="70">
        <f>B28/'- 3 -'!$D28*100</f>
        <v>1.2555148900007032</v>
      </c>
      <c r="D28" s="20">
        <f>B28/'- 7 -'!$E28</f>
        <v>175.47172656446344</v>
      </c>
      <c r="E28" s="20">
        <v>0</v>
      </c>
      <c r="F28" s="70">
        <f>E28/'- 3 -'!$D28*100</f>
        <v>0</v>
      </c>
      <c r="G28" s="20">
        <f>E28/'- 7 -'!$E28</f>
        <v>0</v>
      </c>
    </row>
    <row r="29" spans="1:7" ht="14.1" customHeight="1">
      <c r="A29" s="285" t="s">
        <v>127</v>
      </c>
      <c r="B29" s="286">
        <v>1327168</v>
      </c>
      <c r="C29" s="292">
        <f>B29/'- 3 -'!$D29*100</f>
        <v>0.88252665280457299</v>
      </c>
      <c r="D29" s="286">
        <f>B29/'- 7 -'!$E29</f>
        <v>104.55657709185161</v>
      </c>
      <c r="E29" s="286">
        <v>500212</v>
      </c>
      <c r="F29" s="292">
        <f>E29/'- 3 -'!$D29*100</f>
        <v>0.33262587860216719</v>
      </c>
      <c r="G29" s="286">
        <f>E29/'- 7 -'!$E29</f>
        <v>39.407561469436637</v>
      </c>
    </row>
    <row r="30" spans="1:7" ht="14.1" customHeight="1">
      <c r="A30" s="19" t="s">
        <v>128</v>
      </c>
      <c r="B30" s="20">
        <v>131016</v>
      </c>
      <c r="C30" s="70">
        <f>B30/'- 3 -'!$D30*100</f>
        <v>0.94328714286722248</v>
      </c>
      <c r="D30" s="20">
        <f>B30/'- 7 -'!$E30</f>
        <v>130.49402390438246</v>
      </c>
      <c r="E30" s="20">
        <v>2219</v>
      </c>
      <c r="F30" s="70">
        <f>E30/'- 3 -'!$D30*100</f>
        <v>1.5976324800195143E-2</v>
      </c>
      <c r="G30" s="20">
        <f>E30/'- 7 -'!$E30</f>
        <v>2.2101593625498008</v>
      </c>
    </row>
    <row r="31" spans="1:7" ht="14.1" customHeight="1">
      <c r="A31" s="285" t="s">
        <v>129</v>
      </c>
      <c r="B31" s="286">
        <v>236946</v>
      </c>
      <c r="C31" s="292">
        <f>B31/'- 3 -'!$D31*100</f>
        <v>0.66199386194628806</v>
      </c>
      <c r="D31" s="286">
        <f>B31/'- 7 -'!$E31</f>
        <v>72.493804497475907</v>
      </c>
      <c r="E31" s="286">
        <v>410873</v>
      </c>
      <c r="F31" s="292">
        <f>E31/'- 3 -'!$D31*100</f>
        <v>1.1479214843865575</v>
      </c>
      <c r="G31" s="286">
        <f>E31/'- 7 -'!$E31</f>
        <v>125.70689918923054</v>
      </c>
    </row>
    <row r="32" spans="1:7" ht="14.1" customHeight="1">
      <c r="A32" s="19" t="s">
        <v>130</v>
      </c>
      <c r="B32" s="20">
        <v>420697</v>
      </c>
      <c r="C32" s="70">
        <f>B32/'- 3 -'!$D32*100</f>
        <v>1.5068007808915524</v>
      </c>
      <c r="D32" s="20">
        <f>B32/'- 7 -'!$E32</f>
        <v>199.17479405359339</v>
      </c>
      <c r="E32" s="20">
        <v>6010</v>
      </c>
      <c r="F32" s="70">
        <f>E32/'- 3 -'!$D32*100</f>
        <v>2.1525878941751973E-2</v>
      </c>
      <c r="G32" s="20">
        <f>E32/'- 7 -'!$E32</f>
        <v>2.8453744910519831</v>
      </c>
    </row>
    <row r="33" spans="1:7" ht="14.1" customHeight="1">
      <c r="A33" s="285" t="s">
        <v>131</v>
      </c>
      <c r="B33" s="286">
        <v>253665</v>
      </c>
      <c r="C33" s="292">
        <f>B33/'- 3 -'!$D33*100</f>
        <v>0.95860108522417686</v>
      </c>
      <c r="D33" s="286">
        <f>B33/'- 7 -'!$E33</f>
        <v>124.7062582960523</v>
      </c>
      <c r="E33" s="286">
        <v>15839</v>
      </c>
      <c r="F33" s="292">
        <f>E33/'- 3 -'!$D33*100</f>
        <v>5.9855646576649275E-2</v>
      </c>
      <c r="G33" s="286">
        <f>E33/'- 7 -'!$E33</f>
        <v>7.7867361486652564</v>
      </c>
    </row>
    <row r="34" spans="1:7" ht="14.1" customHeight="1">
      <c r="A34" s="19" t="s">
        <v>132</v>
      </c>
      <c r="B34" s="20">
        <v>384036</v>
      </c>
      <c r="C34" s="70">
        <f>B34/'- 3 -'!$D34*100</f>
        <v>1.3767187564863723</v>
      </c>
      <c r="D34" s="20">
        <f>B34/'- 7 -'!$E34</f>
        <v>193.80488100284626</v>
      </c>
      <c r="E34" s="20">
        <v>117111</v>
      </c>
      <c r="F34" s="70">
        <f>E34/'- 3 -'!$D34*100</f>
        <v>0.41982759504545286</v>
      </c>
      <c r="G34" s="20">
        <f>E34/'- 7 -'!$E34</f>
        <v>59.100405740931386</v>
      </c>
    </row>
    <row r="35" spans="1:7" ht="14.1" customHeight="1">
      <c r="A35" s="285" t="s">
        <v>133</v>
      </c>
      <c r="B35" s="286">
        <v>1947725</v>
      </c>
      <c r="C35" s="292">
        <f>B35/'- 3 -'!$D35*100</f>
        <v>1.0788352043852181</v>
      </c>
      <c r="D35" s="286">
        <f>B35/'- 7 -'!$E35</f>
        <v>126.24201963897981</v>
      </c>
      <c r="E35" s="286">
        <v>451524</v>
      </c>
      <c r="F35" s="292">
        <f>E35/'- 3 -'!$D35*100</f>
        <v>0.25009690116665911</v>
      </c>
      <c r="G35" s="286">
        <f>E35/'- 7 -'!$E35</f>
        <v>29.265579933240431</v>
      </c>
    </row>
    <row r="36" spans="1:7" ht="14.1" customHeight="1">
      <c r="A36" s="19" t="s">
        <v>134</v>
      </c>
      <c r="B36" s="20">
        <v>195953</v>
      </c>
      <c r="C36" s="70">
        <f>B36/'- 3 -'!$D36*100</f>
        <v>0.87329178141397923</v>
      </c>
      <c r="D36" s="20">
        <f>B36/'- 7 -'!$E36</f>
        <v>119.73907729911396</v>
      </c>
      <c r="E36" s="20">
        <v>10098</v>
      </c>
      <c r="F36" s="70">
        <f>E36/'- 3 -'!$D36*100</f>
        <v>4.5003140593501315E-2</v>
      </c>
      <c r="G36" s="20">
        <f>E36/'- 7 -'!$E36</f>
        <v>6.1704857928505961</v>
      </c>
    </row>
    <row r="37" spans="1:7" ht="14.1" customHeight="1">
      <c r="A37" s="285" t="s">
        <v>135</v>
      </c>
      <c r="B37" s="286">
        <v>469992</v>
      </c>
      <c r="C37" s="292">
        <f>B37/'- 3 -'!$D37*100</f>
        <v>0.98404385510055159</v>
      </c>
      <c r="D37" s="286">
        <f>B37/'- 7 -'!$E37</f>
        <v>114.53442183501889</v>
      </c>
      <c r="E37" s="286">
        <v>78271</v>
      </c>
      <c r="F37" s="292">
        <f>E37/'- 3 -'!$D37*100</f>
        <v>0.1638795906793632</v>
      </c>
      <c r="G37" s="286">
        <f>E37/'- 7 -'!$E37</f>
        <v>19.074204946996467</v>
      </c>
    </row>
    <row r="38" spans="1:7" ht="14.1" customHeight="1">
      <c r="A38" s="19" t="s">
        <v>136</v>
      </c>
      <c r="B38" s="20">
        <v>1059764</v>
      </c>
      <c r="C38" s="70">
        <f>B38/'- 3 -'!$D38*100</f>
        <v>0.83484859930168587</v>
      </c>
      <c r="D38" s="20">
        <f>B38/'- 7 -'!$E38</f>
        <v>98.132656746270584</v>
      </c>
      <c r="E38" s="20">
        <v>1600872</v>
      </c>
      <c r="F38" s="70">
        <f>E38/'- 3 -'!$D38*100</f>
        <v>1.2611163871024951</v>
      </c>
      <c r="G38" s="20">
        <f>E38/'- 7 -'!$E38</f>
        <v>148.23849693961645</v>
      </c>
    </row>
    <row r="39" spans="1:7" ht="14.1" customHeight="1">
      <c r="A39" s="285" t="s">
        <v>137</v>
      </c>
      <c r="B39" s="286">
        <v>113709</v>
      </c>
      <c r="C39" s="292">
        <f>B39/'- 3 -'!$D39*100</f>
        <v>0.54994370415080329</v>
      </c>
      <c r="D39" s="286">
        <f>B39/'- 7 -'!$E39</f>
        <v>71.7452205186447</v>
      </c>
      <c r="E39" s="286">
        <v>36423</v>
      </c>
      <c r="F39" s="292">
        <f>E39/'- 3 -'!$D39*100</f>
        <v>0.17615667657164083</v>
      </c>
      <c r="G39" s="286">
        <f>E39/'- 7 -'!$E39</f>
        <v>22.981260647359452</v>
      </c>
    </row>
    <row r="40" spans="1:7" ht="14.1" customHeight="1">
      <c r="A40" s="19" t="s">
        <v>138</v>
      </c>
      <c r="B40" s="20">
        <v>825515</v>
      </c>
      <c r="C40" s="70">
        <f>B40/'- 3 -'!$D40*100</f>
        <v>0.81053387005835653</v>
      </c>
      <c r="D40" s="20">
        <f>B40/'- 7 -'!$E40</f>
        <v>103.72224804935355</v>
      </c>
      <c r="E40" s="20">
        <v>198974</v>
      </c>
      <c r="F40" s="70">
        <f>E40/'- 3 -'!$D40*100</f>
        <v>0.19536309608061808</v>
      </c>
      <c r="G40" s="20">
        <f>E40/'- 7 -'!$E40</f>
        <v>25.000188468255661</v>
      </c>
    </row>
    <row r="41" spans="1:7" ht="14.1" customHeight="1">
      <c r="A41" s="285" t="s">
        <v>139</v>
      </c>
      <c r="B41" s="286">
        <v>368409</v>
      </c>
      <c r="C41" s="292">
        <f>B41/'- 3 -'!$D41*100</f>
        <v>0.59604532616586381</v>
      </c>
      <c r="D41" s="286">
        <f>B41/'- 7 -'!$E41</f>
        <v>83.996580027359784</v>
      </c>
      <c r="E41" s="286">
        <v>26784</v>
      </c>
      <c r="F41" s="292">
        <f>E41/'- 3 -'!$D41*100</f>
        <v>4.3333572241792399E-2</v>
      </c>
      <c r="G41" s="286">
        <f>E41/'- 7 -'!$E41</f>
        <v>6.1067031463748291</v>
      </c>
    </row>
    <row r="42" spans="1:7" ht="14.1" customHeight="1">
      <c r="A42" s="19" t="s">
        <v>140</v>
      </c>
      <c r="B42" s="20">
        <v>173409</v>
      </c>
      <c r="C42" s="70">
        <f>B42/'- 3 -'!$D42*100</f>
        <v>0.86596639555601518</v>
      </c>
      <c r="D42" s="20">
        <f>B42/'- 7 -'!$E42</f>
        <v>125.27741655830084</v>
      </c>
      <c r="E42" s="20">
        <v>2332</v>
      </c>
      <c r="F42" s="70">
        <f>E42/'- 3 -'!$D42*100</f>
        <v>1.1645494953760343E-2</v>
      </c>
      <c r="G42" s="20">
        <f>E42/'- 7 -'!$E42</f>
        <v>1.6847276405143767</v>
      </c>
    </row>
    <row r="43" spans="1:7" ht="14.1" customHeight="1">
      <c r="A43" s="285" t="s">
        <v>141</v>
      </c>
      <c r="B43" s="286">
        <v>122466</v>
      </c>
      <c r="C43" s="292">
        <f>B43/'- 3 -'!$D43*100</f>
        <v>0.96294131370180425</v>
      </c>
      <c r="D43" s="286">
        <f>B43/'- 7 -'!$E43</f>
        <v>129.36093799514103</v>
      </c>
      <c r="E43" s="286">
        <v>35425</v>
      </c>
      <c r="F43" s="292">
        <f>E43/'- 3 -'!$D43*100</f>
        <v>0.27854421666328955</v>
      </c>
      <c r="G43" s="286">
        <f>E43/'- 7 -'!$E43</f>
        <v>37.419457061371084</v>
      </c>
    </row>
    <row r="44" spans="1:7" ht="14.1" customHeight="1">
      <c r="A44" s="19" t="s">
        <v>142</v>
      </c>
      <c r="B44" s="20">
        <v>63941</v>
      </c>
      <c r="C44" s="70">
        <f>B44/'- 3 -'!$D44*100</f>
        <v>0.5884760448254539</v>
      </c>
      <c r="D44" s="20">
        <f>B44/'- 7 -'!$E44</f>
        <v>93.8928046989721</v>
      </c>
      <c r="E44" s="20">
        <v>74109</v>
      </c>
      <c r="F44" s="70">
        <f>E44/'- 3 -'!$D44*100</f>
        <v>0.68205644587931935</v>
      </c>
      <c r="G44" s="20">
        <f>E44/'- 7 -'!$E44</f>
        <v>108.8237885462555</v>
      </c>
    </row>
    <row r="45" spans="1:7" ht="14.1" customHeight="1">
      <c r="A45" s="285" t="s">
        <v>143</v>
      </c>
      <c r="B45" s="286">
        <v>118118</v>
      </c>
      <c r="C45" s="292">
        <f>B45/'- 3 -'!$D45*100</f>
        <v>0.64429772404466334</v>
      </c>
      <c r="D45" s="286">
        <f>B45/'- 7 -'!$E45</f>
        <v>71.15542168674699</v>
      </c>
      <c r="E45" s="286">
        <v>174122</v>
      </c>
      <c r="F45" s="292">
        <f>E45/'- 3 -'!$D45*100</f>
        <v>0.9497824912892604</v>
      </c>
      <c r="G45" s="286">
        <f>E45/'- 7 -'!$E45</f>
        <v>104.89277108433735</v>
      </c>
    </row>
    <row r="46" spans="1:7" ht="14.1" customHeight="1">
      <c r="A46" s="19" t="s">
        <v>144</v>
      </c>
      <c r="B46" s="20">
        <v>2734344</v>
      </c>
      <c r="C46" s="70">
        <f>B46/'- 3 -'!$D46*100</f>
        <v>0.7166301869864935</v>
      </c>
      <c r="D46" s="20">
        <f>B46/'- 7 -'!$E46</f>
        <v>91.648868778280544</v>
      </c>
      <c r="E46" s="20">
        <v>2973199</v>
      </c>
      <c r="F46" s="70">
        <f>E46/'- 3 -'!$D46*100</f>
        <v>0.77923046819202546</v>
      </c>
      <c r="G46" s="20">
        <f>E46/'- 7 -'!$E46</f>
        <v>99.654734372381427</v>
      </c>
    </row>
    <row r="47" spans="1:7" ht="5.0999999999999996" customHeight="1">
      <c r="A47" s="21"/>
      <c r="B47" s="22"/>
      <c r="C47"/>
      <c r="D47" s="22"/>
      <c r="E47" s="22"/>
      <c r="F47"/>
      <c r="G47"/>
    </row>
    <row r="48" spans="1:7" ht="14.1" customHeight="1">
      <c r="A48" s="287" t="s">
        <v>145</v>
      </c>
      <c r="B48" s="288">
        <f>SUM(B11:B46)</f>
        <v>19512839</v>
      </c>
      <c r="C48" s="295">
        <f>B48/'- 3 -'!$D48*100</f>
        <v>0.88074073180672818</v>
      </c>
      <c r="D48" s="288">
        <f>B48/'- 7 -'!$E48</f>
        <v>112.1382194696825</v>
      </c>
      <c r="E48" s="288">
        <f>SUM(E11:E46)</f>
        <v>10246297</v>
      </c>
      <c r="F48" s="295">
        <f>E48/'- 3 -'!$D48*100</f>
        <v>0.46248170848378772</v>
      </c>
      <c r="G48" s="288">
        <f>E48/'- 7 -'!$E48</f>
        <v>58.884383852987739</v>
      </c>
    </row>
    <row r="49" spans="1:10" ht="5.0999999999999996" customHeight="1">
      <c r="A49" s="21" t="s">
        <v>7</v>
      </c>
      <c r="B49" s="22"/>
      <c r="C49"/>
      <c r="D49" s="22"/>
      <c r="E49" s="22"/>
      <c r="F49"/>
      <c r="G49"/>
    </row>
    <row r="50" spans="1:10" ht="14.1" customHeight="1">
      <c r="A50" s="19" t="s">
        <v>146</v>
      </c>
      <c r="B50" s="20">
        <v>36726</v>
      </c>
      <c r="C50" s="70">
        <f>B50/'- 3 -'!$D50*100</f>
        <v>1.0933373582533039</v>
      </c>
      <c r="D50" s="20">
        <f>B50/'- 7 -'!$E50</f>
        <v>214.7719298245614</v>
      </c>
      <c r="E50" s="20">
        <v>9887</v>
      </c>
      <c r="F50" s="70">
        <f>E50/'- 3 -'!$D50*100</f>
        <v>0.29433715790040882</v>
      </c>
      <c r="G50" s="20">
        <f>E50/'- 7 -'!$E50</f>
        <v>57.8187134502924</v>
      </c>
    </row>
    <row r="51" spans="1:10" ht="14.1" customHeight="1">
      <c r="A51" s="285" t="s">
        <v>612</v>
      </c>
      <c r="B51" s="286">
        <v>29888</v>
      </c>
      <c r="C51" s="292">
        <f>B51/'- 3 -'!$D51*100</f>
        <v>0.11273155173125232</v>
      </c>
      <c r="D51" s="286">
        <f>B51/'- 7 -'!$E51</f>
        <v>29.41732283464567</v>
      </c>
      <c r="E51" s="286">
        <v>51526</v>
      </c>
      <c r="F51" s="292">
        <f>E51/'- 3 -'!$D51*100</f>
        <v>0.19434575530328249</v>
      </c>
      <c r="G51" s="286">
        <f>E51/'- 7 -'!$E51</f>
        <v>50.714566929133859</v>
      </c>
    </row>
    <row r="52" spans="1:10" ht="50.1" customHeight="1">
      <c r="A52" s="23"/>
      <c r="B52" s="23"/>
      <c r="C52" s="23"/>
      <c r="D52" s="23"/>
      <c r="E52" s="23"/>
      <c r="F52" s="23"/>
      <c r="G52" s="23"/>
      <c r="H52" s="23"/>
      <c r="I52" s="23"/>
      <c r="J52" s="23"/>
    </row>
    <row r="53" spans="1:10" ht="15" customHeight="1">
      <c r="A53" s="85" t="s">
        <v>346</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sheetPr codeName="Sheet27">
    <pageSetUpPr fitToPage="1"/>
  </sheetPr>
  <dimension ref="A1:G52"/>
  <sheetViews>
    <sheetView showGridLines="0" showZeros="0" workbookViewId="0"/>
  </sheetViews>
  <sheetFormatPr defaultColWidth="15.83203125" defaultRowHeight="12"/>
  <cols>
    <col min="1" max="1" width="32.83203125" style="2" customWidth="1"/>
    <col min="2" max="2" width="16.83203125" style="2" customWidth="1"/>
    <col min="3" max="3" width="15.83203125" style="2"/>
    <col min="4" max="4" width="17.83203125" style="2" customWidth="1"/>
    <col min="5" max="5" width="15.83203125" style="2"/>
    <col min="6" max="6" width="17.83203125" style="2" customWidth="1"/>
    <col min="7" max="16384" width="15.83203125" style="2"/>
  </cols>
  <sheetData>
    <row r="1" spans="1:7" ht="6.95" customHeight="1">
      <c r="A1" s="7"/>
      <c r="B1" s="8"/>
      <c r="C1" s="8"/>
      <c r="D1" s="8"/>
      <c r="E1" s="8"/>
      <c r="F1" s="8"/>
      <c r="G1" s="8"/>
    </row>
    <row r="2" spans="1:7" ht="15.95" customHeight="1">
      <c r="A2" s="134"/>
      <c r="B2" s="9" t="s">
        <v>263</v>
      </c>
      <c r="C2" s="10"/>
      <c r="D2" s="10"/>
      <c r="E2" s="10"/>
      <c r="F2" s="73"/>
      <c r="G2" s="396" t="s">
        <v>413</v>
      </c>
    </row>
    <row r="3" spans="1:7" ht="15.95" customHeight="1">
      <c r="A3" s="11"/>
      <c r="B3" s="11" t="str">
        <f>OPYEAR</f>
        <v>OPERATING FUND 2015/2016 ACTUAL</v>
      </c>
      <c r="C3" s="12"/>
      <c r="D3" s="12"/>
      <c r="E3" s="12"/>
      <c r="F3" s="75"/>
      <c r="G3" s="66"/>
    </row>
    <row r="4" spans="1:7" ht="15.95" customHeight="1">
      <c r="B4" s="8"/>
      <c r="C4" s="8"/>
      <c r="D4" s="8"/>
      <c r="E4" s="8"/>
      <c r="F4" s="8"/>
      <c r="G4" s="8"/>
    </row>
    <row r="5" spans="1:7" ht="15.95" customHeight="1">
      <c r="B5" s="8"/>
      <c r="C5" s="8"/>
      <c r="D5" s="8"/>
      <c r="E5" s="8"/>
      <c r="F5" s="8"/>
      <c r="G5" s="8"/>
    </row>
    <row r="6" spans="1:7" ht="15.95" customHeight="1">
      <c r="B6" s="164" t="s">
        <v>15</v>
      </c>
      <c r="C6" s="165"/>
      <c r="D6" s="166"/>
      <c r="E6" s="166"/>
      <c r="F6" s="166"/>
      <c r="G6" s="167"/>
    </row>
    <row r="7" spans="1:7" ht="15.95" customHeight="1">
      <c r="B7" s="310"/>
      <c r="C7" s="311"/>
      <c r="D7" s="310"/>
      <c r="E7" s="311"/>
      <c r="F7" s="643" t="s">
        <v>502</v>
      </c>
      <c r="G7" s="644"/>
    </row>
    <row r="8" spans="1:7" ht="15.95" customHeight="1">
      <c r="A8" s="67"/>
      <c r="B8" s="689" t="s">
        <v>19</v>
      </c>
      <c r="C8" s="649"/>
      <c r="D8" s="648" t="s">
        <v>34</v>
      </c>
      <c r="E8" s="649"/>
      <c r="F8" s="645"/>
      <c r="G8" s="646"/>
    </row>
    <row r="9" spans="1:7" ht="15.95" customHeight="1">
      <c r="A9" s="35" t="s">
        <v>42</v>
      </c>
      <c r="B9" s="168" t="s">
        <v>43</v>
      </c>
      <c r="C9" s="168" t="s">
        <v>44</v>
      </c>
      <c r="D9" s="168" t="s">
        <v>43</v>
      </c>
      <c r="E9" s="168" t="s">
        <v>44</v>
      </c>
      <c r="F9" s="168" t="s">
        <v>43</v>
      </c>
      <c r="G9" s="168" t="s">
        <v>44</v>
      </c>
    </row>
    <row r="10" spans="1:7" ht="5.0999999999999996" customHeight="1">
      <c r="A10" s="6"/>
    </row>
    <row r="11" spans="1:7" ht="14.1" customHeight="1">
      <c r="A11" s="285" t="s">
        <v>110</v>
      </c>
      <c r="B11" s="286">
        <v>83500</v>
      </c>
      <c r="C11" s="292">
        <f>B11/'- 3 -'!$D11*100</f>
        <v>0.46546435643978296</v>
      </c>
      <c r="D11" s="286">
        <v>946291</v>
      </c>
      <c r="E11" s="292">
        <f>D11/'- 3 -'!$D11*100</f>
        <v>5.2750267223923197</v>
      </c>
      <c r="F11" s="286">
        <v>7317</v>
      </c>
      <c r="G11" s="292">
        <f>F11/'- 3 -'!$D11*100</f>
        <v>4.0788056240357987E-2</v>
      </c>
    </row>
    <row r="12" spans="1:7" ht="14.1" customHeight="1">
      <c r="A12" s="19" t="s">
        <v>111</v>
      </c>
      <c r="B12" s="20">
        <v>84997</v>
      </c>
      <c r="C12" s="70">
        <f>B12/'- 3 -'!$D12*100</f>
        <v>0.26317099671513849</v>
      </c>
      <c r="D12" s="20">
        <v>2166075</v>
      </c>
      <c r="E12" s="70">
        <f>D12/'- 3 -'!$D12*100</f>
        <v>6.7066851384136328</v>
      </c>
      <c r="F12" s="20">
        <v>0</v>
      </c>
      <c r="G12" s="70">
        <f>F12/'- 3 -'!$D12*100</f>
        <v>0</v>
      </c>
    </row>
    <row r="13" spans="1:7" ht="14.1" customHeight="1">
      <c r="A13" s="285" t="s">
        <v>112</v>
      </c>
      <c r="B13" s="286">
        <v>215022</v>
      </c>
      <c r="C13" s="292">
        <f>B13/'- 3 -'!$D13*100</f>
        <v>0.23690562658740827</v>
      </c>
      <c r="D13" s="286">
        <v>1845239</v>
      </c>
      <c r="E13" s="292">
        <f>D13/'- 3 -'!$D13*100</f>
        <v>2.0330361614091705</v>
      </c>
      <c r="F13" s="286">
        <v>0</v>
      </c>
      <c r="G13" s="292">
        <f>F13/'- 3 -'!$D13*100</f>
        <v>0</v>
      </c>
    </row>
    <row r="14" spans="1:7" ht="14.1" customHeight="1">
      <c r="A14" s="19" t="s">
        <v>359</v>
      </c>
      <c r="B14" s="20">
        <v>178839</v>
      </c>
      <c r="C14" s="70">
        <f>B14/'- 3 -'!$D14*100</f>
        <v>0.22020415985025049</v>
      </c>
      <c r="D14" s="20">
        <v>7396540</v>
      </c>
      <c r="E14" s="70">
        <f>D14/'- 3 -'!$D14*100</f>
        <v>9.1073472592598481</v>
      </c>
      <c r="F14" s="20">
        <v>252040</v>
      </c>
      <c r="G14" s="70">
        <f>F14/'- 3 -'!$D14*100</f>
        <v>0.31033642800875161</v>
      </c>
    </row>
    <row r="15" spans="1:7" ht="14.1" customHeight="1">
      <c r="A15" s="285" t="s">
        <v>113</v>
      </c>
      <c r="B15" s="286">
        <v>117888</v>
      </c>
      <c r="C15" s="292">
        <f>B15/'- 3 -'!$D15*100</f>
        <v>0.59435597772738102</v>
      </c>
      <c r="D15" s="286">
        <v>1439156</v>
      </c>
      <c r="E15" s="292">
        <f>D15/'- 3 -'!$D15*100</f>
        <v>7.255793392730614</v>
      </c>
      <c r="F15" s="286">
        <v>4539</v>
      </c>
      <c r="G15" s="292">
        <f>F15/'- 3 -'!$D15*100</f>
        <v>2.288427815303154E-2</v>
      </c>
    </row>
    <row r="16" spans="1:7" ht="14.1" customHeight="1">
      <c r="A16" s="19" t="s">
        <v>114</v>
      </c>
      <c r="B16" s="20">
        <v>0</v>
      </c>
      <c r="C16" s="70">
        <f>B16/'- 3 -'!$D16*100</f>
        <v>0</v>
      </c>
      <c r="D16" s="20">
        <v>353114</v>
      </c>
      <c r="E16" s="70">
        <f>D16/'- 3 -'!$D16*100</f>
        <v>2.5186726386775318</v>
      </c>
      <c r="F16" s="20">
        <v>2250</v>
      </c>
      <c r="G16" s="70">
        <f>F16/'- 3 -'!$D16*100</f>
        <v>1.6048679568140732E-2</v>
      </c>
    </row>
    <row r="17" spans="1:7" ht="14.1" customHeight="1">
      <c r="A17" s="285" t="s">
        <v>115</v>
      </c>
      <c r="B17" s="286">
        <v>55167</v>
      </c>
      <c r="C17" s="292">
        <f>B17/'- 3 -'!$D17*100</f>
        <v>0.31759089857148287</v>
      </c>
      <c r="D17" s="286">
        <v>1256369</v>
      </c>
      <c r="E17" s="292">
        <f>D17/'- 3 -'!$D17*100</f>
        <v>7.2327906111870384</v>
      </c>
      <c r="F17" s="286">
        <v>0</v>
      </c>
      <c r="G17" s="292">
        <f>F17/'- 3 -'!$D17*100</f>
        <v>0</v>
      </c>
    </row>
    <row r="18" spans="1:7" ht="14.1" customHeight="1">
      <c r="A18" s="19" t="s">
        <v>116</v>
      </c>
      <c r="B18" s="20">
        <v>319902</v>
      </c>
      <c r="C18" s="70">
        <f>B18/'- 3 -'!$D18*100</f>
        <v>0.25238365363819215</v>
      </c>
      <c r="D18" s="20">
        <v>7040607</v>
      </c>
      <c r="E18" s="70">
        <f>D18/'- 3 -'!$D18*100</f>
        <v>5.5546202227264319</v>
      </c>
      <c r="F18" s="20">
        <v>90813</v>
      </c>
      <c r="G18" s="70">
        <f>F18/'- 3 -'!$D18*100</f>
        <v>7.1646056410541795E-2</v>
      </c>
    </row>
    <row r="19" spans="1:7" ht="14.1" customHeight="1">
      <c r="A19" s="285" t="s">
        <v>117</v>
      </c>
      <c r="B19" s="286">
        <v>147980</v>
      </c>
      <c r="C19" s="292">
        <f>B19/'- 3 -'!$D19*100</f>
        <v>0.33084047117513826</v>
      </c>
      <c r="D19" s="286">
        <v>2242351</v>
      </c>
      <c r="E19" s="292">
        <f>D19/'- 3 -'!$D19*100</f>
        <v>5.0132481509666347</v>
      </c>
      <c r="F19" s="286">
        <v>25338</v>
      </c>
      <c r="G19" s="292">
        <f>F19/'- 3 -'!$D19*100</f>
        <v>5.6648438022946709E-2</v>
      </c>
    </row>
    <row r="20" spans="1:7" ht="14.1" customHeight="1">
      <c r="A20" s="19" t="s">
        <v>118</v>
      </c>
      <c r="B20" s="20">
        <v>231329</v>
      </c>
      <c r="C20" s="70">
        <f>B20/'- 3 -'!$D20*100</f>
        <v>0.29546595046422253</v>
      </c>
      <c r="D20" s="20">
        <v>2374619</v>
      </c>
      <c r="E20" s="70">
        <f>D20/'- 3 -'!$D20*100</f>
        <v>3.0329922310881976</v>
      </c>
      <c r="F20" s="20">
        <v>1497</v>
      </c>
      <c r="G20" s="70">
        <f>F20/'- 3 -'!$D20*100</f>
        <v>1.9120496256195337E-3</v>
      </c>
    </row>
    <row r="21" spans="1:7" ht="14.1" customHeight="1">
      <c r="A21" s="285" t="s">
        <v>119</v>
      </c>
      <c r="B21" s="286">
        <v>113340</v>
      </c>
      <c r="C21" s="292">
        <f>B21/'- 3 -'!$D21*100</f>
        <v>0.32269135178635883</v>
      </c>
      <c r="D21" s="286">
        <v>1831937</v>
      </c>
      <c r="E21" s="292">
        <f>D21/'- 3 -'!$D21*100</f>
        <v>5.2157246066476697</v>
      </c>
      <c r="F21" s="286">
        <v>4209</v>
      </c>
      <c r="G21" s="292">
        <f>F21/'- 3 -'!$D21*100</f>
        <v>1.1983482439286963E-2</v>
      </c>
    </row>
    <row r="22" spans="1:7" ht="14.1" customHeight="1">
      <c r="A22" s="19" t="s">
        <v>120</v>
      </c>
      <c r="B22" s="20">
        <v>95123</v>
      </c>
      <c r="C22" s="70">
        <f>B22/'- 3 -'!$D22*100</f>
        <v>0.47597088342954025</v>
      </c>
      <c r="D22" s="20">
        <v>398924</v>
      </c>
      <c r="E22" s="70">
        <f>D22/'- 3 -'!$D22*100</f>
        <v>1.9961124933112486</v>
      </c>
      <c r="F22" s="20">
        <v>10858</v>
      </c>
      <c r="G22" s="70">
        <f>F22/'- 3 -'!$D22*100</f>
        <v>5.4330623006822197E-2</v>
      </c>
    </row>
    <row r="23" spans="1:7" ht="14.1" customHeight="1">
      <c r="A23" s="285" t="s">
        <v>121</v>
      </c>
      <c r="B23" s="286">
        <v>62942</v>
      </c>
      <c r="C23" s="292">
        <f>B23/'- 3 -'!$D23*100</f>
        <v>0.39003137750441885</v>
      </c>
      <c r="D23" s="286">
        <v>1532489</v>
      </c>
      <c r="E23" s="292">
        <f>D23/'- 3 -'!$D23*100</f>
        <v>9.4963425960466665</v>
      </c>
      <c r="F23" s="286">
        <v>0</v>
      </c>
      <c r="G23" s="292">
        <f>F23/'- 3 -'!$D23*100</f>
        <v>0</v>
      </c>
    </row>
    <row r="24" spans="1:7" ht="14.1" customHeight="1">
      <c r="A24" s="19" t="s">
        <v>122</v>
      </c>
      <c r="B24" s="20">
        <v>170675</v>
      </c>
      <c r="C24" s="70">
        <f>B24/'- 3 -'!$D24*100</f>
        <v>0.30641035231993169</v>
      </c>
      <c r="D24" s="20">
        <v>2123302</v>
      </c>
      <c r="E24" s="70">
        <f>D24/'- 3 -'!$D24*100</f>
        <v>3.8119332878372081</v>
      </c>
      <c r="F24" s="20">
        <v>5517</v>
      </c>
      <c r="G24" s="70">
        <f>F24/'- 3 -'!$D24*100</f>
        <v>9.9045900908103883E-3</v>
      </c>
    </row>
    <row r="25" spans="1:7" ht="14.1" customHeight="1">
      <c r="A25" s="285" t="s">
        <v>123</v>
      </c>
      <c r="B25" s="286">
        <v>266212</v>
      </c>
      <c r="C25" s="292">
        <f>B25/'- 3 -'!$D25*100</f>
        <v>0.15842263113929725</v>
      </c>
      <c r="D25" s="286">
        <v>3478231</v>
      </c>
      <c r="E25" s="292">
        <f>D25/'- 3 -'!$D25*100</f>
        <v>2.0698935687732671</v>
      </c>
      <c r="F25" s="286">
        <v>5100</v>
      </c>
      <c r="G25" s="292">
        <f>F25/'- 3 -'!$D25*100</f>
        <v>3.0350075083407811E-3</v>
      </c>
    </row>
    <row r="26" spans="1:7" ht="14.1" customHeight="1">
      <c r="A26" s="19" t="s">
        <v>124</v>
      </c>
      <c r="B26" s="20">
        <v>229558</v>
      </c>
      <c r="C26" s="70">
        <f>B26/'- 3 -'!$D26*100</f>
        <v>0.57923634103338828</v>
      </c>
      <c r="D26" s="20">
        <v>2572895</v>
      </c>
      <c r="E26" s="70">
        <f>D26/'- 3 -'!$D26*100</f>
        <v>6.4921034582244994</v>
      </c>
      <c r="F26" s="20">
        <v>5027</v>
      </c>
      <c r="G26" s="70">
        <f>F26/'- 3 -'!$D26*100</f>
        <v>1.2684467918237843E-2</v>
      </c>
    </row>
    <row r="27" spans="1:7" ht="14.1" customHeight="1">
      <c r="A27" s="285" t="s">
        <v>125</v>
      </c>
      <c r="B27" s="286">
        <v>0</v>
      </c>
      <c r="C27" s="292">
        <f>B27/'- 3 -'!$D27*100</f>
        <v>0</v>
      </c>
      <c r="D27" s="286">
        <v>0</v>
      </c>
      <c r="E27" s="292">
        <f>D27/'- 3 -'!$D27*100</f>
        <v>0</v>
      </c>
      <c r="F27" s="286">
        <v>131898</v>
      </c>
      <c r="G27" s="292">
        <f>F27/'- 3 -'!$D27*100</f>
        <v>0.3139332271751672</v>
      </c>
    </row>
    <row r="28" spans="1:7" ht="14.1" customHeight="1">
      <c r="A28" s="19" t="s">
        <v>126</v>
      </c>
      <c r="B28" s="20">
        <v>52383</v>
      </c>
      <c r="C28" s="70">
        <f>B28/'- 3 -'!$D28*100</f>
        <v>0.18839142965189681</v>
      </c>
      <c r="D28" s="20">
        <v>1834348</v>
      </c>
      <c r="E28" s="70">
        <f>D28/'- 3 -'!$D28*100</f>
        <v>6.5970914647709682</v>
      </c>
      <c r="F28" s="20">
        <v>8847</v>
      </c>
      <c r="G28" s="70">
        <f>F28/'- 3 -'!$D28*100</f>
        <v>3.1817554896251286E-2</v>
      </c>
    </row>
    <row r="29" spans="1:7" ht="14.1" customHeight="1">
      <c r="A29" s="285" t="s">
        <v>127</v>
      </c>
      <c r="B29" s="286">
        <v>183089</v>
      </c>
      <c r="C29" s="292">
        <f>B29/'- 3 -'!$D29*100</f>
        <v>0.12174865754398576</v>
      </c>
      <c r="D29" s="286">
        <v>2096074</v>
      </c>
      <c r="E29" s="292">
        <f>D29/'- 3 -'!$D29*100</f>
        <v>1.3938259295361948</v>
      </c>
      <c r="F29" s="286">
        <v>57851</v>
      </c>
      <c r="G29" s="292">
        <f>F29/'- 3 -'!$D29*100</f>
        <v>3.8469168478593024E-2</v>
      </c>
    </row>
    <row r="30" spans="1:7" ht="14.1" customHeight="1">
      <c r="A30" s="19" t="s">
        <v>128</v>
      </c>
      <c r="B30" s="20">
        <v>62413</v>
      </c>
      <c r="C30" s="70">
        <f>B30/'- 3 -'!$D30*100</f>
        <v>0.44936023422919313</v>
      </c>
      <c r="D30" s="20">
        <v>1000676</v>
      </c>
      <c r="E30" s="70">
        <f>D30/'- 3 -'!$D30*100</f>
        <v>7.204652904804</v>
      </c>
      <c r="F30" s="20">
        <v>0</v>
      </c>
      <c r="G30" s="70">
        <f>F30/'- 3 -'!$D30*100</f>
        <v>0</v>
      </c>
    </row>
    <row r="31" spans="1:7" ht="14.1" customHeight="1">
      <c r="A31" s="285" t="s">
        <v>129</v>
      </c>
      <c r="B31" s="286">
        <v>81876</v>
      </c>
      <c r="C31" s="292">
        <f>B31/'- 3 -'!$D31*100</f>
        <v>0.22875005039424295</v>
      </c>
      <c r="D31" s="286">
        <v>919969</v>
      </c>
      <c r="E31" s="292">
        <f>D31/'- 3 -'!$D31*100</f>
        <v>2.5702642424048716</v>
      </c>
      <c r="F31" s="286">
        <v>6135</v>
      </c>
      <c r="G31" s="292">
        <f>F31/'- 3 -'!$D31*100</f>
        <v>1.7140328779723976E-2</v>
      </c>
    </row>
    <row r="32" spans="1:7" ht="14.1" customHeight="1">
      <c r="A32" s="19" t="s">
        <v>130</v>
      </c>
      <c r="B32" s="20">
        <v>98818</v>
      </c>
      <c r="C32" s="70">
        <f>B32/'- 3 -'!$D32*100</f>
        <v>0.35393416060999111</v>
      </c>
      <c r="D32" s="20">
        <v>1812079</v>
      </c>
      <c r="E32" s="70">
        <f>D32/'- 3 -'!$D32*100</f>
        <v>6.4902817282680489</v>
      </c>
      <c r="F32" s="20">
        <v>0</v>
      </c>
      <c r="G32" s="70">
        <f>F32/'- 3 -'!$D32*100</f>
        <v>0</v>
      </c>
    </row>
    <row r="33" spans="1:7" ht="14.1" customHeight="1">
      <c r="A33" s="285" t="s">
        <v>131</v>
      </c>
      <c r="B33" s="286">
        <v>106422</v>
      </c>
      <c r="C33" s="292">
        <f>B33/'- 3 -'!$D33*100</f>
        <v>0.40216917860850865</v>
      </c>
      <c r="D33" s="286">
        <v>1992827</v>
      </c>
      <c r="E33" s="292">
        <f>D33/'- 3 -'!$D33*100</f>
        <v>7.5309014837050476</v>
      </c>
      <c r="F33" s="286">
        <v>0</v>
      </c>
      <c r="G33" s="292">
        <f>F33/'- 3 -'!$D33*100</f>
        <v>0</v>
      </c>
    </row>
    <row r="34" spans="1:7" ht="14.1" customHeight="1">
      <c r="A34" s="19" t="s">
        <v>132</v>
      </c>
      <c r="B34" s="20">
        <v>135071</v>
      </c>
      <c r="C34" s="70">
        <f>B34/'- 3 -'!$D34*100</f>
        <v>0.48421184252874938</v>
      </c>
      <c r="D34" s="20">
        <v>2272546</v>
      </c>
      <c r="E34" s="70">
        <f>D34/'- 3 -'!$D34*100</f>
        <v>8.1467797372592141</v>
      </c>
      <c r="F34" s="20">
        <v>0</v>
      </c>
      <c r="G34" s="70">
        <f>F34/'- 3 -'!$D34*100</f>
        <v>0</v>
      </c>
    </row>
    <row r="35" spans="1:7" ht="14.1" customHeight="1">
      <c r="A35" s="285" t="s">
        <v>133</v>
      </c>
      <c r="B35" s="286">
        <v>388871</v>
      </c>
      <c r="C35" s="292">
        <f>B35/'- 3 -'!$D35*100</f>
        <v>0.21539371562437412</v>
      </c>
      <c r="D35" s="286">
        <v>3557476</v>
      </c>
      <c r="E35" s="292">
        <f>D35/'- 3 -'!$D35*100</f>
        <v>1.970468288672943</v>
      </c>
      <c r="F35" s="286">
        <v>8022</v>
      </c>
      <c r="G35" s="292">
        <f>F35/'- 3 -'!$D35*100</f>
        <v>4.4433459598137411E-3</v>
      </c>
    </row>
    <row r="36" spans="1:7" ht="14.1" customHeight="1">
      <c r="A36" s="19" t="s">
        <v>134</v>
      </c>
      <c r="B36" s="20">
        <v>51507</v>
      </c>
      <c r="C36" s="70">
        <f>B36/'- 3 -'!$D36*100</f>
        <v>0.22954810482763635</v>
      </c>
      <c r="D36" s="20">
        <v>1386337</v>
      </c>
      <c r="E36" s="70">
        <f>D36/'- 3 -'!$D36*100</f>
        <v>6.178403537430464</v>
      </c>
      <c r="F36" s="20">
        <v>6817</v>
      </c>
      <c r="G36" s="70">
        <f>F36/'- 3 -'!$D36*100</f>
        <v>3.0380908043760986E-2</v>
      </c>
    </row>
    <row r="37" spans="1:7" ht="14.1" customHeight="1">
      <c r="A37" s="285" t="s">
        <v>135</v>
      </c>
      <c r="B37" s="286">
        <v>235747</v>
      </c>
      <c r="C37" s="292">
        <f>B37/'- 3 -'!$D37*100</f>
        <v>0.49359433077241682</v>
      </c>
      <c r="D37" s="286">
        <v>2789067</v>
      </c>
      <c r="E37" s="292">
        <f>D37/'- 3 -'!$D37*100</f>
        <v>5.8395977863745125</v>
      </c>
      <c r="F37" s="286">
        <v>138</v>
      </c>
      <c r="G37" s="292">
        <f>F37/'- 3 -'!$D37*100</f>
        <v>2.8893694361579797E-4</v>
      </c>
    </row>
    <row r="38" spans="1:7" ht="14.1" customHeight="1">
      <c r="A38" s="19" t="s">
        <v>136</v>
      </c>
      <c r="B38" s="20">
        <v>270395</v>
      </c>
      <c r="C38" s="70">
        <f>B38/'- 3 -'!$D38*100</f>
        <v>0.21300863872350762</v>
      </c>
      <c r="D38" s="20">
        <v>2954177</v>
      </c>
      <c r="E38" s="70">
        <f>D38/'- 3 -'!$D38*100</f>
        <v>2.3272073127028814</v>
      </c>
      <c r="F38" s="20">
        <v>192893</v>
      </c>
      <c r="G38" s="70">
        <f>F38/'- 3 -'!$D38*100</f>
        <v>0.15195501155455374</v>
      </c>
    </row>
    <row r="39" spans="1:7" ht="14.1" customHeight="1">
      <c r="A39" s="285" t="s">
        <v>137</v>
      </c>
      <c r="B39" s="286">
        <v>86852</v>
      </c>
      <c r="C39" s="292">
        <f>B39/'- 3 -'!$D39*100</f>
        <v>0.42005215587953071</v>
      </c>
      <c r="D39" s="286">
        <v>1675675</v>
      </c>
      <c r="E39" s="292">
        <f>D39/'- 3 -'!$D39*100</f>
        <v>8.104256623951466</v>
      </c>
      <c r="F39" s="286">
        <v>0</v>
      </c>
      <c r="G39" s="292">
        <f>F39/'- 3 -'!$D39*100</f>
        <v>0</v>
      </c>
    </row>
    <row r="40" spans="1:7" ht="14.1" customHeight="1">
      <c r="A40" s="19" t="s">
        <v>138</v>
      </c>
      <c r="B40" s="20">
        <v>138947</v>
      </c>
      <c r="C40" s="70">
        <f>B40/'- 3 -'!$D40*100</f>
        <v>0.13642544307856122</v>
      </c>
      <c r="D40" s="20">
        <v>1839594</v>
      </c>
      <c r="E40" s="70">
        <f>D40/'- 3 -'!$D40*100</f>
        <v>1.8062097528889633</v>
      </c>
      <c r="F40" s="20">
        <v>5366</v>
      </c>
      <c r="G40" s="70">
        <f>F40/'- 3 -'!$D40*100</f>
        <v>5.268619887867745E-3</v>
      </c>
    </row>
    <row r="41" spans="1:7" ht="14.1" customHeight="1">
      <c r="A41" s="285" t="s">
        <v>139</v>
      </c>
      <c r="B41" s="286">
        <v>547906</v>
      </c>
      <c r="C41" s="292">
        <f>B41/'- 3 -'!$D41*100</f>
        <v>0.88645177093456939</v>
      </c>
      <c r="D41" s="286">
        <v>4282271</v>
      </c>
      <c r="E41" s="292">
        <f>D41/'- 3 -'!$D41*100</f>
        <v>6.9282444645098789</v>
      </c>
      <c r="F41" s="286">
        <v>5787</v>
      </c>
      <c r="G41" s="292">
        <f>F41/'- 3 -'!$D41*100</f>
        <v>9.3627308304679146E-3</v>
      </c>
    </row>
    <row r="42" spans="1:7" ht="14.1" customHeight="1">
      <c r="A42" s="19" t="s">
        <v>140</v>
      </c>
      <c r="B42" s="20">
        <v>103976</v>
      </c>
      <c r="C42" s="70">
        <f>B42/'- 3 -'!$D42*100</f>
        <v>0.51923326900179478</v>
      </c>
      <c r="D42" s="20">
        <v>1386143</v>
      </c>
      <c r="E42" s="70">
        <f>D42/'- 3 -'!$D42*100</f>
        <v>6.9220931868311419</v>
      </c>
      <c r="F42" s="20">
        <v>0</v>
      </c>
      <c r="G42" s="70">
        <f>F42/'- 3 -'!$D42*100</f>
        <v>0</v>
      </c>
    </row>
    <row r="43" spans="1:7" ht="14.1" customHeight="1">
      <c r="A43" s="285" t="s">
        <v>141</v>
      </c>
      <c r="B43" s="286">
        <v>9358</v>
      </c>
      <c r="C43" s="292">
        <f>B43/'- 3 -'!$D43*100</f>
        <v>7.3581278180241738E-2</v>
      </c>
      <c r="D43" s="286">
        <v>1003540</v>
      </c>
      <c r="E43" s="292">
        <f>D43/'- 3 -'!$D43*100</f>
        <v>7.8907625459499666</v>
      </c>
      <c r="F43" s="286">
        <v>8000</v>
      </c>
      <c r="G43" s="292">
        <f>F43/'- 3 -'!$D43*100</f>
        <v>6.2903422252824734E-2</v>
      </c>
    </row>
    <row r="44" spans="1:7" ht="14.1" customHeight="1">
      <c r="A44" s="19" t="s">
        <v>142</v>
      </c>
      <c r="B44" s="20">
        <v>30738</v>
      </c>
      <c r="C44" s="70">
        <f>B44/'- 3 -'!$D44*100</f>
        <v>0.28289480405130979</v>
      </c>
      <c r="D44" s="20">
        <v>964039</v>
      </c>
      <c r="E44" s="70">
        <f>D44/'- 3 -'!$D44*100</f>
        <v>8.8724583252918432</v>
      </c>
      <c r="F44" s="20">
        <v>0</v>
      </c>
      <c r="G44" s="70">
        <f>F44/'- 3 -'!$D44*100</f>
        <v>0</v>
      </c>
    </row>
    <row r="45" spans="1:7" ht="14.1" customHeight="1">
      <c r="A45" s="285" t="s">
        <v>143</v>
      </c>
      <c r="B45" s="286">
        <v>47891</v>
      </c>
      <c r="C45" s="292">
        <f>B45/'- 3 -'!$D45*100</f>
        <v>0.26123082258608316</v>
      </c>
      <c r="D45" s="286">
        <v>598329</v>
      </c>
      <c r="E45" s="292">
        <f>D45/'- 3 -'!$D45*100</f>
        <v>3.2637025087617415</v>
      </c>
      <c r="F45" s="286">
        <v>17958</v>
      </c>
      <c r="G45" s="292">
        <f>F45/'- 3 -'!$D45*100</f>
        <v>9.7955421937334378E-2</v>
      </c>
    </row>
    <row r="46" spans="1:7" ht="14.1" customHeight="1">
      <c r="A46" s="19" t="s">
        <v>144</v>
      </c>
      <c r="B46" s="20">
        <v>567678</v>
      </c>
      <c r="C46" s="70">
        <f>B46/'- 3 -'!$D46*100</f>
        <v>0.14877981383765856</v>
      </c>
      <c r="D46" s="20">
        <v>5492106</v>
      </c>
      <c r="E46" s="70">
        <f>D46/'- 3 -'!$D46*100</f>
        <v>1.4393978774176339</v>
      </c>
      <c r="F46" s="20">
        <v>0</v>
      </c>
      <c r="G46" s="70">
        <f>F46/'- 3 -'!$D46*100</f>
        <v>0</v>
      </c>
    </row>
    <row r="47" spans="1:7" ht="5.0999999999999996" customHeight="1">
      <c r="A47"/>
      <c r="B47" s="22"/>
      <c r="C47"/>
      <c r="D47" s="22"/>
      <c r="E47"/>
      <c r="F47" s="22"/>
      <c r="G47"/>
    </row>
    <row r="48" spans="1:7" ht="14.1" customHeight="1">
      <c r="A48" s="287" t="s">
        <v>145</v>
      </c>
      <c r="B48" s="288">
        <f>SUM(B11:B46)</f>
        <v>5572412</v>
      </c>
      <c r="C48" s="295">
        <f>B48/'- 3 -'!$D48*100</f>
        <v>0.25151902410554372</v>
      </c>
      <c r="D48" s="288">
        <f>SUM(D11:D46)</f>
        <v>78855412</v>
      </c>
      <c r="E48" s="295">
        <f>D48/'- 3 -'!$D48*100</f>
        <v>3.559255179207959</v>
      </c>
      <c r="F48" s="288">
        <f>SUM(F11:F46)</f>
        <v>864217</v>
      </c>
      <c r="G48" s="295">
        <f>F48/'- 3 -'!$D48*100</f>
        <v>3.9007707336683052E-2</v>
      </c>
    </row>
    <row r="49" spans="1:7" ht="5.0999999999999996" customHeight="1">
      <c r="A49" s="21" t="s">
        <v>7</v>
      </c>
      <c r="B49" s="22"/>
      <c r="C49"/>
      <c r="D49" s="22"/>
      <c r="E49"/>
      <c r="F49" s="22"/>
      <c r="G49"/>
    </row>
    <row r="50" spans="1:7" ht="14.1" customHeight="1">
      <c r="A50" s="19" t="s">
        <v>146</v>
      </c>
      <c r="B50" s="20">
        <v>0</v>
      </c>
      <c r="C50" s="70">
        <f>B50/'- 3 -'!$D50*100</f>
        <v>0</v>
      </c>
      <c r="D50" s="20">
        <v>9360</v>
      </c>
      <c r="E50" s="70">
        <f>D50/'- 3 -'!$D50*100</f>
        <v>0.27864830564861198</v>
      </c>
      <c r="F50" s="20">
        <v>0</v>
      </c>
      <c r="G50" s="70">
        <f>F50/'- 3 -'!$D50*100</f>
        <v>0</v>
      </c>
    </row>
    <row r="51" spans="1:7" ht="14.1" customHeight="1">
      <c r="A51" s="285" t="s">
        <v>612</v>
      </c>
      <c r="B51" s="286">
        <v>0</v>
      </c>
      <c r="C51" s="292">
        <f>B51/'- 3 -'!$D51*100</f>
        <v>0</v>
      </c>
      <c r="D51" s="286">
        <v>0</v>
      </c>
      <c r="E51" s="292">
        <f>D51/'- 3 -'!$D51*100</f>
        <v>0</v>
      </c>
      <c r="F51" s="286">
        <v>0</v>
      </c>
      <c r="G51" s="292">
        <f>F51/'- 3 -'!$D51*100</f>
        <v>0</v>
      </c>
    </row>
    <row r="52" spans="1:7" ht="50.1" customHeight="1"/>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sheetPr codeName="Sheet28">
    <pageSetUpPr fitToPage="1"/>
  </sheetPr>
  <dimension ref="A1:G52"/>
  <sheetViews>
    <sheetView showGridLines="0" showZeros="0" workbookViewId="0"/>
  </sheetViews>
  <sheetFormatPr defaultColWidth="15.83203125" defaultRowHeight="12"/>
  <cols>
    <col min="1" max="1" width="33.83203125" style="2" customWidth="1"/>
    <col min="2" max="2" width="19.83203125" style="2" customWidth="1"/>
    <col min="3" max="3" width="15.83203125" style="2"/>
    <col min="4" max="4" width="19.83203125" style="2" customWidth="1"/>
    <col min="5" max="5" width="15.83203125" style="2"/>
    <col min="6" max="6" width="11.83203125" style="2" customWidth="1"/>
    <col min="7" max="16384" width="15.83203125" style="2"/>
  </cols>
  <sheetData>
    <row r="1" spans="1:7" ht="6.95" customHeight="1">
      <c r="A1" s="7"/>
      <c r="B1" s="8"/>
      <c r="C1" s="8"/>
      <c r="D1" s="8"/>
      <c r="E1" s="8"/>
      <c r="F1" s="8"/>
      <c r="G1" s="8"/>
    </row>
    <row r="2" spans="1:7" ht="15.95" customHeight="1">
      <c r="A2" s="134"/>
      <c r="B2" s="9" t="s">
        <v>263</v>
      </c>
      <c r="C2" s="10"/>
      <c r="D2" s="10"/>
      <c r="E2" s="10"/>
      <c r="F2" s="73"/>
      <c r="G2" s="396" t="s">
        <v>414</v>
      </c>
    </row>
    <row r="3" spans="1:7" ht="15.95" customHeight="1">
      <c r="A3" s="543"/>
      <c r="B3" s="11" t="str">
        <f>OPYEAR</f>
        <v>OPERATING FUND 2015/2016 ACTUAL</v>
      </c>
      <c r="C3" s="12"/>
      <c r="D3" s="12"/>
      <c r="E3" s="12"/>
      <c r="F3" s="75"/>
      <c r="G3" s="66"/>
    </row>
    <row r="4" spans="1:7" ht="15.95" customHeight="1">
      <c r="B4" s="8"/>
      <c r="C4" s="8"/>
      <c r="D4" s="8"/>
      <c r="E4" s="8"/>
      <c r="F4" s="8"/>
      <c r="G4" s="8"/>
    </row>
    <row r="5" spans="1:7" ht="15.95" customHeight="1">
      <c r="B5" s="8"/>
      <c r="C5" s="8"/>
      <c r="D5" s="8"/>
      <c r="E5" s="8"/>
      <c r="F5" s="8"/>
      <c r="G5" s="8"/>
    </row>
    <row r="6" spans="1:7" ht="15.95" customHeight="1">
      <c r="B6" s="559" t="s">
        <v>15</v>
      </c>
      <c r="C6" s="72"/>
      <c r="D6" s="173"/>
      <c r="E6" s="174"/>
      <c r="F6" s="8"/>
      <c r="G6" s="43"/>
    </row>
    <row r="7" spans="1:7" ht="15.95" customHeight="1">
      <c r="B7" s="670" t="s">
        <v>503</v>
      </c>
      <c r="C7" s="671"/>
      <c r="D7" s="690" t="s">
        <v>504</v>
      </c>
      <c r="E7" s="644"/>
      <c r="F7" s="69"/>
      <c r="G7" s="8"/>
    </row>
    <row r="8" spans="1:7" ht="15.95" customHeight="1">
      <c r="A8" s="404"/>
      <c r="B8" s="672"/>
      <c r="C8" s="673"/>
      <c r="D8" s="677"/>
      <c r="E8" s="646"/>
      <c r="F8" s="8"/>
      <c r="G8" s="8"/>
    </row>
    <row r="9" spans="1:7" ht="15.95" customHeight="1">
      <c r="A9" s="35" t="s">
        <v>42</v>
      </c>
      <c r="B9" s="77" t="s">
        <v>43</v>
      </c>
      <c r="C9" s="77" t="s">
        <v>44</v>
      </c>
      <c r="D9" s="168" t="s">
        <v>43</v>
      </c>
      <c r="E9" s="168" t="s">
        <v>44</v>
      </c>
    </row>
    <row r="10" spans="1:7" ht="5.0999999999999996" customHeight="1">
      <c r="A10" s="6"/>
    </row>
    <row r="11" spans="1:7" ht="14.1" customHeight="1">
      <c r="A11" s="285" t="s">
        <v>110</v>
      </c>
      <c r="B11" s="286">
        <v>0</v>
      </c>
      <c r="C11" s="292">
        <f>B11/'- 3 -'!$D11*100</f>
        <v>0</v>
      </c>
      <c r="D11" s="286">
        <v>134389</v>
      </c>
      <c r="E11" s="292">
        <f>D11/'- 3 -'!$D11*100</f>
        <v>0.7491411903902514</v>
      </c>
    </row>
    <row r="12" spans="1:7" ht="14.1" customHeight="1">
      <c r="A12" s="19" t="s">
        <v>111</v>
      </c>
      <c r="B12" s="20">
        <v>4800</v>
      </c>
      <c r="C12" s="70">
        <f>B12/'- 3 -'!$D12*100</f>
        <v>1.4861945530226536E-2</v>
      </c>
      <c r="D12" s="20">
        <v>255661</v>
      </c>
      <c r="E12" s="70">
        <f>D12/'- 3 -'!$D12*100</f>
        <v>0.79158747004234287</v>
      </c>
    </row>
    <row r="13" spans="1:7" ht="14.1" customHeight="1">
      <c r="A13" s="285" t="s">
        <v>112</v>
      </c>
      <c r="B13" s="286">
        <v>0</v>
      </c>
      <c r="C13" s="292">
        <f>B13/'- 3 -'!$D13*100</f>
        <v>0</v>
      </c>
      <c r="D13" s="286">
        <v>79018</v>
      </c>
      <c r="E13" s="292">
        <f>D13/'- 3 -'!$D13*100</f>
        <v>8.7059969685352318E-2</v>
      </c>
    </row>
    <row r="14" spans="1:7" ht="14.1" customHeight="1">
      <c r="A14" s="19" t="s">
        <v>359</v>
      </c>
      <c r="B14" s="20">
        <v>0</v>
      </c>
      <c r="C14" s="70">
        <f>B14/'- 3 -'!$D14*100</f>
        <v>0</v>
      </c>
      <c r="D14" s="20">
        <v>353632</v>
      </c>
      <c r="E14" s="70">
        <f>D14/'- 3 -'!$D14*100</f>
        <v>0.43542648670683565</v>
      </c>
    </row>
    <row r="15" spans="1:7" ht="14.1" customHeight="1">
      <c r="A15" s="285" t="s">
        <v>113</v>
      </c>
      <c r="B15" s="286">
        <v>0</v>
      </c>
      <c r="C15" s="292">
        <f>B15/'- 3 -'!$D15*100</f>
        <v>0</v>
      </c>
      <c r="D15" s="286">
        <v>58482</v>
      </c>
      <c r="E15" s="292">
        <f>D15/'- 3 -'!$D15*100</f>
        <v>0.29484872327508055</v>
      </c>
    </row>
    <row r="16" spans="1:7" ht="14.1" customHeight="1">
      <c r="A16" s="19" t="s">
        <v>114</v>
      </c>
      <c r="B16" s="20">
        <v>0</v>
      </c>
      <c r="C16" s="70">
        <f>B16/'- 3 -'!$D16*100</f>
        <v>0</v>
      </c>
      <c r="D16" s="20">
        <v>93833</v>
      </c>
      <c r="E16" s="70">
        <f>D16/'- 3 -'!$D16*100</f>
        <v>0.66928699996326635</v>
      </c>
    </row>
    <row r="17" spans="1:5" ht="14.1" customHeight="1">
      <c r="A17" s="285" t="s">
        <v>115</v>
      </c>
      <c r="B17" s="286">
        <v>0</v>
      </c>
      <c r="C17" s="292">
        <f>B17/'- 3 -'!$D17*100</f>
        <v>0</v>
      </c>
      <c r="D17" s="286">
        <v>46694</v>
      </c>
      <c r="E17" s="292">
        <f>D17/'- 3 -'!$D17*100</f>
        <v>0.26881268544413905</v>
      </c>
    </row>
    <row r="18" spans="1:5" ht="14.1" customHeight="1">
      <c r="A18" s="19" t="s">
        <v>116</v>
      </c>
      <c r="B18" s="20">
        <v>2865665</v>
      </c>
      <c r="C18" s="70">
        <f>B18/'- 3 -'!$D18*100</f>
        <v>2.2608392657848029</v>
      </c>
      <c r="D18" s="20">
        <v>836470</v>
      </c>
      <c r="E18" s="70">
        <f>D18/'- 3 -'!$D18*100</f>
        <v>0.65992508567854713</v>
      </c>
    </row>
    <row r="19" spans="1:5" ht="14.1" customHeight="1">
      <c r="A19" s="285" t="s">
        <v>117</v>
      </c>
      <c r="B19" s="286">
        <v>508</v>
      </c>
      <c r="C19" s="292">
        <f>B19/'- 3 -'!$D19*100</f>
        <v>1.1357410417419263E-3</v>
      </c>
      <c r="D19" s="286">
        <v>184811</v>
      </c>
      <c r="E19" s="292">
        <f>D19/'- 3 -'!$D19*100</f>
        <v>0.41318393241214008</v>
      </c>
    </row>
    <row r="20" spans="1:5" ht="14.1" customHeight="1">
      <c r="A20" s="19" t="s">
        <v>118</v>
      </c>
      <c r="B20" s="20">
        <v>0</v>
      </c>
      <c r="C20" s="70">
        <f>B20/'- 3 -'!$D20*100</f>
        <v>0</v>
      </c>
      <c r="D20" s="20">
        <v>914208</v>
      </c>
      <c r="E20" s="70">
        <f>D20/'- 3 -'!$D20*100</f>
        <v>1.1676760615486859</v>
      </c>
    </row>
    <row r="21" spans="1:5" ht="14.1" customHeight="1">
      <c r="A21" s="285" t="s">
        <v>119</v>
      </c>
      <c r="B21" s="286">
        <v>0</v>
      </c>
      <c r="C21" s="292">
        <f>B21/'- 3 -'!$D21*100</f>
        <v>0</v>
      </c>
      <c r="D21" s="286">
        <v>126641</v>
      </c>
      <c r="E21" s="292">
        <f>D21/'- 3 -'!$D21*100</f>
        <v>0.36056075067563326</v>
      </c>
    </row>
    <row r="22" spans="1:5" ht="14.1" customHeight="1">
      <c r="A22" s="19" t="s">
        <v>120</v>
      </c>
      <c r="B22" s="20">
        <v>0</v>
      </c>
      <c r="C22" s="70">
        <f>B22/'- 3 -'!$D22*100</f>
        <v>0</v>
      </c>
      <c r="D22" s="20">
        <v>49067</v>
      </c>
      <c r="E22" s="70">
        <f>D22/'- 3 -'!$D22*100</f>
        <v>0.2455185742379577</v>
      </c>
    </row>
    <row r="23" spans="1:5" ht="14.1" customHeight="1">
      <c r="A23" s="285" t="s">
        <v>121</v>
      </c>
      <c r="B23" s="286">
        <v>0</v>
      </c>
      <c r="C23" s="292">
        <f>B23/'- 3 -'!$D23*100</f>
        <v>0</v>
      </c>
      <c r="D23" s="286">
        <v>0</v>
      </c>
      <c r="E23" s="292">
        <f>D23/'- 3 -'!$D23*100</f>
        <v>0</v>
      </c>
    </row>
    <row r="24" spans="1:5" ht="14.1" customHeight="1">
      <c r="A24" s="19" t="s">
        <v>122</v>
      </c>
      <c r="B24" s="20">
        <v>0</v>
      </c>
      <c r="C24" s="70">
        <f>B24/'- 3 -'!$D24*100</f>
        <v>0</v>
      </c>
      <c r="D24" s="20">
        <v>102053</v>
      </c>
      <c r="E24" s="70">
        <f>D24/'- 3 -'!$D24*100</f>
        <v>0.18321427089676862</v>
      </c>
    </row>
    <row r="25" spans="1:5" ht="14.1" customHeight="1">
      <c r="A25" s="285" t="s">
        <v>123</v>
      </c>
      <c r="B25" s="286">
        <v>0</v>
      </c>
      <c r="C25" s="292">
        <f>B25/'- 3 -'!$D25*100</f>
        <v>0</v>
      </c>
      <c r="D25" s="286">
        <v>67186</v>
      </c>
      <c r="E25" s="292">
        <f>D25/'- 3 -'!$D25*100</f>
        <v>3.9982355775565435E-2</v>
      </c>
    </row>
    <row r="26" spans="1:5" ht="14.1" customHeight="1">
      <c r="A26" s="19" t="s">
        <v>124</v>
      </c>
      <c r="B26" s="20">
        <v>0</v>
      </c>
      <c r="C26" s="70">
        <f>B26/'- 3 -'!$D26*100</f>
        <v>0</v>
      </c>
      <c r="D26" s="20">
        <v>194600</v>
      </c>
      <c r="E26" s="70">
        <f>D26/'- 3 -'!$D26*100</f>
        <v>0.49102794049912157</v>
      </c>
    </row>
    <row r="27" spans="1:5" ht="14.1" customHeight="1">
      <c r="A27" s="285" t="s">
        <v>125</v>
      </c>
      <c r="B27" s="286">
        <v>0</v>
      </c>
      <c r="C27" s="292">
        <f>B27/'- 3 -'!$D27*100</f>
        <v>0</v>
      </c>
      <c r="D27" s="286">
        <v>113580</v>
      </c>
      <c r="E27" s="292">
        <f>D27/'- 3 -'!$D27*100</f>
        <v>0.27033416687558182</v>
      </c>
    </row>
    <row r="28" spans="1:5" ht="14.1" customHeight="1">
      <c r="A28" s="19" t="s">
        <v>126</v>
      </c>
      <c r="B28" s="20">
        <v>0</v>
      </c>
      <c r="C28" s="70">
        <f>B28/'- 3 -'!$D28*100</f>
        <v>0</v>
      </c>
      <c r="D28" s="20">
        <v>153159</v>
      </c>
      <c r="E28" s="70">
        <f>D28/'- 3 -'!$D28*100</f>
        <v>0.55082456090821186</v>
      </c>
    </row>
    <row r="29" spans="1:5" ht="14.1" customHeight="1">
      <c r="A29" s="285" t="s">
        <v>127</v>
      </c>
      <c r="B29" s="286">
        <v>0</v>
      </c>
      <c r="C29" s="292">
        <f>B29/'- 3 -'!$D29*100</f>
        <v>0</v>
      </c>
      <c r="D29" s="286">
        <v>487644</v>
      </c>
      <c r="E29" s="292">
        <f>D29/'- 3 -'!$D29*100</f>
        <v>0.32426853803002575</v>
      </c>
    </row>
    <row r="30" spans="1:5" ht="14.1" customHeight="1">
      <c r="A30" s="19" t="s">
        <v>128</v>
      </c>
      <c r="B30" s="20">
        <v>0</v>
      </c>
      <c r="C30" s="70">
        <f>B30/'- 3 -'!$D30*100</f>
        <v>0</v>
      </c>
      <c r="D30" s="20">
        <v>56558</v>
      </c>
      <c r="E30" s="70">
        <f>D30/'- 3 -'!$D30*100</f>
        <v>0.40720548807996254</v>
      </c>
    </row>
    <row r="31" spans="1:5" ht="14.1" customHeight="1">
      <c r="A31" s="285" t="s">
        <v>129</v>
      </c>
      <c r="B31" s="286">
        <v>0</v>
      </c>
      <c r="C31" s="292">
        <f>B31/'- 3 -'!$D31*100</f>
        <v>0</v>
      </c>
      <c r="D31" s="286">
        <v>33677</v>
      </c>
      <c r="E31" s="292">
        <f>D31/'- 3 -'!$D31*100</f>
        <v>9.4088810483254182E-2</v>
      </c>
    </row>
    <row r="32" spans="1:5" ht="14.1" customHeight="1">
      <c r="A32" s="19" t="s">
        <v>130</v>
      </c>
      <c r="B32" s="20">
        <v>0</v>
      </c>
      <c r="C32" s="70">
        <f>B32/'- 3 -'!$D32*100</f>
        <v>0</v>
      </c>
      <c r="D32" s="20">
        <v>156823</v>
      </c>
      <c r="E32" s="70">
        <f>D32/'- 3 -'!$D32*100</f>
        <v>0.56168933665264065</v>
      </c>
    </row>
    <row r="33" spans="1:6" ht="14.1" customHeight="1">
      <c r="A33" s="285" t="s">
        <v>131</v>
      </c>
      <c r="B33" s="286">
        <v>0</v>
      </c>
      <c r="C33" s="292">
        <f>B33/'- 3 -'!$D33*100</f>
        <v>0</v>
      </c>
      <c r="D33" s="286">
        <v>80514</v>
      </c>
      <c r="E33" s="292">
        <f>D33/'- 3 -'!$D33*100</f>
        <v>0.30426273934417197</v>
      </c>
    </row>
    <row r="34" spans="1:6" ht="14.1" customHeight="1">
      <c r="A34" s="19" t="s">
        <v>132</v>
      </c>
      <c r="B34" s="20">
        <v>0</v>
      </c>
      <c r="C34" s="70">
        <f>B34/'- 3 -'!$D34*100</f>
        <v>0</v>
      </c>
      <c r="D34" s="20">
        <v>179119</v>
      </c>
      <c r="E34" s="70">
        <f>D34/'- 3 -'!$D34*100</f>
        <v>0.64211815283744889</v>
      </c>
    </row>
    <row r="35" spans="1:6" ht="14.1" customHeight="1">
      <c r="A35" s="285" t="s">
        <v>133</v>
      </c>
      <c r="B35" s="286">
        <v>0</v>
      </c>
      <c r="C35" s="292">
        <f>B35/'- 3 -'!$D35*100</f>
        <v>0</v>
      </c>
      <c r="D35" s="286">
        <v>136743</v>
      </c>
      <c r="E35" s="292">
        <f>D35/'- 3 -'!$D35*100</f>
        <v>7.5741268584244625E-2</v>
      </c>
    </row>
    <row r="36" spans="1:6" ht="14.1" customHeight="1">
      <c r="A36" s="19" t="s">
        <v>134</v>
      </c>
      <c r="B36" s="20">
        <v>0</v>
      </c>
      <c r="C36" s="70">
        <f>B36/'- 3 -'!$D36*100</f>
        <v>0</v>
      </c>
      <c r="D36" s="20">
        <v>86445</v>
      </c>
      <c r="E36" s="70">
        <f>D36/'- 3 -'!$D36*100</f>
        <v>0.38525415811103397</v>
      </c>
    </row>
    <row r="37" spans="1:6" ht="14.1" customHeight="1">
      <c r="A37" s="285" t="s">
        <v>135</v>
      </c>
      <c r="B37" s="286">
        <v>0</v>
      </c>
      <c r="C37" s="292">
        <f>B37/'- 3 -'!$D37*100</f>
        <v>0</v>
      </c>
      <c r="D37" s="286">
        <v>83594</v>
      </c>
      <c r="E37" s="292">
        <f>D37/'- 3 -'!$D37*100</f>
        <v>0.17502460046825372</v>
      </c>
    </row>
    <row r="38" spans="1:6" ht="14.1" customHeight="1">
      <c r="A38" s="19" t="s">
        <v>136</v>
      </c>
      <c r="B38" s="20">
        <v>0</v>
      </c>
      <c r="C38" s="70">
        <f>B38/'- 3 -'!$D38*100</f>
        <v>0</v>
      </c>
      <c r="D38" s="20">
        <v>472827</v>
      </c>
      <c r="E38" s="70">
        <f>D38/'- 3 -'!$D38*100</f>
        <v>0.37247817312346732</v>
      </c>
    </row>
    <row r="39" spans="1:6" ht="14.1" customHeight="1">
      <c r="A39" s="285" t="s">
        <v>137</v>
      </c>
      <c r="B39" s="286">
        <v>0</v>
      </c>
      <c r="C39" s="292">
        <f>B39/'- 3 -'!$D39*100</f>
        <v>0</v>
      </c>
      <c r="D39" s="286">
        <v>29531</v>
      </c>
      <c r="E39" s="292">
        <f>D39/'- 3 -'!$D39*100</f>
        <v>0.14282411706441331</v>
      </c>
    </row>
    <row r="40" spans="1:6" ht="14.1" customHeight="1">
      <c r="A40" s="19" t="s">
        <v>138</v>
      </c>
      <c r="B40" s="20">
        <v>0</v>
      </c>
      <c r="C40" s="70">
        <f>B40/'- 3 -'!$D40*100</f>
        <v>0</v>
      </c>
      <c r="D40" s="20">
        <v>124307</v>
      </c>
      <c r="E40" s="70">
        <f>D40/'- 3 -'!$D40*100</f>
        <v>0.12205112418955941</v>
      </c>
    </row>
    <row r="41" spans="1:6" ht="14.1" customHeight="1">
      <c r="A41" s="285" t="s">
        <v>139</v>
      </c>
      <c r="B41" s="286">
        <v>0</v>
      </c>
      <c r="C41" s="292">
        <f>B41/'- 3 -'!$D41*100</f>
        <v>0</v>
      </c>
      <c r="D41" s="286">
        <v>138050</v>
      </c>
      <c r="E41" s="292">
        <f>D41/'- 3 -'!$D41*100</f>
        <v>0.22334974790843196</v>
      </c>
    </row>
    <row r="42" spans="1:6" ht="14.1" customHeight="1">
      <c r="A42" s="19" t="s">
        <v>140</v>
      </c>
      <c r="B42" s="20">
        <v>0</v>
      </c>
      <c r="C42" s="70">
        <f>B42/'- 3 -'!$D42*100</f>
        <v>0</v>
      </c>
      <c r="D42" s="20">
        <v>96700</v>
      </c>
      <c r="E42" s="70">
        <f>D42/'- 3 -'!$D42*100</f>
        <v>0.48289852574126296</v>
      </c>
    </row>
    <row r="43" spans="1:6" ht="14.1" customHeight="1">
      <c r="A43" s="285" t="s">
        <v>141</v>
      </c>
      <c r="B43" s="286">
        <v>0</v>
      </c>
      <c r="C43" s="292">
        <f>B43/'- 3 -'!$D43*100</f>
        <v>0</v>
      </c>
      <c r="D43" s="286">
        <v>26408</v>
      </c>
      <c r="E43" s="292">
        <f>D43/'- 3 -'!$D43*100</f>
        <v>0.20764419685657445</v>
      </c>
    </row>
    <row r="44" spans="1:6" ht="14.1" customHeight="1">
      <c r="A44" s="19" t="s">
        <v>142</v>
      </c>
      <c r="B44" s="20">
        <v>0</v>
      </c>
      <c r="C44" s="70">
        <f>B44/'- 3 -'!$D44*100</f>
        <v>0</v>
      </c>
      <c r="D44" s="20">
        <v>38957</v>
      </c>
      <c r="E44" s="70">
        <f>D44/'- 3 -'!$D44*100</f>
        <v>0.35853773444683701</v>
      </c>
    </row>
    <row r="45" spans="1:6" ht="14.1" customHeight="1">
      <c r="A45" s="285" t="s">
        <v>143</v>
      </c>
      <c r="B45" s="286">
        <v>0</v>
      </c>
      <c r="C45" s="292">
        <f>B45/'- 3 -'!$D45*100</f>
        <v>0</v>
      </c>
      <c r="D45" s="286">
        <v>88659</v>
      </c>
      <c r="E45" s="292">
        <f>D45/'- 3 -'!$D45*100</f>
        <v>0.48360784906682985</v>
      </c>
    </row>
    <row r="46" spans="1:6" ht="14.1" customHeight="1">
      <c r="A46" s="19" t="s">
        <v>144</v>
      </c>
      <c r="B46" s="20">
        <v>0</v>
      </c>
      <c r="C46" s="70">
        <f>B46/'- 3 -'!$D46*100</f>
        <v>0</v>
      </c>
      <c r="D46" s="20">
        <v>434867</v>
      </c>
      <c r="E46" s="70">
        <f>D46/'- 3 -'!$D46*100</f>
        <v>0.11397206040068679</v>
      </c>
    </row>
    <row r="47" spans="1:6" ht="5.0999999999999996" customHeight="1">
      <c r="A47"/>
      <c r="B47" s="22"/>
      <c r="C47"/>
      <c r="D47" s="22"/>
      <c r="E47"/>
    </row>
    <row r="48" spans="1:6" ht="14.1" customHeight="1">
      <c r="A48" s="287" t="s">
        <v>145</v>
      </c>
      <c r="B48" s="288">
        <f>SUM(B11:B46)</f>
        <v>2870973</v>
      </c>
      <c r="C48" s="295">
        <f>B48/'- 3 -'!$D48*100</f>
        <v>0.12958559546447124</v>
      </c>
      <c r="D48" s="288">
        <f>SUM(D11:D46)</f>
        <v>6514907</v>
      </c>
      <c r="E48" s="295">
        <f>D48/'- 3 -'!$D48*100</f>
        <v>0.29405992428025346</v>
      </c>
      <c r="F48" s="6"/>
    </row>
    <row r="49" spans="1:5" ht="5.0999999999999996" customHeight="1">
      <c r="A49" s="21" t="s">
        <v>7</v>
      </c>
      <c r="B49" s="22"/>
      <c r="C49"/>
      <c r="D49" s="22"/>
      <c r="E49"/>
    </row>
    <row r="50" spans="1:5" ht="14.1" customHeight="1">
      <c r="A50" s="19" t="s">
        <v>146</v>
      </c>
      <c r="B50" s="20">
        <v>0</v>
      </c>
      <c r="C50" s="70">
        <f>B50/'- 3 -'!$D50*100</f>
        <v>0</v>
      </c>
      <c r="D50" s="20">
        <v>37548</v>
      </c>
      <c r="E50" s="70">
        <f>D50/'- 3 -'!$D50*100</f>
        <v>1.117808395351932</v>
      </c>
    </row>
    <row r="51" spans="1:5" ht="14.1" customHeight="1">
      <c r="A51" s="285" t="s">
        <v>612</v>
      </c>
      <c r="B51" s="286">
        <v>0</v>
      </c>
      <c r="C51" s="292">
        <f>B51/'- 3 -'!$D51*100</f>
        <v>0</v>
      </c>
      <c r="D51" s="286">
        <v>0</v>
      </c>
      <c r="E51" s="292">
        <f>D51/'- 3 -'!$D51*100</f>
        <v>0</v>
      </c>
    </row>
    <row r="52" spans="1:5" ht="50.1" customHeight="1"/>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sheetPr codeName="Sheet29">
    <pageSetUpPr fitToPage="1"/>
  </sheetPr>
  <dimension ref="A1:G52"/>
  <sheetViews>
    <sheetView showGridLines="0" showZeros="0" workbookViewId="0"/>
  </sheetViews>
  <sheetFormatPr defaultColWidth="15.83203125" defaultRowHeight="12"/>
  <cols>
    <col min="1" max="1" width="33.83203125" style="2" customWidth="1"/>
    <col min="2" max="2" width="17.83203125" style="2" customWidth="1"/>
    <col min="3" max="3" width="14.83203125" style="2" customWidth="1"/>
    <col min="4" max="4" width="18.83203125" style="2" customWidth="1"/>
    <col min="5" max="5" width="14.83203125" style="2" customWidth="1"/>
    <col min="6" max="6" width="17.83203125" style="2" customWidth="1"/>
    <col min="7" max="7" width="14.83203125" style="2" customWidth="1"/>
    <col min="8" max="16384" width="15.83203125" style="2"/>
  </cols>
  <sheetData>
    <row r="1" spans="1:7" ht="6.95" customHeight="1">
      <c r="A1" s="7"/>
      <c r="B1" s="8"/>
      <c r="C1" s="8"/>
      <c r="D1" s="8"/>
      <c r="E1" s="8"/>
      <c r="F1" s="8"/>
      <c r="G1" s="8"/>
    </row>
    <row r="2" spans="1:7" ht="15.95" customHeight="1">
      <c r="A2" s="134"/>
      <c r="B2" s="9" t="s">
        <v>263</v>
      </c>
      <c r="C2" s="10"/>
      <c r="D2" s="158"/>
      <c r="E2" s="10"/>
      <c r="F2" s="73"/>
      <c r="G2" s="396" t="s">
        <v>415</v>
      </c>
    </row>
    <row r="3" spans="1:7" ht="15.95" customHeight="1">
      <c r="A3" s="543"/>
      <c r="B3" s="11" t="str">
        <f>OPYEAR</f>
        <v>OPERATING FUND 2015/2016 ACTUAL</v>
      </c>
      <c r="C3" s="12"/>
      <c r="D3" s="159"/>
      <c r="E3" s="12"/>
      <c r="F3" s="75"/>
      <c r="G3" s="75"/>
    </row>
    <row r="4" spans="1:7" ht="15.95" customHeight="1">
      <c r="B4" s="8"/>
      <c r="C4" s="8"/>
      <c r="D4" s="8"/>
      <c r="E4" s="8"/>
      <c r="F4" s="8"/>
      <c r="G4" s="8"/>
    </row>
    <row r="5" spans="1:7" ht="15.95" customHeight="1">
      <c r="B5" s="8"/>
      <c r="C5" s="8"/>
      <c r="D5" s="8"/>
      <c r="E5" s="8"/>
      <c r="F5" s="8"/>
      <c r="G5" s="8"/>
    </row>
    <row r="6" spans="1:7" ht="15.95" customHeight="1">
      <c r="B6" s="154" t="s">
        <v>16</v>
      </c>
      <c r="C6" s="165"/>
      <c r="D6" s="166"/>
      <c r="E6" s="166"/>
      <c r="F6" s="166"/>
      <c r="G6" s="167"/>
    </row>
    <row r="7" spans="1:7" ht="15.95" customHeight="1">
      <c r="B7" s="319"/>
      <c r="C7" s="311"/>
      <c r="D7" s="691" t="s">
        <v>25</v>
      </c>
      <c r="E7" s="692"/>
      <c r="F7" s="692"/>
      <c r="G7" s="693"/>
    </row>
    <row r="8" spans="1:7" ht="15.95" customHeight="1">
      <c r="A8" s="67"/>
      <c r="B8" s="689" t="s">
        <v>19</v>
      </c>
      <c r="C8" s="649"/>
      <c r="D8" s="648" t="s">
        <v>29</v>
      </c>
      <c r="E8" s="649"/>
      <c r="F8" s="648" t="s">
        <v>109</v>
      </c>
      <c r="G8" s="649"/>
    </row>
    <row r="9" spans="1:7" ht="15.95" customHeight="1">
      <c r="A9" s="35" t="s">
        <v>42</v>
      </c>
      <c r="B9" s="168" t="s">
        <v>43</v>
      </c>
      <c r="C9" s="168" t="s">
        <v>44</v>
      </c>
      <c r="D9" s="168" t="s">
        <v>43</v>
      </c>
      <c r="E9" s="168" t="s">
        <v>44</v>
      </c>
      <c r="F9" s="168" t="s">
        <v>43</v>
      </c>
      <c r="G9" s="168" t="s">
        <v>44</v>
      </c>
    </row>
    <row r="10" spans="1:7" ht="5.0999999999999996" customHeight="1">
      <c r="A10" s="6"/>
    </row>
    <row r="11" spans="1:7" ht="14.1" customHeight="1">
      <c r="A11" s="285" t="s">
        <v>110</v>
      </c>
      <c r="B11" s="286">
        <v>76652</v>
      </c>
      <c r="C11" s="292">
        <f>B11/'- 3 -'!$D11*100</f>
        <v>0.42729070478829034</v>
      </c>
      <c r="D11" s="286">
        <v>1420368</v>
      </c>
      <c r="E11" s="292">
        <f>D11/'- 3 -'!$D11*100</f>
        <v>7.9177326590139128</v>
      </c>
      <c r="F11" s="286">
        <v>291303</v>
      </c>
      <c r="G11" s="292">
        <f>F11/'- 3 -'!$D11*100</f>
        <v>1.6238462685506359</v>
      </c>
    </row>
    <row r="12" spans="1:7" ht="14.1" customHeight="1">
      <c r="A12" s="19" t="s">
        <v>111</v>
      </c>
      <c r="B12" s="20">
        <v>75033</v>
      </c>
      <c r="C12" s="70">
        <f>B12/'- 3 -'!$D12*100</f>
        <v>0.23232007478530989</v>
      </c>
      <c r="D12" s="20">
        <v>2509351</v>
      </c>
      <c r="E12" s="70">
        <f>D12/'- 3 -'!$D12*100</f>
        <v>7.7695495579623923</v>
      </c>
      <c r="F12" s="20">
        <v>228686</v>
      </c>
      <c r="G12" s="70">
        <f>F12/'- 3 -'!$D12*100</f>
        <v>0.70806643240112188</v>
      </c>
    </row>
    <row r="13" spans="1:7" ht="14.1" customHeight="1">
      <c r="A13" s="285" t="s">
        <v>112</v>
      </c>
      <c r="B13" s="286">
        <v>343429</v>
      </c>
      <c r="C13" s="292">
        <f>B13/'- 3 -'!$D13*100</f>
        <v>0.37838110720431878</v>
      </c>
      <c r="D13" s="286">
        <v>6244119</v>
      </c>
      <c r="E13" s="292">
        <f>D13/'- 3 -'!$D13*100</f>
        <v>6.8796073154437281</v>
      </c>
      <c r="F13" s="286">
        <v>573196</v>
      </c>
      <c r="G13" s="292">
        <f>F13/'- 3 -'!$D13*100</f>
        <v>0.63153238988287752</v>
      </c>
    </row>
    <row r="14" spans="1:7" ht="14.1" customHeight="1">
      <c r="A14" s="19" t="s">
        <v>359</v>
      </c>
      <c r="B14" s="20">
        <v>288330</v>
      </c>
      <c r="C14" s="70">
        <f>B14/'- 3 -'!$D14*100</f>
        <v>0.3550202439603371</v>
      </c>
      <c r="D14" s="20">
        <v>7452302</v>
      </c>
      <c r="E14" s="70">
        <f>D14/'- 3 -'!$D14*100</f>
        <v>9.1760069160548952</v>
      </c>
      <c r="F14" s="20">
        <v>970072</v>
      </c>
      <c r="G14" s="70">
        <f>F14/'- 3 -'!$D14*100</f>
        <v>1.1944480217080848</v>
      </c>
    </row>
    <row r="15" spans="1:7" ht="14.1" customHeight="1">
      <c r="A15" s="285" t="s">
        <v>113</v>
      </c>
      <c r="B15" s="286">
        <v>80601</v>
      </c>
      <c r="C15" s="292">
        <f>B15/'- 3 -'!$D15*100</f>
        <v>0.4063660946050881</v>
      </c>
      <c r="D15" s="286">
        <v>1894234</v>
      </c>
      <c r="E15" s="292">
        <f>D15/'- 3 -'!$D15*100</f>
        <v>9.5501603311146823</v>
      </c>
      <c r="F15" s="286">
        <v>162397</v>
      </c>
      <c r="G15" s="292">
        <f>F15/'- 3 -'!$D15*100</f>
        <v>0.81875702119803095</v>
      </c>
    </row>
    <row r="16" spans="1:7" ht="14.1" customHeight="1">
      <c r="A16" s="19" t="s">
        <v>114</v>
      </c>
      <c r="B16" s="20">
        <v>88899</v>
      </c>
      <c r="C16" s="70">
        <f>B16/'- 3 -'!$D16*100</f>
        <v>0.63409402885695243</v>
      </c>
      <c r="D16" s="20">
        <v>1903266</v>
      </c>
      <c r="E16" s="70">
        <f>D16/'- 3 -'!$D16*100</f>
        <v>13.575513851971973</v>
      </c>
      <c r="F16" s="20">
        <v>118704</v>
      </c>
      <c r="G16" s="70">
        <f>F16/'- 3 -'!$D16*100</f>
        <v>0.84668553753625664</v>
      </c>
    </row>
    <row r="17" spans="1:7" ht="14.1" customHeight="1">
      <c r="A17" s="285" t="s">
        <v>115</v>
      </c>
      <c r="B17" s="286">
        <v>74539</v>
      </c>
      <c r="C17" s="292">
        <f>B17/'- 3 -'!$D17*100</f>
        <v>0.42911356406220674</v>
      </c>
      <c r="D17" s="286">
        <v>1613777</v>
      </c>
      <c r="E17" s="292">
        <f>D17/'- 3 -'!$D17*100</f>
        <v>9.2903527022312602</v>
      </c>
      <c r="F17" s="286">
        <v>139779</v>
      </c>
      <c r="G17" s="292">
        <f>F17/'- 3 -'!$D17*100</f>
        <v>0.80469371565289571</v>
      </c>
    </row>
    <row r="18" spans="1:7" ht="14.1" customHeight="1">
      <c r="A18" s="19" t="s">
        <v>116</v>
      </c>
      <c r="B18" s="20">
        <v>898882</v>
      </c>
      <c r="C18" s="70">
        <f>B18/'- 3 -'!$D18*100</f>
        <v>0.7091644420779033</v>
      </c>
      <c r="D18" s="20">
        <v>16580221</v>
      </c>
      <c r="E18" s="70">
        <f>D18/'- 3 -'!$D18*100</f>
        <v>13.080808354148083</v>
      </c>
      <c r="F18" s="20">
        <v>1884730</v>
      </c>
      <c r="G18" s="70">
        <f>F18/'- 3 -'!$D18*100</f>
        <v>1.4869398863449115</v>
      </c>
    </row>
    <row r="19" spans="1:7" ht="14.1" customHeight="1">
      <c r="A19" s="285" t="s">
        <v>117</v>
      </c>
      <c r="B19" s="286">
        <v>185714</v>
      </c>
      <c r="C19" s="292">
        <f>B19/'- 3 -'!$D19*100</f>
        <v>0.41520277918515763</v>
      </c>
      <c r="D19" s="286">
        <v>3768479</v>
      </c>
      <c r="E19" s="292">
        <f>D19/'- 3 -'!$D19*100</f>
        <v>8.425228868587741</v>
      </c>
      <c r="F19" s="286">
        <v>146446</v>
      </c>
      <c r="G19" s="292">
        <f>F19/'- 3 -'!$D19*100</f>
        <v>0.32741089094279163</v>
      </c>
    </row>
    <row r="20" spans="1:7" ht="14.1" customHeight="1">
      <c r="A20" s="19" t="s">
        <v>118</v>
      </c>
      <c r="B20" s="20">
        <v>293436</v>
      </c>
      <c r="C20" s="70">
        <f>B20/'- 3 -'!$D20*100</f>
        <v>0.37479238072364296</v>
      </c>
      <c r="D20" s="20">
        <v>7006726</v>
      </c>
      <c r="E20" s="70">
        <f>D20/'- 3 -'!$D20*100</f>
        <v>8.9493706246617588</v>
      </c>
      <c r="F20" s="20">
        <v>790271</v>
      </c>
      <c r="G20" s="70">
        <f>F20/'- 3 -'!$D20*100</f>
        <v>1.0093770004595688</v>
      </c>
    </row>
    <row r="21" spans="1:7" ht="14.1" customHeight="1">
      <c r="A21" s="285" t="s">
        <v>119</v>
      </c>
      <c r="B21" s="286">
        <v>84142</v>
      </c>
      <c r="C21" s="292">
        <f>B21/'- 3 -'!$D21*100</f>
        <v>0.2395614586377961</v>
      </c>
      <c r="D21" s="286">
        <v>2840658</v>
      </c>
      <c r="E21" s="292">
        <f>D21/'- 3 -'!$D21*100</f>
        <v>8.0876634020004818</v>
      </c>
      <c r="F21" s="286">
        <v>237617</v>
      </c>
      <c r="G21" s="292">
        <f>F21/'- 3 -'!$D21*100</f>
        <v>0.67652153641626289</v>
      </c>
    </row>
    <row r="22" spans="1:7" ht="14.1" customHeight="1">
      <c r="A22" s="19" t="s">
        <v>120</v>
      </c>
      <c r="B22" s="20">
        <v>87756</v>
      </c>
      <c r="C22" s="70">
        <f>B22/'- 3 -'!$D22*100</f>
        <v>0.43910832129182992</v>
      </c>
      <c r="D22" s="20">
        <v>2127020</v>
      </c>
      <c r="E22" s="70">
        <f>D22/'- 3 -'!$D22*100</f>
        <v>10.643057814327774</v>
      </c>
      <c r="F22" s="20">
        <v>179469</v>
      </c>
      <c r="G22" s="70">
        <f>F22/'- 3 -'!$D22*100</f>
        <v>0.89801644689734506</v>
      </c>
    </row>
    <row r="23" spans="1:7" ht="14.1" customHeight="1">
      <c r="A23" s="285" t="s">
        <v>121</v>
      </c>
      <c r="B23" s="286">
        <v>56857</v>
      </c>
      <c r="C23" s="292">
        <f>B23/'- 3 -'!$D23*100</f>
        <v>0.35232458502698899</v>
      </c>
      <c r="D23" s="286">
        <v>1188690</v>
      </c>
      <c r="E23" s="292">
        <f>D23/'- 3 -'!$D23*100</f>
        <v>7.3659305094488206</v>
      </c>
      <c r="F23" s="286">
        <v>221354</v>
      </c>
      <c r="G23" s="292">
        <f>F23/'- 3 -'!$D23*100</f>
        <v>1.3716597111009043</v>
      </c>
    </row>
    <row r="24" spans="1:7" ht="14.1" customHeight="1">
      <c r="A24" s="19" t="s">
        <v>122</v>
      </c>
      <c r="B24" s="20">
        <v>113457</v>
      </c>
      <c r="C24" s="70">
        <f>B24/'- 3 -'!$D24*100</f>
        <v>0.20368770671253836</v>
      </c>
      <c r="D24" s="20">
        <v>5501561</v>
      </c>
      <c r="E24" s="70">
        <f>D24/'- 3 -'!$D24*100</f>
        <v>9.8768726780113987</v>
      </c>
      <c r="F24" s="20">
        <v>503086</v>
      </c>
      <c r="G24" s="70">
        <f>F24/'- 3 -'!$D24*100</f>
        <v>0.90318299989585549</v>
      </c>
    </row>
    <row r="25" spans="1:7" ht="14.1" customHeight="1">
      <c r="A25" s="285" t="s">
        <v>123</v>
      </c>
      <c r="B25" s="286">
        <v>534938</v>
      </c>
      <c r="C25" s="292">
        <f>B25/'- 3 -'!$D25*100</f>
        <v>0.31834134245035306</v>
      </c>
      <c r="D25" s="286">
        <v>15698586</v>
      </c>
      <c r="E25" s="292">
        <f>D25/'- 3 -'!$D25*100</f>
        <v>9.3422208588889148</v>
      </c>
      <c r="F25" s="286">
        <v>900652</v>
      </c>
      <c r="G25" s="292">
        <f>F25/'- 3 -'!$D25*100</f>
        <v>0.53597756517689044</v>
      </c>
    </row>
    <row r="26" spans="1:7" ht="14.1" customHeight="1">
      <c r="A26" s="19" t="s">
        <v>124</v>
      </c>
      <c r="B26" s="20">
        <v>168431</v>
      </c>
      <c r="C26" s="70">
        <f>B26/'- 3 -'!$D26*100</f>
        <v>0.4249965418612926</v>
      </c>
      <c r="D26" s="20">
        <v>4265942</v>
      </c>
      <c r="E26" s="70">
        <f>D26/'- 3 -'!$D26*100</f>
        <v>10.764114668801149</v>
      </c>
      <c r="F26" s="20">
        <v>309190</v>
      </c>
      <c r="G26" s="70">
        <f>F26/'- 3 -'!$D26*100</f>
        <v>0.7801692133757625</v>
      </c>
    </row>
    <row r="27" spans="1:7" ht="14.1" customHeight="1">
      <c r="A27" s="285" t="s">
        <v>125</v>
      </c>
      <c r="B27" s="286">
        <v>199331</v>
      </c>
      <c r="C27" s="292">
        <f>B27/'- 3 -'!$D27*100</f>
        <v>0.47443194063634969</v>
      </c>
      <c r="D27" s="286">
        <v>3996023</v>
      </c>
      <c r="E27" s="292">
        <f>D27/'- 3 -'!$D27*100</f>
        <v>9.51101909245169</v>
      </c>
      <c r="F27" s="286">
        <v>231418</v>
      </c>
      <c r="G27" s="292">
        <f>F27/'- 3 -'!$D27*100</f>
        <v>0.55080288985748715</v>
      </c>
    </row>
    <row r="28" spans="1:7" ht="14.1" customHeight="1">
      <c r="A28" s="19" t="s">
        <v>126</v>
      </c>
      <c r="B28" s="20">
        <v>50842</v>
      </c>
      <c r="C28" s="70">
        <f>B28/'- 3 -'!$D28*100</f>
        <v>0.18284934170173028</v>
      </c>
      <c r="D28" s="20">
        <v>2797597</v>
      </c>
      <c r="E28" s="70">
        <f>D28/'- 3 -'!$D28*100</f>
        <v>10.061342390085668</v>
      </c>
      <c r="F28" s="20">
        <v>105948</v>
      </c>
      <c r="G28" s="70">
        <f>F28/'- 3 -'!$D28*100</f>
        <v>0.38103383137199404</v>
      </c>
    </row>
    <row r="29" spans="1:7" ht="14.1" customHeight="1">
      <c r="A29" s="285" t="s">
        <v>127</v>
      </c>
      <c r="B29" s="286">
        <v>1015523</v>
      </c>
      <c r="C29" s="292">
        <f>B29/'- 3 -'!$D29*100</f>
        <v>0.67529213636559837</v>
      </c>
      <c r="D29" s="286">
        <v>13648631</v>
      </c>
      <c r="E29" s="292">
        <f>D29/'- 3 -'!$D29*100</f>
        <v>9.0759275628968847</v>
      </c>
      <c r="F29" s="286">
        <v>2671467</v>
      </c>
      <c r="G29" s="292">
        <f>F29/'- 3 -'!$D29*100</f>
        <v>1.7764449034243397</v>
      </c>
    </row>
    <row r="30" spans="1:7" ht="14.1" customHeight="1">
      <c r="A30" s="19" t="s">
        <v>128</v>
      </c>
      <c r="B30" s="20">
        <v>90423</v>
      </c>
      <c r="C30" s="70">
        <f>B30/'- 3 -'!$D30*100</f>
        <v>0.65102623587564012</v>
      </c>
      <c r="D30" s="20">
        <v>1083775</v>
      </c>
      <c r="E30" s="70">
        <f>D30/'- 3 -'!$D30*100</f>
        <v>7.8029479091173917</v>
      </c>
      <c r="F30" s="20">
        <v>158654</v>
      </c>
      <c r="G30" s="70">
        <f>F30/'- 3 -'!$D30*100</f>
        <v>1.1422748241776297</v>
      </c>
    </row>
    <row r="31" spans="1:7" ht="14.1" customHeight="1">
      <c r="A31" s="285" t="s">
        <v>129</v>
      </c>
      <c r="B31" s="286">
        <v>91510</v>
      </c>
      <c r="C31" s="292">
        <f>B31/'- 3 -'!$D31*100</f>
        <v>0.25566609399063422</v>
      </c>
      <c r="D31" s="286">
        <v>3308488</v>
      </c>
      <c r="E31" s="292">
        <f>D31/'- 3 -'!$D31*100</f>
        <v>9.2434510323995802</v>
      </c>
      <c r="F31" s="286">
        <v>178021</v>
      </c>
      <c r="G31" s="292">
        <f>F31/'- 3 -'!$D31*100</f>
        <v>0.49736568373190576</v>
      </c>
    </row>
    <row r="32" spans="1:7" ht="14.1" customHeight="1">
      <c r="A32" s="19" t="s">
        <v>130</v>
      </c>
      <c r="B32" s="20">
        <v>84479</v>
      </c>
      <c r="C32" s="70">
        <f>B32/'- 3 -'!$D32*100</f>
        <v>0.30257649369721545</v>
      </c>
      <c r="D32" s="20">
        <v>2382977</v>
      </c>
      <c r="E32" s="70">
        <f>D32/'- 3 -'!$D32*100</f>
        <v>8.5350539805289998</v>
      </c>
      <c r="F32" s="20">
        <v>502590</v>
      </c>
      <c r="G32" s="70">
        <f>F32/'- 3 -'!$D32*100</f>
        <v>1.800115057792866</v>
      </c>
    </row>
    <row r="33" spans="1:7" ht="14.1" customHeight="1">
      <c r="A33" s="285" t="s">
        <v>131</v>
      </c>
      <c r="B33" s="286">
        <v>99174</v>
      </c>
      <c r="C33" s="292">
        <f>B33/'- 3 -'!$D33*100</f>
        <v>0.37477895660032928</v>
      </c>
      <c r="D33" s="286">
        <v>2641664</v>
      </c>
      <c r="E33" s="292">
        <f>D33/'- 3 -'!$D33*100</f>
        <v>9.9828591930208752</v>
      </c>
      <c r="F33" s="286">
        <v>252414</v>
      </c>
      <c r="G33" s="292">
        <f>F33/'- 3 -'!$D33*100</f>
        <v>0.953873551044785</v>
      </c>
    </row>
    <row r="34" spans="1:7" ht="14.1" customHeight="1">
      <c r="A34" s="19" t="s">
        <v>132</v>
      </c>
      <c r="B34" s="20">
        <v>110707</v>
      </c>
      <c r="C34" s="70">
        <f>B34/'- 3 -'!$D34*100</f>
        <v>0.39687009388270061</v>
      </c>
      <c r="D34" s="20">
        <v>2054095</v>
      </c>
      <c r="E34" s="70">
        <f>D34/'- 3 -'!$D34*100</f>
        <v>7.3636615163809509</v>
      </c>
      <c r="F34" s="20">
        <v>323430</v>
      </c>
      <c r="G34" s="70">
        <f>F34/'- 3 -'!$D34*100</f>
        <v>1.1594541850513687</v>
      </c>
    </row>
    <row r="35" spans="1:7" ht="14.1" customHeight="1">
      <c r="A35" s="285" t="s">
        <v>133</v>
      </c>
      <c r="B35" s="286">
        <v>837581</v>
      </c>
      <c r="C35" s="292">
        <f>B35/'- 3 -'!$D35*100</f>
        <v>0.46393195616638661</v>
      </c>
      <c r="D35" s="286">
        <v>17800015</v>
      </c>
      <c r="E35" s="292">
        <f>D35/'- 3 -'!$D35*100</f>
        <v>9.8593399071146841</v>
      </c>
      <c r="F35" s="286">
        <v>848324</v>
      </c>
      <c r="G35" s="292">
        <f>F35/'- 3 -'!$D35*100</f>
        <v>0.46988245051271899</v>
      </c>
    </row>
    <row r="36" spans="1:7" ht="14.1" customHeight="1">
      <c r="A36" s="19" t="s">
        <v>134</v>
      </c>
      <c r="B36" s="20">
        <v>52694</v>
      </c>
      <c r="C36" s="70">
        <f>B36/'- 3 -'!$D36*100</f>
        <v>0.2348381353172864</v>
      </c>
      <c r="D36" s="20">
        <v>2213263</v>
      </c>
      <c r="E36" s="70">
        <f>D36/'- 3 -'!$D36*100</f>
        <v>9.8637141968107045</v>
      </c>
      <c r="F36" s="20">
        <v>142734</v>
      </c>
      <c r="G36" s="70">
        <f>F36/'- 3 -'!$D36*100</f>
        <v>0.63611391062317446</v>
      </c>
    </row>
    <row r="37" spans="1:7" ht="14.1" customHeight="1">
      <c r="A37" s="285" t="s">
        <v>135</v>
      </c>
      <c r="B37" s="286">
        <v>118866</v>
      </c>
      <c r="C37" s="292">
        <f>B37/'- 3 -'!$D37*100</f>
        <v>0.2488752082596771</v>
      </c>
      <c r="D37" s="286">
        <v>3860571</v>
      </c>
      <c r="E37" s="292">
        <f>D37/'- 3 -'!$D37*100</f>
        <v>8.083054966317281</v>
      </c>
      <c r="F37" s="286">
        <v>489188</v>
      </c>
      <c r="G37" s="292">
        <f>F37/'- 3 -'!$D37*100</f>
        <v>1.0242354027067027</v>
      </c>
    </row>
    <row r="38" spans="1:7" ht="14.1" customHeight="1">
      <c r="A38" s="19" t="s">
        <v>136</v>
      </c>
      <c r="B38" s="20">
        <v>514334</v>
      </c>
      <c r="C38" s="70">
        <f>B38/'- 3 -'!$D38*100</f>
        <v>0.40517607644082387</v>
      </c>
      <c r="D38" s="20">
        <v>9975128</v>
      </c>
      <c r="E38" s="70">
        <f>D38/'- 3 -'!$D38*100</f>
        <v>7.8580907057184675</v>
      </c>
      <c r="F38" s="20">
        <v>565377</v>
      </c>
      <c r="G38" s="70">
        <f>F38/'- 3 -'!$D38*100</f>
        <v>0.44538613929836196</v>
      </c>
    </row>
    <row r="39" spans="1:7" ht="14.1" customHeight="1">
      <c r="A39" s="285" t="s">
        <v>137</v>
      </c>
      <c r="B39" s="286">
        <v>81186</v>
      </c>
      <c r="C39" s="292">
        <f>B39/'- 3 -'!$D39*100</f>
        <v>0.39264903890797664</v>
      </c>
      <c r="D39" s="286">
        <v>1881691</v>
      </c>
      <c r="E39" s="292">
        <f>D39/'- 3 -'!$D39*100</f>
        <v>9.1006351177763332</v>
      </c>
      <c r="F39" s="286">
        <v>163451</v>
      </c>
      <c r="G39" s="292">
        <f>F39/'- 3 -'!$D39*100</f>
        <v>0.79051656761692513</v>
      </c>
    </row>
    <row r="40" spans="1:7" ht="14.1" customHeight="1">
      <c r="A40" s="19" t="s">
        <v>138</v>
      </c>
      <c r="B40" s="20">
        <v>478045</v>
      </c>
      <c r="C40" s="70">
        <f>B40/'- 3 -'!$D40*100</f>
        <v>0.46936962249268288</v>
      </c>
      <c r="D40" s="20">
        <v>7841689</v>
      </c>
      <c r="E40" s="70">
        <f>D40/'- 3 -'!$D40*100</f>
        <v>7.6993810324028562</v>
      </c>
      <c r="F40" s="20">
        <v>1487769</v>
      </c>
      <c r="G40" s="70">
        <f>F40/'- 3 -'!$D40*100</f>
        <v>1.4607695381947645</v>
      </c>
    </row>
    <row r="41" spans="1:7" ht="14.1" customHeight="1">
      <c r="A41" s="285" t="s">
        <v>139</v>
      </c>
      <c r="B41" s="286">
        <v>199901</v>
      </c>
      <c r="C41" s="292">
        <f>B41/'- 3 -'!$D41*100</f>
        <v>0.32341787726652266</v>
      </c>
      <c r="D41" s="286">
        <v>5063252</v>
      </c>
      <c r="E41" s="292">
        <f>D41/'- 3 -'!$D41*100</f>
        <v>8.1917860035991588</v>
      </c>
      <c r="F41" s="286">
        <v>499252</v>
      </c>
      <c r="G41" s="292">
        <f>F41/'- 3 -'!$D41*100</f>
        <v>0.80773493910018446</v>
      </c>
    </row>
    <row r="42" spans="1:7" ht="14.1" customHeight="1">
      <c r="A42" s="19" t="s">
        <v>140</v>
      </c>
      <c r="B42" s="20">
        <v>68686</v>
      </c>
      <c r="C42" s="70">
        <f>B42/'- 3 -'!$D42*100</f>
        <v>0.34300277289621911</v>
      </c>
      <c r="D42" s="20">
        <v>1947758</v>
      </c>
      <c r="E42" s="70">
        <f>D42/'- 3 -'!$D42*100</f>
        <v>9.7266749400284471</v>
      </c>
      <c r="F42" s="20">
        <v>187162</v>
      </c>
      <c r="G42" s="70">
        <f>F42/'- 3 -'!$D42*100</f>
        <v>0.93464585185921678</v>
      </c>
    </row>
    <row r="43" spans="1:7" ht="14.1" customHeight="1">
      <c r="A43" s="285" t="s">
        <v>141</v>
      </c>
      <c r="B43" s="286">
        <v>16839</v>
      </c>
      <c r="C43" s="292">
        <f>B43/'- 3 -'!$D43*100</f>
        <v>0.13240384091441446</v>
      </c>
      <c r="D43" s="286">
        <v>867142</v>
      </c>
      <c r="E43" s="292">
        <f>D43/'- 3 -'!$D43*100</f>
        <v>6.8182749223948678</v>
      </c>
      <c r="F43" s="286">
        <v>95113</v>
      </c>
      <c r="G43" s="292">
        <f>F43/'- 3 -'!$D43*100</f>
        <v>0.7478666500916149</v>
      </c>
    </row>
    <row r="44" spans="1:7" ht="14.1" customHeight="1">
      <c r="A44" s="19" t="s">
        <v>142</v>
      </c>
      <c r="B44" s="20">
        <v>30497</v>
      </c>
      <c r="C44" s="70">
        <f>B44/'- 3 -'!$D44*100</f>
        <v>0.28067677920335726</v>
      </c>
      <c r="D44" s="20">
        <v>1050133</v>
      </c>
      <c r="E44" s="70">
        <f>D44/'- 3 -'!$D44*100</f>
        <v>9.6648177910994253</v>
      </c>
      <c r="F44" s="20">
        <v>146887</v>
      </c>
      <c r="G44" s="70">
        <f>F44/'- 3 -'!$D44*100</f>
        <v>1.3518631362705689</v>
      </c>
    </row>
    <row r="45" spans="1:7" ht="14.1" customHeight="1">
      <c r="A45" s="285" t="s">
        <v>143</v>
      </c>
      <c r="B45" s="286">
        <v>49091</v>
      </c>
      <c r="C45" s="292">
        <f>B45/'- 3 -'!$D45*100</f>
        <v>0.26777645719599519</v>
      </c>
      <c r="D45" s="286">
        <v>1542706</v>
      </c>
      <c r="E45" s="292">
        <f>D45/'- 3 -'!$D45*100</f>
        <v>8.4149914887658639</v>
      </c>
      <c r="F45" s="286">
        <v>147664</v>
      </c>
      <c r="G45" s="292">
        <f>F45/'- 3 -'!$D45*100</f>
        <v>0.80546215753171535</v>
      </c>
    </row>
    <row r="46" spans="1:7" ht="14.1" customHeight="1">
      <c r="A46" s="19" t="s">
        <v>144</v>
      </c>
      <c r="B46" s="20">
        <v>1002347</v>
      </c>
      <c r="C46" s="70">
        <f>B46/'- 3 -'!$D46*100</f>
        <v>0.26269998143443213</v>
      </c>
      <c r="D46" s="20">
        <v>36762321</v>
      </c>
      <c r="E46" s="70">
        <f>D46/'- 3 -'!$D46*100</f>
        <v>9.6348480557996723</v>
      </c>
      <c r="F46" s="20">
        <v>4758366</v>
      </c>
      <c r="G46" s="70">
        <f>F46/'- 3 -'!$D46*100</f>
        <v>1.2470957261888678</v>
      </c>
    </row>
    <row r="47" spans="1:7" ht="5.0999999999999996" customHeight="1">
      <c r="A47"/>
      <c r="B47" s="22"/>
      <c r="C47"/>
      <c r="D47" s="22"/>
      <c r="E47"/>
      <c r="F47" s="22"/>
      <c r="G47"/>
    </row>
    <row r="48" spans="1:7" ht="14.1" customHeight="1">
      <c r="A48" s="287" t="s">
        <v>145</v>
      </c>
      <c r="B48" s="288">
        <f>SUM(B11:B46)</f>
        <v>8643152</v>
      </c>
      <c r="C48" s="295">
        <f>B48/'- 3 -'!$D48*100</f>
        <v>0.39012139738337337</v>
      </c>
      <c r="D48" s="288">
        <f>SUM(D11:D46)</f>
        <v>204734219</v>
      </c>
      <c r="E48" s="295">
        <f>D48/'- 3 -'!$D48*100</f>
        <v>9.2409805599246191</v>
      </c>
      <c r="F48" s="288">
        <f>SUM(F11:F46)</f>
        <v>21612181</v>
      </c>
      <c r="G48" s="295">
        <f>F48/'- 3 -'!$D48*100</f>
        <v>0.9754976254290556</v>
      </c>
    </row>
    <row r="49" spans="1:7" ht="5.0999999999999996" customHeight="1">
      <c r="A49" s="21" t="s">
        <v>7</v>
      </c>
      <c r="B49" s="22"/>
      <c r="C49"/>
      <c r="D49" s="22"/>
      <c r="E49"/>
      <c r="F49" s="22"/>
      <c r="G49"/>
    </row>
    <row r="50" spans="1:7" ht="14.1" customHeight="1">
      <c r="A50" s="19" t="s">
        <v>146</v>
      </c>
      <c r="B50" s="20">
        <v>14485</v>
      </c>
      <c r="C50" s="70">
        <f>B50/'- 3 -'!$D50*100</f>
        <v>0.43122016103847693</v>
      </c>
      <c r="D50" s="20">
        <v>393526</v>
      </c>
      <c r="E50" s="70">
        <f>D50/'- 3 -'!$D50*100</f>
        <v>11.715315505200394</v>
      </c>
      <c r="F50" s="20">
        <v>0</v>
      </c>
      <c r="G50" s="70">
        <f>F50/'- 3 -'!$D50*100</f>
        <v>0</v>
      </c>
    </row>
    <row r="51" spans="1:7" ht="14.1" customHeight="1">
      <c r="A51" s="285" t="s">
        <v>612</v>
      </c>
      <c r="B51" s="286">
        <v>214992</v>
      </c>
      <c r="C51" s="292">
        <f>B51/'- 3 -'!$D51*100</f>
        <v>0.81090677762999874</v>
      </c>
      <c r="D51" s="286">
        <v>2791174</v>
      </c>
      <c r="E51" s="292">
        <f>D51/'- 3 -'!$D51*100</f>
        <v>10.527749470420453</v>
      </c>
      <c r="F51" s="286">
        <v>5739</v>
      </c>
      <c r="G51" s="292">
        <f>F51/'- 3 -'!$D51*100</f>
        <v>2.164635891948799E-2</v>
      </c>
    </row>
    <row r="52" spans="1:7" ht="50.1" customHeight="1"/>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sheetPr codeName="Sheet30">
    <pageSetUpPr fitToPage="1"/>
  </sheetPr>
  <dimension ref="A1:F52"/>
  <sheetViews>
    <sheetView showGridLines="0" showZeros="0" workbookViewId="0"/>
  </sheetViews>
  <sheetFormatPr defaultColWidth="15.83203125" defaultRowHeight="12"/>
  <cols>
    <col min="1" max="1" width="32.83203125" style="2" customWidth="1"/>
    <col min="2" max="2" width="19.83203125" style="2" customWidth="1"/>
    <col min="3" max="3" width="15.83203125" style="2" customWidth="1"/>
    <col min="4" max="4" width="19.83203125" style="2" customWidth="1"/>
    <col min="5" max="5" width="15.83203125" style="2"/>
    <col min="6" max="6" width="28.83203125" style="2" customWidth="1"/>
    <col min="7" max="16384" width="15.83203125" style="2"/>
  </cols>
  <sheetData>
    <row r="1" spans="1:6" ht="6.95" customHeight="1">
      <c r="A1" s="7"/>
      <c r="B1" s="7"/>
      <c r="C1" s="7"/>
      <c r="D1" s="8"/>
      <c r="E1" s="8"/>
      <c r="F1" s="8"/>
    </row>
    <row r="2" spans="1:6" ht="15.95" customHeight="1">
      <c r="A2" s="134"/>
      <c r="B2" s="9" t="s">
        <v>263</v>
      </c>
      <c r="C2" s="169"/>
      <c r="D2" s="158"/>
      <c r="E2" s="10"/>
      <c r="F2" s="396" t="s">
        <v>416</v>
      </c>
    </row>
    <row r="3" spans="1:6" ht="15.95" customHeight="1">
      <c r="A3" s="543"/>
      <c r="B3" s="11" t="str">
        <f>OPYEAR</f>
        <v>OPERATING FUND 2015/2016 ACTUAL</v>
      </c>
      <c r="C3" s="29"/>
      <c r="D3" s="159"/>
      <c r="E3" s="12"/>
      <c r="F3" s="66"/>
    </row>
    <row r="4" spans="1:6" ht="15.95" customHeight="1">
      <c r="D4" s="8"/>
      <c r="E4" s="8"/>
      <c r="F4" s="8"/>
    </row>
    <row r="5" spans="1:6" ht="15.95" customHeight="1">
      <c r="D5" s="8"/>
      <c r="E5" s="8"/>
      <c r="F5" s="8"/>
    </row>
    <row r="6" spans="1:6" ht="15.95" customHeight="1">
      <c r="B6" s="154" t="s">
        <v>16</v>
      </c>
      <c r="C6" s="166"/>
      <c r="D6" s="39"/>
      <c r="E6" s="170"/>
      <c r="F6" s="43"/>
    </row>
    <row r="7" spans="1:6" ht="15.95" customHeight="1">
      <c r="B7" s="361"/>
      <c r="C7" s="311"/>
      <c r="D7" s="361"/>
      <c r="E7" s="311"/>
      <c r="F7" s="8"/>
    </row>
    <row r="8" spans="1:6" ht="15.95" customHeight="1">
      <c r="A8" s="67"/>
      <c r="B8" s="689" t="s">
        <v>35</v>
      </c>
      <c r="C8" s="649"/>
      <c r="D8" s="648" t="s">
        <v>36</v>
      </c>
      <c r="E8" s="649"/>
      <c r="F8" s="8"/>
    </row>
    <row r="9" spans="1:6" ht="15.95" customHeight="1">
      <c r="A9" s="35" t="s">
        <v>42</v>
      </c>
      <c r="B9" s="168" t="s">
        <v>43</v>
      </c>
      <c r="C9" s="168" t="s">
        <v>44</v>
      </c>
      <c r="D9" s="171" t="s">
        <v>43</v>
      </c>
      <c r="E9" s="168" t="s">
        <v>44</v>
      </c>
    </row>
    <row r="10" spans="1:6" ht="5.0999999999999996" customHeight="1">
      <c r="A10" s="6"/>
    </row>
    <row r="11" spans="1:6" ht="14.1" customHeight="1">
      <c r="A11" s="285" t="s">
        <v>110</v>
      </c>
      <c r="B11" s="286">
        <v>53648</v>
      </c>
      <c r="C11" s="292">
        <f>B11/'- 3 -'!$D11*100</f>
        <v>0.29905666819498777</v>
      </c>
      <c r="D11" s="286">
        <v>15802</v>
      </c>
      <c r="E11" s="292">
        <f>D11/'- 3 -'!$D11*100</f>
        <v>8.8087039047442528E-2</v>
      </c>
    </row>
    <row r="12" spans="1:6" ht="14.1" customHeight="1">
      <c r="A12" s="19" t="s">
        <v>111</v>
      </c>
      <c r="B12" s="20">
        <v>251570</v>
      </c>
      <c r="C12" s="70">
        <f>B12/'- 3 -'!$D12*100</f>
        <v>0.77892075771647695</v>
      </c>
      <c r="D12" s="20">
        <v>124351</v>
      </c>
      <c r="E12" s="70">
        <f>D12/'- 3 -'!$D12*100</f>
        <v>0.3850203726310833</v>
      </c>
    </row>
    <row r="13" spans="1:6" ht="14.1" customHeight="1">
      <c r="A13" s="285" t="s">
        <v>112</v>
      </c>
      <c r="B13" s="286">
        <v>230730</v>
      </c>
      <c r="C13" s="292">
        <f>B13/'- 3 -'!$D13*100</f>
        <v>0.25421229094005598</v>
      </c>
      <c r="D13" s="286">
        <v>116474</v>
      </c>
      <c r="E13" s="292">
        <f>D13/'- 3 -'!$D13*100</f>
        <v>0.12832801272028813</v>
      </c>
    </row>
    <row r="14" spans="1:6" ht="14.1" customHeight="1">
      <c r="A14" s="19" t="s">
        <v>359</v>
      </c>
      <c r="B14" s="20">
        <v>102080</v>
      </c>
      <c r="C14" s="70">
        <f>B14/'- 3 -'!$D14*100</f>
        <v>0.12569093227715189</v>
      </c>
      <c r="D14" s="20">
        <v>250191</v>
      </c>
      <c r="E14" s="70">
        <f>D14/'- 3 -'!$D14*100</f>
        <v>0.3080597574192096</v>
      </c>
    </row>
    <row r="15" spans="1:6" ht="14.1" customHeight="1">
      <c r="A15" s="285" t="s">
        <v>113</v>
      </c>
      <c r="B15" s="286">
        <v>101118</v>
      </c>
      <c r="C15" s="292">
        <f>B15/'- 3 -'!$D15*100</f>
        <v>0.50980666188108459</v>
      </c>
      <c r="D15" s="286">
        <v>68620</v>
      </c>
      <c r="E15" s="292">
        <f>D15/'- 3 -'!$D15*100</f>
        <v>0.34596148201388505</v>
      </c>
    </row>
    <row r="16" spans="1:6" ht="14.1" customHeight="1">
      <c r="A16" s="19" t="s">
        <v>114</v>
      </c>
      <c r="B16" s="20">
        <v>7649</v>
      </c>
      <c r="C16" s="70">
        <f>B16/'- 3 -'!$D16*100</f>
        <v>5.4558377785203768E-2</v>
      </c>
      <c r="D16" s="20">
        <v>109467</v>
      </c>
      <c r="E16" s="70">
        <f>D16/'- 3 -'!$D16*100</f>
        <v>0.78080035834918282</v>
      </c>
    </row>
    <row r="17" spans="1:5" ht="14.1" customHeight="1">
      <c r="A17" s="285" t="s">
        <v>115</v>
      </c>
      <c r="B17" s="286">
        <v>124573</v>
      </c>
      <c r="C17" s="292">
        <f>B17/'- 3 -'!$D17*100</f>
        <v>0.71715429528060859</v>
      </c>
      <c r="D17" s="286">
        <v>65274</v>
      </c>
      <c r="E17" s="292">
        <f>D17/'- 3 -'!$D17*100</f>
        <v>0.37577588618839108</v>
      </c>
    </row>
    <row r="18" spans="1:5" ht="14.1" customHeight="1">
      <c r="A18" s="19" t="s">
        <v>116</v>
      </c>
      <c r="B18" s="20">
        <v>2882007</v>
      </c>
      <c r="C18" s="70">
        <f>B18/'- 3 -'!$D18*100</f>
        <v>2.2737321319367969</v>
      </c>
      <c r="D18" s="20">
        <v>59230</v>
      </c>
      <c r="E18" s="70">
        <f>D18/'- 3 -'!$D18*100</f>
        <v>4.6728947630806067E-2</v>
      </c>
    </row>
    <row r="19" spans="1:5" ht="14.1" customHeight="1">
      <c r="A19" s="285" t="s">
        <v>117</v>
      </c>
      <c r="B19" s="286">
        <v>44076</v>
      </c>
      <c r="C19" s="292">
        <f>B19/'- 3 -'!$D19*100</f>
        <v>9.8541185346096738E-2</v>
      </c>
      <c r="D19" s="286">
        <v>37895</v>
      </c>
      <c r="E19" s="292">
        <f>D19/'- 3 -'!$D19*100</f>
        <v>8.4722257434665937E-2</v>
      </c>
    </row>
    <row r="20" spans="1:5" ht="14.1" customHeight="1">
      <c r="A20" s="19" t="s">
        <v>118</v>
      </c>
      <c r="B20" s="20">
        <v>204237</v>
      </c>
      <c r="C20" s="70">
        <f>B20/'- 3 -'!$D20*100</f>
        <v>0.260862578081267</v>
      </c>
      <c r="D20" s="20">
        <v>444885</v>
      </c>
      <c r="E20" s="70">
        <f>D20/'- 3 -'!$D20*100</f>
        <v>0.56823126098446641</v>
      </c>
    </row>
    <row r="21" spans="1:5" ht="14.1" customHeight="1">
      <c r="A21" s="285" t="s">
        <v>119</v>
      </c>
      <c r="B21" s="286">
        <v>232856</v>
      </c>
      <c r="C21" s="292">
        <f>B21/'- 3 -'!$D21*100</f>
        <v>0.66296644972264318</v>
      </c>
      <c r="D21" s="286">
        <v>83875</v>
      </c>
      <c r="E21" s="292">
        <f>D21/'- 3 -'!$D21*100</f>
        <v>0.23880128049303728</v>
      </c>
    </row>
    <row r="22" spans="1:5" ht="14.1" customHeight="1">
      <c r="A22" s="19" t="s">
        <v>120</v>
      </c>
      <c r="B22" s="20">
        <v>48742</v>
      </c>
      <c r="C22" s="70">
        <f>B22/'- 3 -'!$D22*100</f>
        <v>0.24389235831631309</v>
      </c>
      <c r="D22" s="20">
        <v>33082</v>
      </c>
      <c r="E22" s="70">
        <f>D22/'- 3 -'!$D22*100</f>
        <v>0.16553376959952956</v>
      </c>
    </row>
    <row r="23" spans="1:5" ht="14.1" customHeight="1">
      <c r="A23" s="285" t="s">
        <v>121</v>
      </c>
      <c r="B23" s="286">
        <v>74110</v>
      </c>
      <c r="C23" s="292">
        <f>B23/'- 3 -'!$D23*100</f>
        <v>0.45923588997573134</v>
      </c>
      <c r="D23" s="286">
        <v>9979</v>
      </c>
      <c r="E23" s="292">
        <f>D23/'- 3 -'!$D23*100</f>
        <v>6.1836660991334808E-2</v>
      </c>
    </row>
    <row r="24" spans="1:5" ht="14.1" customHeight="1">
      <c r="A24" s="19" t="s">
        <v>122</v>
      </c>
      <c r="B24" s="20">
        <v>298345</v>
      </c>
      <c r="C24" s="70">
        <f>B24/'- 3 -'!$D24*100</f>
        <v>0.53561445181127876</v>
      </c>
      <c r="D24" s="20">
        <v>157387</v>
      </c>
      <c r="E24" s="70">
        <f>D24/'- 3 -'!$D24*100</f>
        <v>0.28255459862649529</v>
      </c>
    </row>
    <row r="25" spans="1:5" ht="14.1" customHeight="1">
      <c r="A25" s="285" t="s">
        <v>123</v>
      </c>
      <c r="B25" s="286">
        <v>552108</v>
      </c>
      <c r="C25" s="292">
        <f>B25/'- 3 -'!$D25*100</f>
        <v>0.32855920106176706</v>
      </c>
      <c r="D25" s="286">
        <v>325322</v>
      </c>
      <c r="E25" s="292">
        <f>D25/'- 3 -'!$D25*100</f>
        <v>0.19359896326047835</v>
      </c>
    </row>
    <row r="26" spans="1:5" ht="14.1" customHeight="1">
      <c r="A26" s="19" t="s">
        <v>124</v>
      </c>
      <c r="B26" s="20">
        <v>201327</v>
      </c>
      <c r="C26" s="70">
        <f>B26/'- 3 -'!$D26*100</f>
        <v>0.50800196390990049</v>
      </c>
      <c r="D26" s="20">
        <v>59951</v>
      </c>
      <c r="E26" s="70">
        <f>D26/'- 3 -'!$D26*100</f>
        <v>0.15127243607843185</v>
      </c>
    </row>
    <row r="27" spans="1:5" ht="14.1" customHeight="1">
      <c r="A27" s="285" t="s">
        <v>125</v>
      </c>
      <c r="B27" s="286">
        <v>180730</v>
      </c>
      <c r="C27" s="292">
        <f>B27/'- 3 -'!$D27*100</f>
        <v>0.43015930603472352</v>
      </c>
      <c r="D27" s="286">
        <v>93359</v>
      </c>
      <c r="E27" s="292">
        <f>D27/'- 3 -'!$D27*100</f>
        <v>0.2222057359159838</v>
      </c>
    </row>
    <row r="28" spans="1:5" ht="14.1" customHeight="1">
      <c r="A28" s="19" t="s">
        <v>126</v>
      </c>
      <c r="B28" s="20">
        <v>71453</v>
      </c>
      <c r="C28" s="70">
        <f>B28/'- 3 -'!$D28*100</f>
        <v>0.25697521758809128</v>
      </c>
      <c r="D28" s="20">
        <v>67228</v>
      </c>
      <c r="E28" s="70">
        <f>D28/'- 3 -'!$D28*100</f>
        <v>0.24178033011926997</v>
      </c>
    </row>
    <row r="29" spans="1:5" ht="14.1" customHeight="1">
      <c r="A29" s="285" t="s">
        <v>127</v>
      </c>
      <c r="B29" s="286">
        <v>549512</v>
      </c>
      <c r="C29" s="292">
        <f>B29/'- 3 -'!$D29*100</f>
        <v>0.3654088902354084</v>
      </c>
      <c r="D29" s="286">
        <v>656103</v>
      </c>
      <c r="E29" s="292">
        <f>D29/'- 3 -'!$D29*100</f>
        <v>0.4362886872536399</v>
      </c>
    </row>
    <row r="30" spans="1:5" ht="14.1" customHeight="1">
      <c r="A30" s="19" t="s">
        <v>128</v>
      </c>
      <c r="B30" s="20">
        <v>46705</v>
      </c>
      <c r="C30" s="70">
        <f>B30/'- 3 -'!$D30*100</f>
        <v>0.33626599810415242</v>
      </c>
      <c r="D30" s="20">
        <v>25738</v>
      </c>
      <c r="E30" s="70">
        <f>D30/'- 3 -'!$D30*100</f>
        <v>0.18530808819622469</v>
      </c>
    </row>
    <row r="31" spans="1:5" ht="14.1" customHeight="1">
      <c r="A31" s="285" t="s">
        <v>129</v>
      </c>
      <c r="B31" s="286">
        <v>75424</v>
      </c>
      <c r="C31" s="292">
        <f>B31/'- 3 -'!$D31*100</f>
        <v>0.21072406811440933</v>
      </c>
      <c r="D31" s="286">
        <v>91394</v>
      </c>
      <c r="E31" s="292">
        <f>D31/'- 3 -'!$D31*100</f>
        <v>0.25534200627450582</v>
      </c>
    </row>
    <row r="32" spans="1:5" ht="14.1" customHeight="1">
      <c r="A32" s="19" t="s">
        <v>130</v>
      </c>
      <c r="B32" s="20">
        <v>180897</v>
      </c>
      <c r="C32" s="70">
        <f>B32/'- 3 -'!$D32*100</f>
        <v>0.6479146294386201</v>
      </c>
      <c r="D32" s="20">
        <v>100062</v>
      </c>
      <c r="E32" s="70">
        <f>D32/'- 3 -'!$D32*100</f>
        <v>0.35838976683354179</v>
      </c>
    </row>
    <row r="33" spans="1:5" ht="14.1" customHeight="1">
      <c r="A33" s="285" t="s">
        <v>131</v>
      </c>
      <c r="B33" s="286">
        <v>117752</v>
      </c>
      <c r="C33" s="292">
        <f>B33/'- 3 -'!$D33*100</f>
        <v>0.44498529551699006</v>
      </c>
      <c r="D33" s="286">
        <v>40590</v>
      </c>
      <c r="E33" s="292">
        <f>D33/'- 3 -'!$D33*100</f>
        <v>0.15338977805077303</v>
      </c>
    </row>
    <row r="34" spans="1:5" ht="14.1" customHeight="1">
      <c r="A34" s="19" t="s">
        <v>132</v>
      </c>
      <c r="B34" s="20">
        <v>113442</v>
      </c>
      <c r="C34" s="70">
        <f>B34/'- 3 -'!$D34*100</f>
        <v>0.40667471063475052</v>
      </c>
      <c r="D34" s="20">
        <v>187826</v>
      </c>
      <c r="E34" s="70">
        <f>D34/'- 3 -'!$D34*100</f>
        <v>0.67333160733839892</v>
      </c>
    </row>
    <row r="35" spans="1:5" ht="14.1" customHeight="1">
      <c r="A35" s="285" t="s">
        <v>133</v>
      </c>
      <c r="B35" s="286">
        <v>451307</v>
      </c>
      <c r="C35" s="292">
        <f>B35/'- 3 -'!$D35*100</f>
        <v>0.2499767059443605</v>
      </c>
      <c r="D35" s="286">
        <v>646846</v>
      </c>
      <c r="E35" s="292">
        <f>D35/'- 3 -'!$D35*100</f>
        <v>0.35828478692616295</v>
      </c>
    </row>
    <row r="36" spans="1:5" ht="14.1" customHeight="1">
      <c r="A36" s="19" t="s">
        <v>134</v>
      </c>
      <c r="B36" s="20">
        <v>211767</v>
      </c>
      <c r="C36" s="70">
        <f>B36/'- 3 -'!$D36*100</f>
        <v>0.94376907051534875</v>
      </c>
      <c r="D36" s="20">
        <v>66397</v>
      </c>
      <c r="E36" s="70">
        <f>D36/'- 3 -'!$D36*100</f>
        <v>0.29590745949561365</v>
      </c>
    </row>
    <row r="37" spans="1:5" ht="14.1" customHeight="1">
      <c r="A37" s="285" t="s">
        <v>135</v>
      </c>
      <c r="B37" s="286">
        <v>121496</v>
      </c>
      <c r="C37" s="292">
        <f>B37/'- 3 -'!$D37*100</f>
        <v>0.25438176015612307</v>
      </c>
      <c r="D37" s="286">
        <v>129745</v>
      </c>
      <c r="E37" s="292">
        <f>D37/'- 3 -'!$D37*100</f>
        <v>0.27165307064805583</v>
      </c>
    </row>
    <row r="38" spans="1:5" ht="14.1" customHeight="1">
      <c r="A38" s="19" t="s">
        <v>136</v>
      </c>
      <c r="B38" s="20">
        <v>507135</v>
      </c>
      <c r="C38" s="70">
        <f>B38/'- 3 -'!$D38*100</f>
        <v>0.39950493167050449</v>
      </c>
      <c r="D38" s="20">
        <v>516177</v>
      </c>
      <c r="E38" s="70">
        <f>D38/'- 3 -'!$D38*100</f>
        <v>0.40662793361705651</v>
      </c>
    </row>
    <row r="39" spans="1:5" ht="14.1" customHeight="1">
      <c r="A39" s="285" t="s">
        <v>137</v>
      </c>
      <c r="B39" s="286">
        <v>82675</v>
      </c>
      <c r="C39" s="292">
        <f>B39/'- 3 -'!$D39*100</f>
        <v>0.3998504581050546</v>
      </c>
      <c r="D39" s="286">
        <v>50681</v>
      </c>
      <c r="E39" s="292">
        <f>D39/'- 3 -'!$D39*100</f>
        <v>0.245114255424521</v>
      </c>
    </row>
    <row r="40" spans="1:5" ht="14.1" customHeight="1">
      <c r="A40" s="19" t="s">
        <v>138</v>
      </c>
      <c r="B40" s="20">
        <v>585342</v>
      </c>
      <c r="C40" s="70">
        <f>B40/'- 3 -'!$D40*100</f>
        <v>0.57471943764522582</v>
      </c>
      <c r="D40" s="20">
        <v>455160</v>
      </c>
      <c r="E40" s="70">
        <f>D40/'- 3 -'!$D40*100</f>
        <v>0.44689993070478623</v>
      </c>
    </row>
    <row r="41" spans="1:5" ht="14.1" customHeight="1">
      <c r="A41" s="285" t="s">
        <v>139</v>
      </c>
      <c r="B41" s="286">
        <v>404848</v>
      </c>
      <c r="C41" s="292">
        <f>B41/'- 3 -'!$D41*100</f>
        <v>0.65499962869418948</v>
      </c>
      <c r="D41" s="286">
        <v>398720</v>
      </c>
      <c r="E41" s="292">
        <f>D41/'- 3 -'!$D41*100</f>
        <v>0.64508519729119873</v>
      </c>
    </row>
    <row r="42" spans="1:5" ht="14.1" customHeight="1">
      <c r="A42" s="19" t="s">
        <v>140</v>
      </c>
      <c r="B42" s="20">
        <v>122343</v>
      </c>
      <c r="C42" s="70">
        <f>B42/'- 3 -'!$D42*100</f>
        <v>0.61095402621265082</v>
      </c>
      <c r="D42" s="20">
        <v>95693</v>
      </c>
      <c r="E42" s="70">
        <f>D42/'- 3 -'!$D42*100</f>
        <v>0.47786978928395735</v>
      </c>
    </row>
    <row r="43" spans="1:5" ht="14.1" customHeight="1">
      <c r="A43" s="285" t="s">
        <v>141</v>
      </c>
      <c r="B43" s="286">
        <v>45024</v>
      </c>
      <c r="C43" s="292">
        <f>B43/'- 3 -'!$D43*100</f>
        <v>0.35402046043889762</v>
      </c>
      <c r="D43" s="286">
        <v>9776</v>
      </c>
      <c r="E43" s="292">
        <f>D43/'- 3 -'!$D43*100</f>
        <v>7.686798199295182E-2</v>
      </c>
    </row>
    <row r="44" spans="1:5" ht="14.1" customHeight="1">
      <c r="A44" s="19" t="s">
        <v>142</v>
      </c>
      <c r="B44" s="20">
        <v>41496</v>
      </c>
      <c r="C44" s="70">
        <f>B44/'- 3 -'!$D44*100</f>
        <v>0.38190522444248653</v>
      </c>
      <c r="D44" s="20">
        <v>55045</v>
      </c>
      <c r="E44" s="70">
        <f>D44/'- 3 -'!$D44*100</f>
        <v>0.50660239732592716</v>
      </c>
    </row>
    <row r="45" spans="1:5" ht="14.1" customHeight="1">
      <c r="A45" s="285" t="s">
        <v>143</v>
      </c>
      <c r="B45" s="286">
        <v>60840</v>
      </c>
      <c r="C45" s="292">
        <f>B45/'- 3 -'!$D45*100</f>
        <v>0.3318636747225428</v>
      </c>
      <c r="D45" s="286">
        <v>27778</v>
      </c>
      <c r="E45" s="292">
        <f>D45/'- 3 -'!$D45*100</f>
        <v>0.1515205318284483</v>
      </c>
    </row>
    <row r="46" spans="1:5" ht="14.1" customHeight="1">
      <c r="A46" s="19" t="s">
        <v>144</v>
      </c>
      <c r="B46" s="20">
        <v>1968627</v>
      </c>
      <c r="C46" s="70">
        <f>B46/'- 3 -'!$D46*100</f>
        <v>0.51594734792574004</v>
      </c>
      <c r="D46" s="20">
        <v>1474324</v>
      </c>
      <c r="E46" s="70">
        <f>D46/'- 3 -'!$D46*100</f>
        <v>0.3863980112958264</v>
      </c>
    </row>
    <row r="47" spans="1:5" ht="5.0999999999999996" customHeight="1">
      <c r="A47"/>
      <c r="B47" s="22"/>
      <c r="C47"/>
      <c r="D47" s="22"/>
      <c r="E47"/>
    </row>
    <row r="48" spans="1:5" ht="14.1" customHeight="1">
      <c r="A48" s="287" t="s">
        <v>145</v>
      </c>
      <c r="B48" s="288">
        <f>SUM(B11:B46)</f>
        <v>11347991</v>
      </c>
      <c r="C48" s="295">
        <f>B48/'- 3 -'!$D48*100</f>
        <v>0.51220829003284274</v>
      </c>
      <c r="D48" s="288">
        <f>SUM(D11:D46)</f>
        <v>7150427</v>
      </c>
      <c r="E48" s="295">
        <f>D48/'- 3 -'!$D48*100</f>
        <v>0.32274505563801287</v>
      </c>
    </row>
    <row r="49" spans="1:5" ht="5.0999999999999996" customHeight="1">
      <c r="A49" s="21" t="s">
        <v>7</v>
      </c>
      <c r="B49" s="22"/>
      <c r="C49"/>
      <c r="D49" s="22"/>
      <c r="E49"/>
    </row>
    <row r="50" spans="1:5" ht="14.1" customHeight="1">
      <c r="A50" s="19" t="s">
        <v>146</v>
      </c>
      <c r="B50" s="20">
        <v>0</v>
      </c>
      <c r="C50" s="70">
        <f>B50/'- 3 -'!$D50*100</f>
        <v>0</v>
      </c>
      <c r="D50" s="20">
        <v>8265</v>
      </c>
      <c r="E50" s="70">
        <f>D50/'- 3 -'!$D50*100</f>
        <v>0.24605002630189937</v>
      </c>
    </row>
    <row r="51" spans="1:5" ht="14.1" customHeight="1">
      <c r="A51" s="285" t="s">
        <v>612</v>
      </c>
      <c r="B51" s="286">
        <v>0</v>
      </c>
      <c r="C51" s="292">
        <f>B51/'- 3 -'!$D51*100</f>
        <v>0</v>
      </c>
      <c r="D51" s="286">
        <v>41794</v>
      </c>
      <c r="E51" s="292">
        <f>D51/'- 3 -'!$D51*100</f>
        <v>0.157638599874731</v>
      </c>
    </row>
    <row r="52" spans="1:5" ht="50.1" customHeight="1"/>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sheetPr codeName="Sheet31">
    <pageSetUpPr fitToPage="1"/>
  </sheetPr>
  <dimension ref="A1:G52"/>
  <sheetViews>
    <sheetView showGridLines="0" showZeros="0" workbookViewId="0"/>
  </sheetViews>
  <sheetFormatPr defaultColWidth="15.83203125" defaultRowHeight="12"/>
  <cols>
    <col min="1" max="1" width="34.83203125" style="2" customWidth="1"/>
    <col min="2" max="2" width="19.83203125" style="2" customWidth="1"/>
    <col min="3" max="3" width="12.83203125" style="2" customWidth="1"/>
    <col min="4" max="4" width="19.83203125" style="2" customWidth="1"/>
    <col min="5" max="5" width="12.83203125" style="2" customWidth="1"/>
    <col min="6" max="6" width="19.83203125" style="2" customWidth="1"/>
    <col min="7" max="7" width="12.83203125" style="2" customWidth="1"/>
    <col min="8" max="16384" width="15.83203125" style="2"/>
  </cols>
  <sheetData>
    <row r="1" spans="1:7" ht="6.95" customHeight="1">
      <c r="A1" s="7"/>
      <c r="B1" s="8"/>
      <c r="C1" s="8"/>
      <c r="D1" s="8"/>
      <c r="E1" s="8"/>
      <c r="F1" s="8"/>
      <c r="G1" s="8"/>
    </row>
    <row r="2" spans="1:7" ht="15.95" customHeight="1">
      <c r="A2" s="134"/>
      <c r="B2" s="9" t="s">
        <v>263</v>
      </c>
      <c r="C2" s="10"/>
      <c r="D2" s="10"/>
      <c r="E2" s="10"/>
      <c r="F2" s="10"/>
      <c r="G2" s="396" t="s">
        <v>417</v>
      </c>
    </row>
    <row r="3" spans="1:7" ht="15.95" customHeight="1">
      <c r="A3" s="543"/>
      <c r="B3" s="11" t="str">
        <f>OPYEAR</f>
        <v>OPERATING FUND 2015/2016 ACTUAL</v>
      </c>
      <c r="C3" s="12"/>
      <c r="D3" s="12"/>
      <c r="E3" s="12"/>
      <c r="F3" s="12"/>
      <c r="G3" s="75"/>
    </row>
    <row r="4" spans="1:7" ht="15.95" customHeight="1">
      <c r="B4" s="8"/>
      <c r="C4" s="8"/>
      <c r="D4" s="8"/>
      <c r="E4" s="8"/>
      <c r="F4" s="8"/>
      <c r="G4" s="8"/>
    </row>
    <row r="5" spans="1:7" ht="15.95" customHeight="1">
      <c r="B5" s="8"/>
      <c r="C5" s="8"/>
      <c r="D5" s="8"/>
      <c r="E5" s="8"/>
      <c r="F5" s="8"/>
      <c r="G5" s="8"/>
    </row>
    <row r="6" spans="1:7" ht="15.95" customHeight="1">
      <c r="B6" s="559" t="s">
        <v>17</v>
      </c>
      <c r="C6" s="560"/>
      <c r="D6" s="165"/>
      <c r="E6" s="165"/>
      <c r="F6" s="166"/>
      <c r="G6" s="167"/>
    </row>
    <row r="7" spans="1:7" ht="15.95" customHeight="1">
      <c r="B7" s="670" t="s">
        <v>505</v>
      </c>
      <c r="C7" s="694"/>
      <c r="D7" s="690" t="s">
        <v>506</v>
      </c>
      <c r="E7" s="644"/>
      <c r="F7" s="643" t="s">
        <v>507</v>
      </c>
      <c r="G7" s="644"/>
    </row>
    <row r="8" spans="1:7" ht="15.95" customHeight="1">
      <c r="A8" s="404"/>
      <c r="B8" s="695"/>
      <c r="C8" s="696"/>
      <c r="D8" s="677"/>
      <c r="E8" s="646"/>
      <c r="F8" s="645"/>
      <c r="G8" s="646"/>
    </row>
    <row r="9" spans="1:7" ht="15.95" customHeight="1">
      <c r="A9" s="35" t="s">
        <v>42</v>
      </c>
      <c r="B9" s="77" t="s">
        <v>43</v>
      </c>
      <c r="C9" s="77" t="s">
        <v>44</v>
      </c>
      <c r="D9" s="171" t="s">
        <v>43</v>
      </c>
      <c r="E9" s="168" t="s">
        <v>44</v>
      </c>
      <c r="F9" s="171" t="s">
        <v>43</v>
      </c>
      <c r="G9" s="168" t="s">
        <v>44</v>
      </c>
    </row>
    <row r="10" spans="1:7" ht="5.0999999999999996" customHeight="1">
      <c r="A10" s="6"/>
    </row>
    <row r="11" spans="1:7" ht="14.1" customHeight="1">
      <c r="A11" s="285" t="s">
        <v>110</v>
      </c>
      <c r="B11" s="286">
        <v>10600</v>
      </c>
      <c r="C11" s="292">
        <f>B11/'- 3 -'!$D11*100</f>
        <v>5.9088888362415562E-2</v>
      </c>
      <c r="D11" s="286">
        <v>0</v>
      </c>
      <c r="E11" s="292">
        <f>D11/'- 3 -'!$D11*100</f>
        <v>0</v>
      </c>
      <c r="F11" s="286">
        <v>300043</v>
      </c>
      <c r="G11" s="292">
        <f>F11/'- 3 -'!$D11*100</f>
        <v>1.6725667293324766</v>
      </c>
    </row>
    <row r="12" spans="1:7" ht="14.1" customHeight="1">
      <c r="A12" s="19" t="s">
        <v>111</v>
      </c>
      <c r="B12" s="20">
        <v>13650</v>
      </c>
      <c r="C12" s="70">
        <f>B12/'- 3 -'!$D12*100</f>
        <v>4.2263657601581704E-2</v>
      </c>
      <c r="D12" s="20">
        <v>0</v>
      </c>
      <c r="E12" s="70">
        <f>D12/'- 3 -'!$D12*100</f>
        <v>0</v>
      </c>
      <c r="F12" s="20">
        <v>500004</v>
      </c>
      <c r="G12" s="70">
        <f>F12/'- 3 -'!$D12*100</f>
        <v>1.5481317110198725</v>
      </c>
    </row>
    <row r="13" spans="1:7" ht="14.1" customHeight="1">
      <c r="A13" s="285" t="s">
        <v>112</v>
      </c>
      <c r="B13" s="286">
        <v>4228</v>
      </c>
      <c r="C13" s="292">
        <f>B13/'- 3 -'!$D13*100</f>
        <v>4.6583000307483064E-3</v>
      </c>
      <c r="D13" s="286">
        <v>-22250</v>
      </c>
      <c r="E13" s="292">
        <f>D13/'- 3 -'!$D13*100</f>
        <v>-2.4514469177897305E-2</v>
      </c>
      <c r="F13" s="286">
        <v>1551989</v>
      </c>
      <c r="G13" s="292">
        <f>F13/'- 3 -'!$D13*100</f>
        <v>1.7099409665139624</v>
      </c>
    </row>
    <row r="14" spans="1:7" ht="14.1" customHeight="1">
      <c r="A14" s="19" t="s">
        <v>359</v>
      </c>
      <c r="B14" s="20">
        <v>100373</v>
      </c>
      <c r="C14" s="70">
        <f>B14/'- 3 -'!$D14*100</f>
        <v>0.12358910604873205</v>
      </c>
      <c r="D14" s="20">
        <v>0</v>
      </c>
      <c r="E14" s="70">
        <f>D14/'- 3 -'!$D14*100</f>
        <v>0</v>
      </c>
      <c r="F14" s="20">
        <v>1181985</v>
      </c>
      <c r="G14" s="70">
        <f>F14/'- 3 -'!$D14*100</f>
        <v>1.455376142119998</v>
      </c>
    </row>
    <row r="15" spans="1:7" ht="14.1" customHeight="1">
      <c r="A15" s="285" t="s">
        <v>113</v>
      </c>
      <c r="B15" s="286">
        <v>7840</v>
      </c>
      <c r="C15" s="292">
        <f>B15/'- 3 -'!$D15*100</f>
        <v>3.9526931200653724E-2</v>
      </c>
      <c r="D15" s="286">
        <v>0</v>
      </c>
      <c r="E15" s="292">
        <f>D15/'- 3 -'!$D15*100</f>
        <v>0</v>
      </c>
      <c r="F15" s="286">
        <v>300889</v>
      </c>
      <c r="G15" s="292">
        <f>F15/'- 3 -'!$D15*100</f>
        <v>1.516992194136926</v>
      </c>
    </row>
    <row r="16" spans="1:7" ht="14.1" customHeight="1">
      <c r="A16" s="19" t="s">
        <v>114</v>
      </c>
      <c r="B16" s="20">
        <v>12590</v>
      </c>
      <c r="C16" s="70">
        <f>B16/'- 3 -'!$D16*100</f>
        <v>8.9801278116840813E-2</v>
      </c>
      <c r="D16" s="20">
        <v>0</v>
      </c>
      <c r="E16" s="70">
        <f>D16/'- 3 -'!$D16*100</f>
        <v>0</v>
      </c>
      <c r="F16" s="20">
        <v>214403</v>
      </c>
      <c r="G16" s="70">
        <f>F16/'- 3 -'!$D16*100</f>
        <v>1.5292822424213677</v>
      </c>
    </row>
    <row r="17" spans="1:7" ht="14.1" customHeight="1">
      <c r="A17" s="285" t="s">
        <v>115</v>
      </c>
      <c r="B17" s="286">
        <v>68364</v>
      </c>
      <c r="C17" s="292">
        <f>B17/'- 3 -'!$D17*100</f>
        <v>0.39356470697955032</v>
      </c>
      <c r="D17" s="286">
        <v>0</v>
      </c>
      <c r="E17" s="292">
        <f>D17/'- 3 -'!$D17*100</f>
        <v>0</v>
      </c>
      <c r="F17" s="286">
        <v>270411</v>
      </c>
      <c r="G17" s="292">
        <f>F17/'- 3 -'!$D17*100</f>
        <v>1.5567290676240009</v>
      </c>
    </row>
    <row r="18" spans="1:7" ht="14.1" customHeight="1">
      <c r="A18" s="19" t="s">
        <v>116</v>
      </c>
      <c r="B18" s="20">
        <v>7257</v>
      </c>
      <c r="C18" s="70">
        <f>B18/'- 3 -'!$D18*100</f>
        <v>5.7253414309768628E-3</v>
      </c>
      <c r="D18" s="20">
        <v>0</v>
      </c>
      <c r="E18" s="70">
        <f>D18/'- 3 -'!$D18*100</f>
        <v>0</v>
      </c>
      <c r="F18" s="20">
        <v>1171243</v>
      </c>
      <c r="G18" s="70">
        <f>F18/'- 3 -'!$D18*100</f>
        <v>0.9240410739481375</v>
      </c>
    </row>
    <row r="19" spans="1:7" ht="14.1" customHeight="1">
      <c r="A19" s="285" t="s">
        <v>117</v>
      </c>
      <c r="B19" s="286">
        <v>20580</v>
      </c>
      <c r="C19" s="292">
        <f>B19/'- 3 -'!$D19*100</f>
        <v>4.6010926454820557E-2</v>
      </c>
      <c r="D19" s="286">
        <v>0</v>
      </c>
      <c r="E19" s="292">
        <f>D19/'- 3 -'!$D19*100</f>
        <v>0</v>
      </c>
      <c r="F19" s="286">
        <v>744211</v>
      </c>
      <c r="G19" s="292">
        <f>F19/'- 3 -'!$D19*100</f>
        <v>1.6638405047555131</v>
      </c>
    </row>
    <row r="20" spans="1:7" ht="14.1" customHeight="1">
      <c r="A20" s="19" t="s">
        <v>118</v>
      </c>
      <c r="B20" s="20">
        <v>135396</v>
      </c>
      <c r="C20" s="70">
        <f>B20/'- 3 -'!$D20*100</f>
        <v>0.17293511764220601</v>
      </c>
      <c r="D20" s="20">
        <v>0</v>
      </c>
      <c r="E20" s="70">
        <f>D20/'- 3 -'!$D20*100</f>
        <v>0</v>
      </c>
      <c r="F20" s="20">
        <v>1302998</v>
      </c>
      <c r="G20" s="70">
        <f>F20/'- 3 -'!$D20*100</f>
        <v>1.6642597448784244</v>
      </c>
    </row>
    <row r="21" spans="1:7" ht="14.1" customHeight="1">
      <c r="A21" s="285" t="s">
        <v>119</v>
      </c>
      <c r="B21" s="286">
        <v>1417</v>
      </c>
      <c r="C21" s="292">
        <f>B21/'- 3 -'!$D21*100</f>
        <v>4.0343536746185859E-3</v>
      </c>
      <c r="D21" s="286">
        <v>0</v>
      </c>
      <c r="E21" s="292">
        <f>D21/'- 3 -'!$D21*100</f>
        <v>0</v>
      </c>
      <c r="F21" s="286">
        <v>585798</v>
      </c>
      <c r="G21" s="292">
        <f>F21/'- 3 -'!$D21*100</f>
        <v>1.6678308496007186</v>
      </c>
    </row>
    <row r="22" spans="1:7" ht="14.1" customHeight="1">
      <c r="A22" s="19" t="s">
        <v>120</v>
      </c>
      <c r="B22" s="20">
        <v>2180</v>
      </c>
      <c r="C22" s="70">
        <f>B22/'- 3 -'!$D22*100</f>
        <v>1.0908156028262332E-2</v>
      </c>
      <c r="D22" s="20">
        <v>0</v>
      </c>
      <c r="E22" s="70">
        <f>D22/'- 3 -'!$D22*100</f>
        <v>0</v>
      </c>
      <c r="F22" s="20">
        <v>339587</v>
      </c>
      <c r="G22" s="70">
        <f>F22/'- 3 -'!$D22*100</f>
        <v>1.6992054959493212</v>
      </c>
    </row>
    <row r="23" spans="1:7" ht="14.1" customHeight="1">
      <c r="A23" s="285" t="s">
        <v>121</v>
      </c>
      <c r="B23" s="286">
        <v>2865</v>
      </c>
      <c r="C23" s="292">
        <f>B23/'- 3 -'!$D23*100</f>
        <v>1.7753485693974769E-2</v>
      </c>
      <c r="D23" s="286">
        <v>0</v>
      </c>
      <c r="E23" s="292">
        <f>D23/'- 3 -'!$D23*100</f>
        <v>0</v>
      </c>
      <c r="F23" s="286">
        <v>258196</v>
      </c>
      <c r="G23" s="292">
        <f>F23/'- 3 -'!$D23*100</f>
        <v>1.5999577634350819</v>
      </c>
    </row>
    <row r="24" spans="1:7" ht="14.1" customHeight="1">
      <c r="A24" s="19" t="s">
        <v>122</v>
      </c>
      <c r="B24" s="20">
        <v>57272</v>
      </c>
      <c r="C24" s="70">
        <f>B24/'- 3 -'!$D24*100</f>
        <v>0.10281959102426909</v>
      </c>
      <c r="D24" s="20">
        <v>0</v>
      </c>
      <c r="E24" s="70">
        <f>D24/'- 3 -'!$D24*100</f>
        <v>0</v>
      </c>
      <c r="F24" s="20">
        <v>939366</v>
      </c>
      <c r="G24" s="70">
        <f>F24/'- 3 -'!$D24*100</f>
        <v>1.686430156832371</v>
      </c>
    </row>
    <row r="25" spans="1:7" ht="14.1" customHeight="1">
      <c r="A25" s="285" t="s">
        <v>123</v>
      </c>
      <c r="B25" s="286">
        <v>137291</v>
      </c>
      <c r="C25" s="292">
        <f>B25/'- 3 -'!$D25*100</f>
        <v>8.1701807025022374E-2</v>
      </c>
      <c r="D25" s="286">
        <v>0</v>
      </c>
      <c r="E25" s="292">
        <f>D25/'- 3 -'!$D25*100</f>
        <v>0</v>
      </c>
      <c r="F25" s="286">
        <v>2790711</v>
      </c>
      <c r="G25" s="292">
        <f>F25/'- 3 -'!$D25*100</f>
        <v>1.6607507526684724</v>
      </c>
    </row>
    <row r="26" spans="1:7" ht="14.1" customHeight="1">
      <c r="A26" s="19" t="s">
        <v>124</v>
      </c>
      <c r="B26" s="20">
        <v>112452</v>
      </c>
      <c r="C26" s="70">
        <f>B26/'- 3 -'!$D26*100</f>
        <v>0.28374652602778633</v>
      </c>
      <c r="D26" s="20">
        <v>0</v>
      </c>
      <c r="E26" s="70">
        <f>D26/'- 3 -'!$D26*100</f>
        <v>0</v>
      </c>
      <c r="F26" s="20">
        <v>603650</v>
      </c>
      <c r="G26" s="70">
        <f>F26/'- 3 -'!$D26*100</f>
        <v>1.5231706900426245</v>
      </c>
    </row>
    <row r="27" spans="1:7" ht="14.1" customHeight="1">
      <c r="A27" s="285" t="s">
        <v>125</v>
      </c>
      <c r="B27" s="286">
        <v>2479</v>
      </c>
      <c r="C27" s="292">
        <f>B27/'- 3 -'!$D27*100</f>
        <v>5.9003204761803778E-3</v>
      </c>
      <c r="D27" s="286">
        <v>0</v>
      </c>
      <c r="E27" s="292">
        <f>D27/'- 3 -'!$D27*100</f>
        <v>0</v>
      </c>
      <c r="F27" s="286">
        <v>678303</v>
      </c>
      <c r="G27" s="292">
        <f>F27/'- 3 -'!$D27*100</f>
        <v>1.6144433561736904</v>
      </c>
    </row>
    <row r="28" spans="1:7" ht="14.1" customHeight="1">
      <c r="A28" s="19" t="s">
        <v>126</v>
      </c>
      <c r="B28" s="20">
        <v>36877</v>
      </c>
      <c r="C28" s="70">
        <f>B28/'- 3 -'!$D28*100</f>
        <v>0.13262529353555541</v>
      </c>
      <c r="D28" s="20">
        <v>0</v>
      </c>
      <c r="E28" s="70">
        <f>D28/'- 3 -'!$D28*100</f>
        <v>0</v>
      </c>
      <c r="F28" s="20">
        <v>383799</v>
      </c>
      <c r="G28" s="70">
        <f>F28/'- 3 -'!$D28*100</f>
        <v>1.3803035776677233</v>
      </c>
    </row>
    <row r="29" spans="1:7" ht="14.1" customHeight="1">
      <c r="A29" s="285" t="s">
        <v>127</v>
      </c>
      <c r="B29" s="286">
        <v>112777</v>
      </c>
      <c r="C29" s="292">
        <f>B29/'- 3 -'!$D29*100</f>
        <v>7.4993300262921753E-2</v>
      </c>
      <c r="D29" s="286">
        <v>0</v>
      </c>
      <c r="E29" s="292">
        <f>D29/'- 3 -'!$D29*100</f>
        <v>0</v>
      </c>
      <c r="F29" s="286">
        <v>2511505</v>
      </c>
      <c r="G29" s="292">
        <f>F29/'- 3 -'!$D29*100</f>
        <v>1.6700750026763374</v>
      </c>
    </row>
    <row r="30" spans="1:7" ht="14.1" customHeight="1">
      <c r="A30" s="19" t="s">
        <v>128</v>
      </c>
      <c r="B30" s="20">
        <v>6329</v>
      </c>
      <c r="C30" s="70">
        <f>B30/'- 3 -'!$D30*100</f>
        <v>4.5567444641926566E-2</v>
      </c>
      <c r="D30" s="20">
        <v>0</v>
      </c>
      <c r="E30" s="70">
        <f>D30/'- 3 -'!$D30*100</f>
        <v>0</v>
      </c>
      <c r="F30" s="20">
        <v>235948</v>
      </c>
      <c r="G30" s="70">
        <f>F30/'- 3 -'!$D30*100</f>
        <v>1.6987750716342693</v>
      </c>
    </row>
    <row r="31" spans="1:7" ht="14.1" customHeight="1">
      <c r="A31" s="285" t="s">
        <v>129</v>
      </c>
      <c r="B31" s="286">
        <v>13750</v>
      </c>
      <c r="C31" s="292">
        <f>B31/'- 3 -'!$D31*100</f>
        <v>3.8415569799707366E-2</v>
      </c>
      <c r="D31" s="286">
        <v>0</v>
      </c>
      <c r="E31" s="292">
        <f>D31/'- 3 -'!$D31*100</f>
        <v>0</v>
      </c>
      <c r="F31" s="286">
        <v>617368</v>
      </c>
      <c r="G31" s="292">
        <f>F31/'- 3 -'!$D31*100</f>
        <v>1.7248395269895083</v>
      </c>
    </row>
    <row r="32" spans="1:7" ht="14.1" customHeight="1">
      <c r="A32" s="19" t="s">
        <v>130</v>
      </c>
      <c r="B32" s="20">
        <v>35231</v>
      </c>
      <c r="C32" s="70">
        <f>B32/'- 3 -'!$D32*100</f>
        <v>0.12618606339382094</v>
      </c>
      <c r="D32" s="20">
        <v>0</v>
      </c>
      <c r="E32" s="70">
        <f>D32/'- 3 -'!$D32*100</f>
        <v>0</v>
      </c>
      <c r="F32" s="20">
        <v>435174</v>
      </c>
      <c r="G32" s="70">
        <f>F32/'- 3 -'!$D32*100</f>
        <v>1.5586527192342718</v>
      </c>
    </row>
    <row r="33" spans="1:7" ht="14.1" customHeight="1">
      <c r="A33" s="285" t="s">
        <v>131</v>
      </c>
      <c r="B33" s="286">
        <v>24186</v>
      </c>
      <c r="C33" s="292">
        <f>B33/'- 3 -'!$D33*100</f>
        <v>9.1398994134909997E-2</v>
      </c>
      <c r="D33" s="286">
        <v>0</v>
      </c>
      <c r="E33" s="292">
        <f>D33/'- 3 -'!$D33*100</f>
        <v>0</v>
      </c>
      <c r="F33" s="286">
        <v>423418</v>
      </c>
      <c r="G33" s="292">
        <f>F33/'- 3 -'!$D33*100</f>
        <v>1.6000983750357776</v>
      </c>
    </row>
    <row r="34" spans="1:7" ht="14.1" customHeight="1">
      <c r="A34" s="19" t="s">
        <v>132</v>
      </c>
      <c r="B34" s="20">
        <v>67576</v>
      </c>
      <c r="C34" s="70">
        <f>B34/'- 3 -'!$D34*100</f>
        <v>0.24225110845942335</v>
      </c>
      <c r="D34" s="20">
        <v>123</v>
      </c>
      <c r="E34" s="70">
        <f>D34/'- 3 -'!$D34*100</f>
        <v>4.409388886662287E-4</v>
      </c>
      <c r="F34" s="20">
        <v>441647</v>
      </c>
      <c r="G34" s="70">
        <f>F34/'- 3 -'!$D34*100</f>
        <v>1.5832466452258041</v>
      </c>
    </row>
    <row r="35" spans="1:7" ht="14.1" customHeight="1">
      <c r="A35" s="285" t="s">
        <v>133</v>
      </c>
      <c r="B35" s="286">
        <v>52343</v>
      </c>
      <c r="C35" s="292">
        <f>B35/'- 3 -'!$D35*100</f>
        <v>2.899252774551616E-2</v>
      </c>
      <c r="D35" s="286">
        <v>0</v>
      </c>
      <c r="E35" s="292">
        <f>D35/'- 3 -'!$D35*100</f>
        <v>0</v>
      </c>
      <c r="F35" s="286">
        <v>3066170</v>
      </c>
      <c r="G35" s="292">
        <f>F35/'- 3 -'!$D35*100</f>
        <v>1.6983363352782472</v>
      </c>
    </row>
    <row r="36" spans="1:7" ht="14.1" customHeight="1">
      <c r="A36" s="19" t="s">
        <v>134</v>
      </c>
      <c r="B36" s="20">
        <v>35148</v>
      </c>
      <c r="C36" s="70">
        <f>B36/'- 3 -'!$D36*100</f>
        <v>0.15664194747280494</v>
      </c>
      <c r="D36" s="20">
        <v>0</v>
      </c>
      <c r="E36" s="70">
        <f>D36/'- 3 -'!$D36*100</f>
        <v>0</v>
      </c>
      <c r="F36" s="20">
        <v>361421</v>
      </c>
      <c r="G36" s="70">
        <f>F36/'- 3 -'!$D36*100</f>
        <v>1.6107229229989937</v>
      </c>
    </row>
    <row r="37" spans="1:7" ht="14.1" customHeight="1">
      <c r="A37" s="285" t="s">
        <v>135</v>
      </c>
      <c r="B37" s="286">
        <v>22696</v>
      </c>
      <c r="C37" s="292">
        <f>B37/'- 3 -'!$D37*100</f>
        <v>4.7519658494957616E-2</v>
      </c>
      <c r="D37" s="286">
        <v>0</v>
      </c>
      <c r="E37" s="292">
        <f>D37/'- 3 -'!$D37*100</f>
        <v>0</v>
      </c>
      <c r="F37" s="286">
        <v>792859</v>
      </c>
      <c r="G37" s="292">
        <f>F37/'- 3 -'!$D37*100</f>
        <v>1.6600453346252024</v>
      </c>
    </row>
    <row r="38" spans="1:7" ht="14.1" customHeight="1">
      <c r="A38" s="19" t="s">
        <v>136</v>
      </c>
      <c r="B38" s="20">
        <v>91237</v>
      </c>
      <c r="C38" s="70">
        <f>B38/'- 3 -'!$D38*100</f>
        <v>7.1873626254984987E-2</v>
      </c>
      <c r="D38" s="20">
        <v>651</v>
      </c>
      <c r="E38" s="70">
        <f>D38/'- 3 -'!$D38*100</f>
        <v>5.1283723370995561E-4</v>
      </c>
      <c r="F38" s="20">
        <v>2132956</v>
      </c>
      <c r="G38" s="70">
        <f>F38/'- 3 -'!$D38*100</f>
        <v>1.6802753527880985</v>
      </c>
    </row>
    <row r="39" spans="1:7" ht="14.1" customHeight="1">
      <c r="A39" s="285" t="s">
        <v>137</v>
      </c>
      <c r="B39" s="286">
        <v>65190</v>
      </c>
      <c r="C39" s="292">
        <f>B39/'- 3 -'!$D39*100</f>
        <v>0.31528577398087104</v>
      </c>
      <c r="D39" s="286">
        <v>0</v>
      </c>
      <c r="E39" s="292">
        <f>D39/'- 3 -'!$D39*100</f>
        <v>0</v>
      </c>
      <c r="F39" s="286">
        <v>340395</v>
      </c>
      <c r="G39" s="292">
        <f>F39/'- 3 -'!$D39*100</f>
        <v>1.6462908580183861</v>
      </c>
    </row>
    <row r="40" spans="1:7" ht="14.1" customHeight="1">
      <c r="A40" s="19" t="s">
        <v>138</v>
      </c>
      <c r="B40" s="20">
        <v>47098</v>
      </c>
      <c r="C40" s="70">
        <f>B40/'- 3 -'!$D40*100</f>
        <v>4.6243283540587973E-2</v>
      </c>
      <c r="D40" s="20">
        <v>0</v>
      </c>
      <c r="E40" s="70">
        <f>D40/'- 3 -'!$D40*100</f>
        <v>0</v>
      </c>
      <c r="F40" s="20">
        <v>1686587</v>
      </c>
      <c r="G40" s="70">
        <f>F40/'- 3 -'!$D40*100</f>
        <v>1.6559794653036146</v>
      </c>
    </row>
    <row r="41" spans="1:7" ht="14.1" customHeight="1">
      <c r="A41" s="285" t="s">
        <v>139</v>
      </c>
      <c r="B41" s="286">
        <v>118503</v>
      </c>
      <c r="C41" s="292">
        <f>B41/'- 3 -'!$D41*100</f>
        <v>0.19172484734801093</v>
      </c>
      <c r="D41" s="286">
        <v>0</v>
      </c>
      <c r="E41" s="292">
        <f>D41/'- 3 -'!$D41*100</f>
        <v>0</v>
      </c>
      <c r="F41" s="286">
        <v>999013</v>
      </c>
      <c r="G41" s="292">
        <f>F41/'- 3 -'!$D41*100</f>
        <v>1.6162933843335483</v>
      </c>
    </row>
    <row r="42" spans="1:7" ht="14.1" customHeight="1">
      <c r="A42" s="19" t="s">
        <v>140</v>
      </c>
      <c r="B42" s="20">
        <v>0</v>
      </c>
      <c r="C42" s="70">
        <f>B42/'- 3 -'!$D42*100</f>
        <v>0</v>
      </c>
      <c r="D42" s="20">
        <v>0</v>
      </c>
      <c r="E42" s="70">
        <f>D42/'- 3 -'!$D42*100</f>
        <v>0</v>
      </c>
      <c r="F42" s="20">
        <v>312874</v>
      </c>
      <c r="G42" s="70">
        <f>F42/'- 3 -'!$D42*100</f>
        <v>1.5624239228828531</v>
      </c>
    </row>
    <row r="43" spans="1:7" ht="14.1" customHeight="1">
      <c r="A43" s="285" t="s">
        <v>141</v>
      </c>
      <c r="B43" s="286">
        <v>58666</v>
      </c>
      <c r="C43" s="292">
        <f>B43/'- 3 -'!$D43*100</f>
        <v>0.46128652123552705</v>
      </c>
      <c r="D43" s="286">
        <v>89</v>
      </c>
      <c r="E43" s="292">
        <f>D43/'- 3 -'!$D43*100</f>
        <v>6.9980057256267521E-4</v>
      </c>
      <c r="F43" s="286">
        <v>207671</v>
      </c>
      <c r="G43" s="292">
        <f>F43/'- 3 -'!$D43*100</f>
        <v>1.6329020753332959</v>
      </c>
    </row>
    <row r="44" spans="1:7" ht="14.1" customHeight="1">
      <c r="A44" s="19" t="s">
        <v>142</v>
      </c>
      <c r="B44" s="20">
        <v>2883</v>
      </c>
      <c r="C44" s="70">
        <f>B44/'- 3 -'!$D44*100</f>
        <v>2.653346737198016E-2</v>
      </c>
      <c r="D44" s="20">
        <v>0</v>
      </c>
      <c r="E44" s="70">
        <f>D44/'- 3 -'!$D44*100</f>
        <v>0</v>
      </c>
      <c r="F44" s="20">
        <v>168245</v>
      </c>
      <c r="G44" s="70">
        <f>F44/'- 3 -'!$D44*100</f>
        <v>1.5484298362812354</v>
      </c>
    </row>
    <row r="45" spans="1:7" ht="14.1" customHeight="1">
      <c r="A45" s="285" t="s">
        <v>143</v>
      </c>
      <c r="B45" s="286">
        <v>42330</v>
      </c>
      <c r="C45" s="292">
        <f>B45/'- 3 -'!$D45*100</f>
        <v>0.2308972608646489</v>
      </c>
      <c r="D45" s="286">
        <v>0</v>
      </c>
      <c r="E45" s="292">
        <f>D45/'- 3 -'!$D45*100</f>
        <v>0</v>
      </c>
      <c r="F45" s="286">
        <v>298108</v>
      </c>
      <c r="G45" s="292">
        <f>F45/'- 3 -'!$D45*100</f>
        <v>1.6260883685763938</v>
      </c>
    </row>
    <row r="46" spans="1:7" ht="14.1" customHeight="1">
      <c r="A46" s="19" t="s">
        <v>144</v>
      </c>
      <c r="B46" s="20">
        <v>273755</v>
      </c>
      <c r="C46" s="70">
        <f>B46/'- 3 -'!$D46*100</f>
        <v>7.1747043107409869E-2</v>
      </c>
      <c r="D46" s="20">
        <v>0</v>
      </c>
      <c r="E46" s="70">
        <f>D46/'- 3 -'!$D46*100</f>
        <v>0</v>
      </c>
      <c r="F46" s="20">
        <v>6700710</v>
      </c>
      <c r="G46" s="70">
        <f>F46/'- 3 -'!$D46*100</f>
        <v>1.7561546975224285</v>
      </c>
    </row>
    <row r="47" spans="1:7" ht="5.0999999999999996" customHeight="1">
      <c r="A47"/>
      <c r="B47" s="22"/>
      <c r="C47"/>
      <c r="D47" s="22"/>
      <c r="E47"/>
      <c r="F47" s="22"/>
      <c r="G47"/>
    </row>
    <row r="48" spans="1:7" ht="14.1" customHeight="1">
      <c r="A48" s="287" t="s">
        <v>145</v>
      </c>
      <c r="B48" s="288">
        <f>SUM(B11:B46)</f>
        <v>1803409</v>
      </c>
      <c r="C48" s="295">
        <f>B48/'- 3 -'!$D48*100</f>
        <v>8.1399521740882497E-2</v>
      </c>
      <c r="D48" s="288">
        <f>SUM(D11:D46)</f>
        <v>-21387</v>
      </c>
      <c r="E48" s="295">
        <f>D48/'- 3 -'!$F48*100</f>
        <v>-9.804007497968511E-4</v>
      </c>
      <c r="F48" s="288">
        <f>SUM(F11:F46)</f>
        <v>35849655</v>
      </c>
      <c r="G48" s="295">
        <f>F48/'- 3 -'!$D48*100</f>
        <v>1.6181269870426715</v>
      </c>
    </row>
    <row r="49" spans="1:7" ht="5.0999999999999996" customHeight="1">
      <c r="A49" s="21" t="s">
        <v>7</v>
      </c>
      <c r="B49" s="22"/>
      <c r="C49"/>
      <c r="D49" s="22"/>
      <c r="E49"/>
      <c r="F49" s="22"/>
      <c r="G49"/>
    </row>
    <row r="50" spans="1:7" ht="14.1" customHeight="1">
      <c r="A50" s="19" t="s">
        <v>146</v>
      </c>
      <c r="B50" s="20">
        <v>307</v>
      </c>
      <c r="C50" s="70">
        <f>B50/'- 3 -'!$D50*100</f>
        <v>9.1394262643294741E-3</v>
      </c>
      <c r="D50" s="20">
        <v>0</v>
      </c>
      <c r="E50" s="70">
        <f>D50/'- 3 -'!$D50*100</f>
        <v>0</v>
      </c>
      <c r="F50" s="20">
        <v>39168</v>
      </c>
      <c r="G50" s="70">
        <f>F50/'- 3 -'!$D50*100</f>
        <v>1.1660359867141918</v>
      </c>
    </row>
    <row r="51" spans="1:7" ht="14.1" customHeight="1">
      <c r="A51" s="285" t="s">
        <v>612</v>
      </c>
      <c r="B51" s="286">
        <v>100929</v>
      </c>
      <c r="C51" s="292">
        <f>B51/'- 3 -'!$D51*100</f>
        <v>0.38068397968025852</v>
      </c>
      <c r="D51" s="286">
        <v>518</v>
      </c>
      <c r="E51" s="292">
        <f>D51/'- 3 -'!$D51*100</f>
        <v>1.9537922844214636E-3</v>
      </c>
      <c r="F51" s="286">
        <v>349971</v>
      </c>
      <c r="G51" s="292">
        <f>F51/'- 3 -'!$D51*100</f>
        <v>1.3200205397128648</v>
      </c>
    </row>
    <row r="52" spans="1:7" ht="50.1" customHeight="1"/>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F68"/>
  <sheetViews>
    <sheetView showGridLines="0" showZeros="0" workbookViewId="0"/>
  </sheetViews>
  <sheetFormatPr defaultColWidth="15.83203125" defaultRowHeight="12"/>
  <cols>
    <col min="1" max="1" width="40.83203125" style="2" customWidth="1"/>
    <col min="2" max="2" width="27.83203125" style="2" customWidth="1"/>
    <col min="3" max="3" width="18.83203125" style="2" customWidth="1"/>
    <col min="4" max="4" width="27.83203125" style="2" customWidth="1"/>
    <col min="5" max="5" width="18.83203125" style="2" customWidth="1"/>
    <col min="6" max="16384" width="15.83203125" style="2"/>
  </cols>
  <sheetData>
    <row r="1" spans="1:5" ht="6.95" customHeight="1">
      <c r="A1" s="7"/>
      <c r="B1" s="8"/>
      <c r="C1" s="8"/>
      <c r="D1" s="8"/>
      <c r="E1" s="8"/>
    </row>
    <row r="2" spans="1:5" ht="15.95" customHeight="1">
      <c r="A2" s="27"/>
      <c r="B2" s="604" t="s">
        <v>264</v>
      </c>
      <c r="C2" s="605"/>
      <c r="D2" s="605"/>
      <c r="E2" s="28"/>
    </row>
    <row r="3" spans="1:5" ht="15.95" customHeight="1">
      <c r="A3" s="544"/>
      <c r="B3" s="606"/>
      <c r="C3" s="606"/>
      <c r="D3" s="606"/>
      <c r="E3" s="30"/>
    </row>
    <row r="4" spans="1:5" ht="15.95" customHeight="1">
      <c r="B4" s="8"/>
      <c r="C4" s="31"/>
      <c r="D4" s="32"/>
      <c r="E4" s="31"/>
    </row>
    <row r="5" spans="1:5" ht="15.95" customHeight="1">
      <c r="B5" s="8"/>
      <c r="C5" s="8"/>
      <c r="D5" s="8"/>
      <c r="E5" s="8"/>
    </row>
    <row r="6" spans="1:5" ht="15.95" customHeight="1">
      <c r="B6" s="8"/>
      <c r="C6" s="8"/>
      <c r="D6" s="8"/>
      <c r="E6" s="8"/>
    </row>
    <row r="7" spans="1:5" ht="15.95" customHeight="1">
      <c r="B7" s="282" t="s">
        <v>400</v>
      </c>
      <c r="C7" s="283"/>
      <c r="D7" s="282" t="s">
        <v>621</v>
      </c>
      <c r="E7" s="284"/>
    </row>
    <row r="8" spans="1:5" ht="15.95" customHeight="1">
      <c r="A8" s="33"/>
      <c r="B8" s="34"/>
      <c r="C8" s="277"/>
      <c r="D8" s="34"/>
      <c r="E8" s="277"/>
    </row>
    <row r="9" spans="1:5" ht="15.95" customHeight="1">
      <c r="A9" s="35" t="s">
        <v>42</v>
      </c>
      <c r="B9" s="403" t="s">
        <v>252</v>
      </c>
      <c r="C9" s="278" t="s">
        <v>45</v>
      </c>
      <c r="D9" s="403" t="s">
        <v>252</v>
      </c>
      <c r="E9" s="278" t="s">
        <v>45</v>
      </c>
    </row>
    <row r="10" spans="1:5" ht="5.0999999999999996" customHeight="1">
      <c r="A10" s="6"/>
    </row>
    <row r="11" spans="1:5" ht="14.1" customHeight="1">
      <c r="A11" s="285" t="s">
        <v>110</v>
      </c>
      <c r="B11" s="286">
        <v>17464496</v>
      </c>
      <c r="C11" s="286">
        <v>10922</v>
      </c>
      <c r="D11" s="286">
        <f>'- 3 -'!F11</f>
        <v>17916777</v>
      </c>
      <c r="E11" s="286">
        <f>ROUND(D11/'- 7 -'!E11,0)</f>
        <v>10690</v>
      </c>
    </row>
    <row r="12" spans="1:5" ht="14.1" customHeight="1">
      <c r="A12" s="19" t="s">
        <v>111</v>
      </c>
      <c r="B12" s="37">
        <v>31020950</v>
      </c>
      <c r="C12" s="37">
        <v>14538</v>
      </c>
      <c r="D12" s="20">
        <f>'- 3 -'!F12</f>
        <v>31679675</v>
      </c>
      <c r="E12" s="20">
        <f>ROUND(D12/'- 7 -'!E12,0)</f>
        <v>14909</v>
      </c>
    </row>
    <row r="13" spans="1:5" ht="14.1" customHeight="1">
      <c r="A13" s="285" t="s">
        <v>112</v>
      </c>
      <c r="B13" s="286">
        <v>86251333</v>
      </c>
      <c r="C13" s="286">
        <v>10706</v>
      </c>
      <c r="D13" s="286">
        <f>'- 3 -'!F13</f>
        <v>90509013</v>
      </c>
      <c r="E13" s="286">
        <f>ROUND(D13/'- 7 -'!E13,0)</f>
        <v>10971</v>
      </c>
    </row>
    <row r="14" spans="1:5" ht="14.1" customHeight="1">
      <c r="A14" s="19" t="s">
        <v>359</v>
      </c>
      <c r="B14" s="20">
        <v>76285427</v>
      </c>
      <c r="C14" s="20">
        <v>14558</v>
      </c>
      <c r="D14" s="20">
        <f>'- 3 -'!F14</f>
        <v>79682451</v>
      </c>
      <c r="E14" s="20">
        <f>ROUND(D14/'- 7 -'!E14,0)</f>
        <v>14913</v>
      </c>
    </row>
    <row r="15" spans="1:5" ht="14.1" customHeight="1">
      <c r="A15" s="285" t="s">
        <v>113</v>
      </c>
      <c r="B15" s="286">
        <v>19599395</v>
      </c>
      <c r="C15" s="286">
        <v>13494</v>
      </c>
      <c r="D15" s="286">
        <f>'- 3 -'!F15</f>
        <v>19767140</v>
      </c>
      <c r="E15" s="286">
        <f>ROUND(D15/'- 7 -'!E15,0)</f>
        <v>14019</v>
      </c>
    </row>
    <row r="16" spans="1:5" ht="14.1" customHeight="1">
      <c r="A16" s="19" t="s">
        <v>114</v>
      </c>
      <c r="B16" s="37">
        <v>13512322</v>
      </c>
      <c r="C16" s="37">
        <v>14793</v>
      </c>
      <c r="D16" s="20">
        <f>'- 3 -'!F16</f>
        <v>13913314</v>
      </c>
      <c r="E16" s="20">
        <f>ROUND(D16/'- 7 -'!E16,0)</f>
        <v>14920</v>
      </c>
    </row>
    <row r="17" spans="1:5" ht="14.1" customHeight="1">
      <c r="A17" s="285" t="s">
        <v>115</v>
      </c>
      <c r="B17" s="286">
        <v>17017519</v>
      </c>
      <c r="C17" s="286">
        <v>12738</v>
      </c>
      <c r="D17" s="286">
        <f>'- 3 -'!F17</f>
        <v>17036620</v>
      </c>
      <c r="E17" s="286">
        <f>ROUND(D17/'- 7 -'!E17,0)</f>
        <v>12695</v>
      </c>
    </row>
    <row r="18" spans="1:5" ht="14.1" customHeight="1">
      <c r="A18" s="19" t="s">
        <v>116</v>
      </c>
      <c r="B18" s="20">
        <v>117633866</v>
      </c>
      <c r="C18" s="20">
        <v>19385</v>
      </c>
      <c r="D18" s="20">
        <f>'- 3 -'!F18</f>
        <v>122150134</v>
      </c>
      <c r="E18" s="20">
        <f>ROUND(D18/'- 7 -'!E18,0)</f>
        <v>19756</v>
      </c>
    </row>
    <row r="19" spans="1:5" ht="14.1" customHeight="1">
      <c r="A19" s="285" t="s">
        <v>117</v>
      </c>
      <c r="B19" s="286">
        <v>43013413</v>
      </c>
      <c r="C19" s="286">
        <v>10204</v>
      </c>
      <c r="D19" s="286">
        <f>'- 3 -'!F19</f>
        <v>44668035</v>
      </c>
      <c r="E19" s="286">
        <f>ROUND(D19/'- 7 -'!E19,0)</f>
        <v>10548</v>
      </c>
    </row>
    <row r="20" spans="1:5" ht="14.1" customHeight="1">
      <c r="A20" s="19" t="s">
        <v>118</v>
      </c>
      <c r="B20" s="37">
        <v>74481728</v>
      </c>
      <c r="C20" s="37">
        <v>10105</v>
      </c>
      <c r="D20" s="20">
        <f>'- 3 -'!F20</f>
        <v>78137363</v>
      </c>
      <c r="E20" s="20">
        <f>ROUND(D20/'- 7 -'!E20,0)</f>
        <v>10328</v>
      </c>
    </row>
    <row r="21" spans="1:5" ht="14.1" customHeight="1">
      <c r="A21" s="285" t="s">
        <v>119</v>
      </c>
      <c r="B21" s="286">
        <v>34552645</v>
      </c>
      <c r="C21" s="286">
        <v>12907</v>
      </c>
      <c r="D21" s="286">
        <f>'- 3 -'!F21</f>
        <v>34875133</v>
      </c>
      <c r="E21" s="286">
        <f>ROUND(D21/'- 7 -'!E21,0)</f>
        <v>12984</v>
      </c>
    </row>
    <row r="22" spans="1:5" ht="14.1" customHeight="1">
      <c r="A22" s="19" t="s">
        <v>120</v>
      </c>
      <c r="B22" s="20">
        <v>18829634</v>
      </c>
      <c r="C22" s="20">
        <v>12292</v>
      </c>
      <c r="D22" s="20">
        <f>'- 3 -'!F22</f>
        <v>19333988</v>
      </c>
      <c r="E22" s="20">
        <f>ROUND(D22/'- 7 -'!E22,0)</f>
        <v>12621</v>
      </c>
    </row>
    <row r="23" spans="1:5" ht="14.1" customHeight="1">
      <c r="A23" s="285" t="s">
        <v>121</v>
      </c>
      <c r="B23" s="286">
        <v>15704572</v>
      </c>
      <c r="C23" s="286">
        <v>13997</v>
      </c>
      <c r="D23" s="286">
        <f>'- 3 -'!F23</f>
        <v>15574257</v>
      </c>
      <c r="E23" s="286">
        <f>ROUND(D23/'- 7 -'!E23,0)</f>
        <v>14025</v>
      </c>
    </row>
    <row r="24" spans="1:5" ht="14.1" customHeight="1">
      <c r="A24" s="19" t="s">
        <v>122</v>
      </c>
      <c r="B24" s="37">
        <v>53390010</v>
      </c>
      <c r="C24" s="37">
        <v>13192</v>
      </c>
      <c r="D24" s="20">
        <f>'- 3 -'!F24</f>
        <v>54806601</v>
      </c>
      <c r="E24" s="20">
        <f>ROUND(D24/'- 7 -'!E24,0)</f>
        <v>13731</v>
      </c>
    </row>
    <row r="25" spans="1:5" ht="14.1" customHeight="1">
      <c r="A25" s="285" t="s">
        <v>123</v>
      </c>
      <c r="B25" s="286">
        <v>157431357</v>
      </c>
      <c r="C25" s="286">
        <v>11331</v>
      </c>
      <c r="D25" s="286">
        <f>'- 3 -'!F25</f>
        <v>165447580</v>
      </c>
      <c r="E25" s="286">
        <f>ROUND(D25/'- 7 -'!E25,0)</f>
        <v>11687</v>
      </c>
    </row>
    <row r="26" spans="1:5" ht="14.1" customHeight="1">
      <c r="A26" s="19" t="s">
        <v>124</v>
      </c>
      <c r="B26" s="20">
        <v>38801876</v>
      </c>
      <c r="C26" s="20">
        <v>12487</v>
      </c>
      <c r="D26" s="20">
        <f>'- 3 -'!F26</f>
        <v>39530237</v>
      </c>
      <c r="E26" s="20">
        <f>ROUND(D26/'- 7 -'!E26,0)</f>
        <v>12851</v>
      </c>
    </row>
    <row r="27" spans="1:5" ht="14.1" customHeight="1">
      <c r="A27" s="285" t="s">
        <v>125</v>
      </c>
      <c r="B27" s="286">
        <v>39004223</v>
      </c>
      <c r="C27" s="286">
        <v>13650</v>
      </c>
      <c r="D27" s="286">
        <f>'- 3 -'!F27</f>
        <v>42014667</v>
      </c>
      <c r="E27" s="286">
        <f>ROUND(D27/'- 7 -'!E27,0)</f>
        <v>14462</v>
      </c>
    </row>
    <row r="28" spans="1:5" ht="14.1" customHeight="1">
      <c r="A28" s="19" t="s">
        <v>126</v>
      </c>
      <c r="B28" s="37">
        <v>27275038</v>
      </c>
      <c r="C28" s="37">
        <v>13631</v>
      </c>
      <c r="D28" s="20">
        <f>'- 3 -'!F28</f>
        <v>27607203</v>
      </c>
      <c r="E28" s="20">
        <f>ROUND(D28/'- 7 -'!E28,0)</f>
        <v>13876</v>
      </c>
    </row>
    <row r="29" spans="1:5" ht="14.1" customHeight="1">
      <c r="A29" s="285" t="s">
        <v>127</v>
      </c>
      <c r="B29" s="286">
        <v>144627315</v>
      </c>
      <c r="C29" s="286">
        <v>11629</v>
      </c>
      <c r="D29" s="286">
        <f>'- 3 -'!F29</f>
        <v>149471768</v>
      </c>
      <c r="E29" s="286">
        <f>ROUND(D29/'- 7 -'!E29,0)</f>
        <v>11776</v>
      </c>
    </row>
    <row r="30" spans="1:5" ht="14.1" customHeight="1">
      <c r="A30" s="19" t="s">
        <v>128</v>
      </c>
      <c r="B30" s="20">
        <v>13582491</v>
      </c>
      <c r="C30" s="20">
        <v>13016</v>
      </c>
      <c r="D30" s="20">
        <f>'- 3 -'!F30</f>
        <v>13875881</v>
      </c>
      <c r="E30" s="20">
        <f>ROUND(D30/'- 7 -'!E30,0)</f>
        <v>13821</v>
      </c>
    </row>
    <row r="31" spans="1:5" ht="14.1" customHeight="1">
      <c r="A31" s="285" t="s">
        <v>129</v>
      </c>
      <c r="B31" s="286">
        <v>35285731</v>
      </c>
      <c r="C31" s="286">
        <v>10864</v>
      </c>
      <c r="D31" s="286">
        <f>'- 3 -'!F31</f>
        <v>35739250</v>
      </c>
      <c r="E31" s="286">
        <f>ROUND(D31/'- 7 -'!E31,0)</f>
        <v>10934</v>
      </c>
    </row>
    <row r="32" spans="1:5" ht="14.1" customHeight="1">
      <c r="A32" s="19" t="s">
        <v>130</v>
      </c>
      <c r="B32" s="37">
        <v>26116998</v>
      </c>
      <c r="C32" s="37">
        <v>12472</v>
      </c>
      <c r="D32" s="20">
        <f>'- 3 -'!F32</f>
        <v>27620579</v>
      </c>
      <c r="E32" s="20">
        <f>ROUND(D32/'- 7 -'!E32,0)</f>
        <v>13077</v>
      </c>
    </row>
    <row r="33" spans="1:6" ht="14.1" customHeight="1">
      <c r="A33" s="285" t="s">
        <v>131</v>
      </c>
      <c r="B33" s="286">
        <v>26317962</v>
      </c>
      <c r="C33" s="286">
        <v>13116</v>
      </c>
      <c r="D33" s="286">
        <f>'- 3 -'!F33</f>
        <v>26427873</v>
      </c>
      <c r="E33" s="286">
        <f>ROUND(D33/'- 7 -'!E33,0)</f>
        <v>12992</v>
      </c>
    </row>
    <row r="34" spans="1:6" ht="14.1" customHeight="1">
      <c r="A34" s="19" t="s">
        <v>132</v>
      </c>
      <c r="B34" s="20">
        <v>26458707</v>
      </c>
      <c r="C34" s="20">
        <v>13291</v>
      </c>
      <c r="D34" s="20">
        <f>'- 3 -'!F34</f>
        <v>27840741</v>
      </c>
      <c r="E34" s="20">
        <f>ROUND(D34/'- 7 -'!E34,0)</f>
        <v>14050</v>
      </c>
    </row>
    <row r="35" spans="1:6" ht="14.1" customHeight="1">
      <c r="A35" s="285" t="s">
        <v>133</v>
      </c>
      <c r="B35" s="286">
        <v>172317517</v>
      </c>
      <c r="C35" s="286">
        <v>11082</v>
      </c>
      <c r="D35" s="286">
        <f>'- 3 -'!F35</f>
        <v>178063967</v>
      </c>
      <c r="E35" s="286">
        <f>ROUND(D35/'- 7 -'!E35,0)</f>
        <v>11541</v>
      </c>
    </row>
    <row r="36" spans="1:6" ht="14.1" customHeight="1">
      <c r="A36" s="19" t="s">
        <v>134</v>
      </c>
      <c r="B36" s="37">
        <v>21682975</v>
      </c>
      <c r="C36" s="37">
        <v>13149</v>
      </c>
      <c r="D36" s="20">
        <f>'- 3 -'!F36</f>
        <v>22264770</v>
      </c>
      <c r="E36" s="20">
        <f>ROUND(D36/'- 7 -'!E36,0)</f>
        <v>13605</v>
      </c>
    </row>
    <row r="37" spans="1:6" ht="14.1" customHeight="1">
      <c r="A37" s="285" t="s">
        <v>135</v>
      </c>
      <c r="B37" s="286">
        <v>44580010</v>
      </c>
      <c r="C37" s="286">
        <v>11278</v>
      </c>
      <c r="D37" s="286">
        <f>'- 3 -'!F37</f>
        <v>47094516</v>
      </c>
      <c r="E37" s="286">
        <f>ROUND(D37/'- 7 -'!E37,0)</f>
        <v>11477</v>
      </c>
    </row>
    <row r="38" spans="1:6" ht="14.1" customHeight="1">
      <c r="A38" s="19" t="s">
        <v>136</v>
      </c>
      <c r="B38" s="20">
        <v>119527597</v>
      </c>
      <c r="C38" s="20">
        <v>11345</v>
      </c>
      <c r="D38" s="20">
        <f>'- 3 -'!F38</f>
        <v>124210583</v>
      </c>
      <c r="E38" s="20">
        <f>ROUND(D38/'- 7 -'!E38,0)</f>
        <v>11502</v>
      </c>
    </row>
    <row r="39" spans="1:6" ht="14.1" customHeight="1">
      <c r="A39" s="285" t="s">
        <v>137</v>
      </c>
      <c r="B39" s="286">
        <v>20041577</v>
      </c>
      <c r="C39" s="286">
        <v>12959</v>
      </c>
      <c r="D39" s="286">
        <f>'- 3 -'!F39</f>
        <v>20520537</v>
      </c>
      <c r="E39" s="286">
        <f>ROUND(D39/'- 7 -'!E39,0)</f>
        <v>12948</v>
      </c>
    </row>
    <row r="40" spans="1:6" ht="14.1" customHeight="1">
      <c r="A40" s="19" t="s">
        <v>138</v>
      </c>
      <c r="B40" s="37">
        <v>96704987</v>
      </c>
      <c r="C40" s="37">
        <v>12265</v>
      </c>
      <c r="D40" s="20">
        <f>'- 3 -'!F40</f>
        <v>100822803</v>
      </c>
      <c r="E40" s="20">
        <f>ROUND(D40/'- 7 -'!E40,0)</f>
        <v>12668</v>
      </c>
    </row>
    <row r="41" spans="1:6" ht="14.1" customHeight="1">
      <c r="A41" s="285" t="s">
        <v>139</v>
      </c>
      <c r="B41" s="286">
        <v>58474412</v>
      </c>
      <c r="C41" s="286">
        <v>13425</v>
      </c>
      <c r="D41" s="286">
        <f>'- 3 -'!F41</f>
        <v>60536298</v>
      </c>
      <c r="E41" s="286">
        <f>ROUND(D41/'- 7 -'!E41,0)</f>
        <v>13802</v>
      </c>
    </row>
    <row r="42" spans="1:6" ht="14.1" customHeight="1">
      <c r="A42" s="19" t="s">
        <v>140</v>
      </c>
      <c r="B42" s="20">
        <v>19677320</v>
      </c>
      <c r="C42" s="20">
        <v>13961</v>
      </c>
      <c r="D42" s="20">
        <f>'- 3 -'!F42</f>
        <v>19783217</v>
      </c>
      <c r="E42" s="20">
        <f>ROUND(D42/'- 7 -'!E42,0)</f>
        <v>14292</v>
      </c>
    </row>
    <row r="43" spans="1:6" ht="14.1" customHeight="1">
      <c r="A43" s="285" t="s">
        <v>141</v>
      </c>
      <c r="B43" s="286">
        <v>12593448</v>
      </c>
      <c r="C43" s="286">
        <v>13074</v>
      </c>
      <c r="D43" s="286">
        <f>'- 3 -'!F43</f>
        <v>12473196</v>
      </c>
      <c r="E43" s="286">
        <f>ROUND(D43/'- 7 -'!E43,0)</f>
        <v>13175</v>
      </c>
    </row>
    <row r="44" spans="1:6" ht="14.1" customHeight="1">
      <c r="A44" s="19" t="s">
        <v>142</v>
      </c>
      <c r="B44" s="37">
        <v>10532858</v>
      </c>
      <c r="C44" s="37">
        <v>15155</v>
      </c>
      <c r="D44" s="20">
        <f>'- 3 -'!F44</f>
        <v>10853848</v>
      </c>
      <c r="E44" s="20">
        <f>ROUND(D44/'- 7 -'!E44,0)</f>
        <v>15938</v>
      </c>
    </row>
    <row r="45" spans="1:6" ht="14.1" customHeight="1">
      <c r="A45" s="285" t="s">
        <v>143</v>
      </c>
      <c r="B45" s="286">
        <v>17042000</v>
      </c>
      <c r="C45" s="286">
        <v>10605</v>
      </c>
      <c r="D45" s="286">
        <f>'- 3 -'!F45</f>
        <v>17882572</v>
      </c>
      <c r="E45" s="286">
        <f>ROUND(D45/'- 7 -'!E45,0)</f>
        <v>10773</v>
      </c>
    </row>
    <row r="46" spans="1:6" ht="14.1" customHeight="1">
      <c r="A46" s="19" t="s">
        <v>144</v>
      </c>
      <c r="B46" s="20">
        <v>358393813</v>
      </c>
      <c r="C46" s="20">
        <v>11985</v>
      </c>
      <c r="D46" s="20">
        <f>'- 3 -'!F46</f>
        <v>371322293</v>
      </c>
      <c r="E46" s="20">
        <f>ROUND(D46/'- 7 -'!E46,0)</f>
        <v>12446</v>
      </c>
    </row>
    <row r="47" spans="1:6" ht="5.0999999999999996" customHeight="1">
      <c r="A47"/>
      <c r="B47"/>
      <c r="C47"/>
      <c r="D47"/>
      <c r="E47"/>
      <c r="F47"/>
    </row>
    <row r="48" spans="1:6" ht="14.1" customHeight="1">
      <c r="A48" s="287" t="s">
        <v>145</v>
      </c>
      <c r="B48" s="288">
        <v>2105227522</v>
      </c>
      <c r="C48" s="288">
        <v>12205</v>
      </c>
      <c r="D48" s="288">
        <f>SUM(D11:D46)</f>
        <v>2181454880</v>
      </c>
      <c r="E48" s="288">
        <f>ROUND(D48/'- 7 -'!E48,0)</f>
        <v>12537</v>
      </c>
      <c r="F48" s="279"/>
    </row>
    <row r="49" spans="1:5" ht="5.0999999999999996" customHeight="1">
      <c r="A49" s="21" t="s">
        <v>7</v>
      </c>
      <c r="B49" s="22"/>
      <c r="C49" s="22"/>
      <c r="D49" s="22"/>
      <c r="E49" s="22"/>
    </row>
    <row r="50" spans="1:5" ht="14.1" customHeight="1">
      <c r="A50" s="19" t="s">
        <v>146</v>
      </c>
      <c r="B50" s="37">
        <v>3182517</v>
      </c>
      <c r="C50" s="37">
        <v>19126</v>
      </c>
      <c r="D50" s="20">
        <f>'- 3 -'!F50</f>
        <v>3284313</v>
      </c>
      <c r="E50" s="20">
        <f>ROUND(D50/'- 7 -'!E50,0)</f>
        <v>19207</v>
      </c>
    </row>
    <row r="51" spans="1:5" ht="14.1" customHeight="1">
      <c r="A51" s="285" t="s">
        <v>612</v>
      </c>
      <c r="B51" s="286">
        <v>11860617</v>
      </c>
      <c r="C51" s="286">
        <v>15963</v>
      </c>
      <c r="D51" s="286">
        <f>'- 3 -'!F51</f>
        <v>14088449</v>
      </c>
      <c r="E51" s="286">
        <f>ROUND(D51/'- 7 -'!E51,0)</f>
        <v>13867</v>
      </c>
    </row>
    <row r="52" spans="1:5" ht="50.1" customHeight="1">
      <c r="A52" s="23"/>
      <c r="B52" s="23"/>
      <c r="C52" s="23"/>
      <c r="D52" s="23"/>
      <c r="E52" s="23"/>
    </row>
    <row r="53" spans="1:5" ht="15" customHeight="1">
      <c r="A53" s="607" t="s">
        <v>455</v>
      </c>
      <c r="B53" s="607"/>
      <c r="C53" s="607"/>
      <c r="D53" s="607"/>
      <c r="E53" s="607"/>
    </row>
    <row r="54" spans="1:5" ht="12" customHeight="1">
      <c r="A54" s="608"/>
      <c r="B54" s="608"/>
      <c r="C54" s="608"/>
      <c r="D54" s="608"/>
      <c r="E54" s="608"/>
    </row>
    <row r="55" spans="1:5" ht="12" customHeight="1">
      <c r="A55" s="608"/>
      <c r="B55" s="608"/>
      <c r="C55" s="608"/>
      <c r="D55" s="608"/>
      <c r="E55" s="608"/>
    </row>
    <row r="56" spans="1:5">
      <c r="A56" s="24"/>
    </row>
    <row r="60" spans="1:5" s="3" customFormat="1" ht="11.25"/>
    <row r="61" spans="1:5" s="3" customFormat="1" ht="11.25"/>
    <row r="62" spans="1:5" s="3" customFormat="1" ht="11.25"/>
    <row r="63" spans="1:5" s="3" customFormat="1" ht="11.25"/>
    <row r="64" spans="1:5" s="3" customFormat="1" ht="11.25"/>
    <row r="65" s="3" customFormat="1" ht="11.25"/>
    <row r="66" s="3" customFormat="1" ht="11.25"/>
    <row r="67" s="3" customFormat="1" ht="11.25"/>
    <row r="68" s="3" customFormat="1" ht="11.25"/>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sheetPr codeName="Sheet32">
    <pageSetUpPr fitToPage="1"/>
  </sheetPr>
  <dimension ref="A1:H52"/>
  <sheetViews>
    <sheetView showGridLines="0" showZeros="0" workbookViewId="0"/>
  </sheetViews>
  <sheetFormatPr defaultColWidth="15.83203125" defaultRowHeight="12"/>
  <cols>
    <col min="1" max="1" width="32.83203125" style="2" customWidth="1"/>
    <col min="2" max="2" width="16.83203125" style="2" customWidth="1"/>
    <col min="3" max="3" width="17.83203125" style="2" customWidth="1"/>
    <col min="4" max="4" width="10.83203125" style="2" customWidth="1"/>
    <col min="5" max="5" width="15.83203125" style="2" customWidth="1"/>
    <col min="6" max="6" width="11.83203125" style="2" customWidth="1"/>
    <col min="7" max="7" width="14.83203125" style="2" customWidth="1"/>
    <col min="8" max="8" width="11.83203125" style="2" customWidth="1"/>
    <col min="9" max="16384" width="15.83203125" style="2"/>
  </cols>
  <sheetData>
    <row r="1" spans="1:8" ht="6.95" customHeight="1">
      <c r="A1" s="7"/>
      <c r="B1" s="8"/>
      <c r="C1" s="8"/>
      <c r="D1" s="8"/>
      <c r="E1" s="8"/>
      <c r="F1" s="8"/>
      <c r="G1" s="8"/>
      <c r="H1" s="8"/>
    </row>
    <row r="2" spans="1:8" ht="15.95" customHeight="1">
      <c r="A2" s="134"/>
      <c r="B2" s="9" t="s">
        <v>267</v>
      </c>
      <c r="C2" s="10"/>
      <c r="D2" s="10"/>
      <c r="E2" s="10"/>
      <c r="F2" s="73"/>
      <c r="G2" s="73"/>
      <c r="H2" s="73"/>
    </row>
    <row r="3" spans="1:8" ht="15.95" customHeight="1">
      <c r="A3" s="543"/>
      <c r="B3" s="11" t="str">
        <f>OPYEAR</f>
        <v>OPERATING FUND 2015/2016 ACTUAL</v>
      </c>
      <c r="C3" s="12"/>
      <c r="D3" s="12"/>
      <c r="E3" s="12"/>
      <c r="F3" s="75"/>
      <c r="G3" s="75"/>
      <c r="H3" s="75"/>
    </row>
    <row r="4" spans="1:8" ht="15.95" customHeight="1">
      <c r="B4" s="8"/>
      <c r="C4" s="8"/>
      <c r="D4" s="8"/>
      <c r="E4" s="8"/>
      <c r="F4" s="8"/>
      <c r="G4" s="8"/>
      <c r="H4" s="8"/>
    </row>
    <row r="5" spans="1:8" ht="15.95" customHeight="1">
      <c r="B5" s="8"/>
      <c r="C5" s="8"/>
      <c r="D5" s="8"/>
      <c r="E5" s="8"/>
      <c r="F5" s="8"/>
      <c r="G5" s="8"/>
      <c r="H5" s="8"/>
    </row>
    <row r="6" spans="1:8" ht="15.95" customHeight="1">
      <c r="B6" s="310" t="s">
        <v>18</v>
      </c>
      <c r="C6" s="313"/>
      <c r="D6" s="317"/>
      <c r="E6" s="317"/>
      <c r="F6" s="317"/>
      <c r="G6" s="317"/>
      <c r="H6" s="307"/>
    </row>
    <row r="7" spans="1:8" ht="15.95" customHeight="1">
      <c r="B7" s="298" t="s">
        <v>32</v>
      </c>
      <c r="C7" s="299"/>
      <c r="D7" s="309"/>
      <c r="E7" s="309"/>
      <c r="F7" s="309"/>
      <c r="G7" s="309"/>
      <c r="H7" s="318"/>
    </row>
    <row r="8" spans="1:8" ht="15.95" customHeight="1">
      <c r="A8" s="67"/>
      <c r="B8" s="31"/>
      <c r="C8" s="617" t="s">
        <v>508</v>
      </c>
      <c r="D8" s="596" t="s">
        <v>480</v>
      </c>
      <c r="E8" s="699" t="s">
        <v>509</v>
      </c>
      <c r="F8" s="697" t="s">
        <v>510</v>
      </c>
      <c r="G8" s="697" t="s">
        <v>511</v>
      </c>
      <c r="H8" s="697" t="s">
        <v>512</v>
      </c>
    </row>
    <row r="9" spans="1:8" ht="15.95" customHeight="1">
      <c r="A9" s="35" t="s">
        <v>42</v>
      </c>
      <c r="B9" s="77" t="s">
        <v>43</v>
      </c>
      <c r="C9" s="598"/>
      <c r="D9" s="598"/>
      <c r="E9" s="698"/>
      <c r="F9" s="698"/>
      <c r="G9" s="698"/>
      <c r="H9" s="698"/>
    </row>
    <row r="10" spans="1:8" ht="5.0999999999999996" customHeight="1">
      <c r="A10" s="6"/>
    </row>
    <row r="11" spans="1:8" ht="14.1" customHeight="1">
      <c r="A11" s="285" t="s">
        <v>110</v>
      </c>
      <c r="B11" s="286">
        <f>'- 29 -'!$D11</f>
        <v>946291</v>
      </c>
      <c r="C11" s="286">
        <v>751</v>
      </c>
      <c r="D11" s="286">
        <f ca="1">IF(AND(CELL("type",C11)="v",C11&gt;0),B11/C11,"")</f>
        <v>1260.0412782956059</v>
      </c>
      <c r="E11" s="286">
        <v>620680</v>
      </c>
      <c r="F11" s="362">
        <f ca="1">IF(AND(CELL("type",E11)="v",E11&gt;0),B11/E11,"")</f>
        <v>1.5246036605013855</v>
      </c>
      <c r="G11" s="286">
        <v>404800</v>
      </c>
      <c r="H11" s="362">
        <f ca="1">IF(AND(CELL("type",G11)="v",G11&gt;0),B11/G11,"")</f>
        <v>2.3376753952569169</v>
      </c>
    </row>
    <row r="12" spans="1:8" ht="14.1" customHeight="1">
      <c r="A12" s="19" t="s">
        <v>111</v>
      </c>
      <c r="B12" s="20">
        <f>'- 29 -'!$D12</f>
        <v>2166075</v>
      </c>
      <c r="C12" s="20">
        <v>1509</v>
      </c>
      <c r="D12" s="20">
        <f t="shared" ref="D12:D46" ca="1" si="0">IF(AND(CELL("type",C12)="v",C12&gt;0),B12/C12,"")</f>
        <v>1435.4373757455269</v>
      </c>
      <c r="E12" s="20">
        <v>1190232</v>
      </c>
      <c r="F12" s="363">
        <f t="shared" ref="F12:F46" ca="1" si="1">IF(AND(CELL("type",E12)="v",E12&gt;0),B12/E12,"")</f>
        <v>1.8198762930252252</v>
      </c>
      <c r="G12" s="20">
        <v>709125</v>
      </c>
      <c r="H12" s="363">
        <f t="shared" ref="H12:H46" ca="1" si="2">IF(AND(CELL("type",G12)="v",G12&gt;0),B12/G12,"")</f>
        <v>3.0545742993125331</v>
      </c>
    </row>
    <row r="13" spans="1:8" ht="14.1" customHeight="1">
      <c r="A13" s="285" t="s">
        <v>112</v>
      </c>
      <c r="B13" s="286">
        <f>'- 29 -'!$D13</f>
        <v>1845239</v>
      </c>
      <c r="C13" s="286">
        <v>3036</v>
      </c>
      <c r="D13" s="286">
        <f t="shared" ca="1" si="0"/>
        <v>607.786231884058</v>
      </c>
      <c r="E13" s="286">
        <v>817000</v>
      </c>
      <c r="F13" s="362">
        <f t="shared" ca="1" si="1"/>
        <v>2.2585544675642595</v>
      </c>
      <c r="G13" s="286">
        <v>501000</v>
      </c>
      <c r="H13" s="362">
        <f t="shared" ca="1" si="2"/>
        <v>3.683111776447106</v>
      </c>
    </row>
    <row r="14" spans="1:8" ht="14.1" customHeight="1">
      <c r="A14" s="19" t="s">
        <v>359</v>
      </c>
      <c r="B14" s="20">
        <f>'- 29 -'!$D14</f>
        <v>7396540</v>
      </c>
      <c r="C14" s="20">
        <v>4414</v>
      </c>
      <c r="D14" s="20">
        <f t="shared" ca="1" si="0"/>
        <v>1675.700045310376</v>
      </c>
      <c r="E14" s="20">
        <v>3253401</v>
      </c>
      <c r="F14" s="363">
        <f t="shared" ca="1" si="1"/>
        <v>2.273479352837231</v>
      </c>
      <c r="G14" s="20">
        <v>1733526</v>
      </c>
      <c r="H14" s="363">
        <f t="shared" ca="1" si="2"/>
        <v>4.266760348561256</v>
      </c>
    </row>
    <row r="15" spans="1:8" ht="14.1" customHeight="1">
      <c r="A15" s="285" t="s">
        <v>113</v>
      </c>
      <c r="B15" s="286">
        <f>'- 29 -'!$D15</f>
        <v>1439156</v>
      </c>
      <c r="C15" s="286">
        <v>1015</v>
      </c>
      <c r="D15" s="286">
        <f t="shared" ca="1" si="0"/>
        <v>1417.8876847290639</v>
      </c>
      <c r="E15" s="286">
        <v>748880</v>
      </c>
      <c r="F15" s="362">
        <f t="shared" ca="1" si="1"/>
        <v>1.9217444717444718</v>
      </c>
      <c r="G15" s="286">
        <v>487660</v>
      </c>
      <c r="H15" s="362">
        <f t="shared" ca="1" si="2"/>
        <v>2.9511462904482633</v>
      </c>
    </row>
    <row r="16" spans="1:8" ht="14.1" customHeight="1">
      <c r="A16" s="19" t="s">
        <v>114</v>
      </c>
      <c r="B16" s="20">
        <f>'- 29 -'!$D16</f>
        <v>353114</v>
      </c>
      <c r="C16" s="20">
        <v>290</v>
      </c>
      <c r="D16" s="20">
        <f t="shared" ca="1" si="0"/>
        <v>1217.6344827586206</v>
      </c>
      <c r="E16" s="20">
        <v>54717</v>
      </c>
      <c r="F16" s="363">
        <f t="shared" ca="1" si="1"/>
        <v>6.453460533289471</v>
      </c>
      <c r="G16" s="20">
        <v>35319</v>
      </c>
      <c r="H16" s="363">
        <f t="shared" ca="1" si="2"/>
        <v>9.99784818369716</v>
      </c>
    </row>
    <row r="17" spans="1:8" ht="14.1" customHeight="1">
      <c r="A17" s="285" t="s">
        <v>115</v>
      </c>
      <c r="B17" s="286">
        <f>'- 29 -'!$D17</f>
        <v>1256369</v>
      </c>
      <c r="C17" s="286">
        <v>672</v>
      </c>
      <c r="D17" s="286">
        <f t="shared" ca="1" si="0"/>
        <v>1869.5967261904761</v>
      </c>
      <c r="E17" s="286">
        <v>929036</v>
      </c>
      <c r="F17" s="362">
        <f t="shared" ca="1" si="1"/>
        <v>1.3523361850348103</v>
      </c>
      <c r="G17" s="286">
        <v>629282</v>
      </c>
      <c r="H17" s="362">
        <f t="shared" ca="1" si="2"/>
        <v>1.9965118976865697</v>
      </c>
    </row>
    <row r="18" spans="1:8" ht="14.1" customHeight="1">
      <c r="A18" s="19" t="s">
        <v>116</v>
      </c>
      <c r="B18" s="20">
        <f>'- 29 -'!$D18</f>
        <v>7040607</v>
      </c>
      <c r="C18" s="20">
        <v>5221</v>
      </c>
      <c r="D18" s="20">
        <f t="shared" ca="1" si="0"/>
        <v>1348.5169507757134</v>
      </c>
      <c r="E18" s="20">
        <v>1541015</v>
      </c>
      <c r="F18" s="363">
        <f t="shared" ca="1" si="1"/>
        <v>4.5688114651706826</v>
      </c>
      <c r="G18" s="20">
        <v>1071600</v>
      </c>
      <c r="H18" s="363">
        <f t="shared" ca="1" si="2"/>
        <v>6.5701819708846587</v>
      </c>
    </row>
    <row r="19" spans="1:8" ht="14.1" customHeight="1">
      <c r="A19" s="285" t="s">
        <v>117</v>
      </c>
      <c r="B19" s="286">
        <f>'- 29 -'!$D19</f>
        <v>2242351</v>
      </c>
      <c r="C19" s="286">
        <v>2650</v>
      </c>
      <c r="D19" s="286">
        <f t="shared" ca="1" si="0"/>
        <v>846.17018867924526</v>
      </c>
      <c r="E19" s="286">
        <v>795867</v>
      </c>
      <c r="F19" s="362">
        <f t="shared" ca="1" si="1"/>
        <v>2.8174946316407139</v>
      </c>
      <c r="G19" s="286">
        <v>454023</v>
      </c>
      <c r="H19" s="362">
        <f t="shared" ca="1" si="2"/>
        <v>4.938848912940534</v>
      </c>
    </row>
    <row r="20" spans="1:8" ht="14.1" customHeight="1">
      <c r="A20" s="19" t="s">
        <v>118</v>
      </c>
      <c r="B20" s="20">
        <f>'- 29 -'!$D20</f>
        <v>2374619</v>
      </c>
      <c r="C20" s="20">
        <v>5110</v>
      </c>
      <c r="D20" s="20">
        <f t="shared" ca="1" si="0"/>
        <v>464.70039138943247</v>
      </c>
      <c r="E20" s="20">
        <v>1426649</v>
      </c>
      <c r="F20" s="363">
        <f t="shared" ca="1" si="1"/>
        <v>1.6644731815604259</v>
      </c>
      <c r="G20" s="20">
        <v>844893</v>
      </c>
      <c r="H20" s="363">
        <f t="shared" ca="1" si="2"/>
        <v>2.8105558928763759</v>
      </c>
    </row>
    <row r="21" spans="1:8" ht="14.1" customHeight="1">
      <c r="A21" s="285" t="s">
        <v>119</v>
      </c>
      <c r="B21" s="286">
        <f>'- 29 -'!$D21</f>
        <v>1831937</v>
      </c>
      <c r="C21" s="286">
        <v>1504</v>
      </c>
      <c r="D21" s="286">
        <f t="shared" ca="1" si="0"/>
        <v>1218.0432180851064</v>
      </c>
      <c r="E21" s="286">
        <v>982717.4</v>
      </c>
      <c r="F21" s="362">
        <f t="shared" ca="1" si="1"/>
        <v>1.8641544354460398</v>
      </c>
      <c r="G21" s="286">
        <v>599496.6</v>
      </c>
      <c r="H21" s="362">
        <f t="shared" ca="1" si="2"/>
        <v>3.0557921429412613</v>
      </c>
    </row>
    <row r="22" spans="1:8" ht="14.1" customHeight="1">
      <c r="A22" s="19" t="s">
        <v>120</v>
      </c>
      <c r="B22" s="20">
        <f>'- 29 -'!$D22</f>
        <v>398924</v>
      </c>
      <c r="C22" s="20">
        <v>503</v>
      </c>
      <c r="D22" s="20">
        <f t="shared" ca="1" si="0"/>
        <v>793.08946322067595</v>
      </c>
      <c r="E22" s="20">
        <v>157994</v>
      </c>
      <c r="F22" s="363">
        <f t="shared" ca="1" si="1"/>
        <v>2.5249313265060698</v>
      </c>
      <c r="G22" s="20">
        <v>97712</v>
      </c>
      <c r="H22" s="363">
        <f t="shared" ca="1" si="2"/>
        <v>4.0826510561650569</v>
      </c>
    </row>
    <row r="23" spans="1:8" ht="14.1" customHeight="1">
      <c r="A23" s="285" t="s">
        <v>121</v>
      </c>
      <c r="B23" s="286">
        <f>'- 29 -'!$D23</f>
        <v>1532489</v>
      </c>
      <c r="C23" s="286">
        <v>797</v>
      </c>
      <c r="D23" s="286">
        <f t="shared" ca="1" si="0"/>
        <v>1922.8218318695106</v>
      </c>
      <c r="E23" s="286">
        <v>1020115</v>
      </c>
      <c r="F23" s="362">
        <f t="shared" ca="1" si="1"/>
        <v>1.5022708224072776</v>
      </c>
      <c r="G23" s="286">
        <v>584447</v>
      </c>
      <c r="H23" s="362">
        <f t="shared" ca="1" si="2"/>
        <v>2.6221180021456179</v>
      </c>
    </row>
    <row r="24" spans="1:8" ht="14.1" customHeight="1">
      <c r="A24" s="19" t="s">
        <v>122</v>
      </c>
      <c r="B24" s="20">
        <f>'- 29 -'!$D24</f>
        <v>2123302</v>
      </c>
      <c r="C24" s="20">
        <v>2853</v>
      </c>
      <c r="D24" s="20">
        <f t="shared" ca="1" si="0"/>
        <v>744.23484051875221</v>
      </c>
      <c r="E24" s="20">
        <v>1006134</v>
      </c>
      <c r="F24" s="363">
        <f t="shared" ca="1" si="1"/>
        <v>2.11035706973425</v>
      </c>
      <c r="G24" s="20">
        <v>634278</v>
      </c>
      <c r="H24" s="363">
        <f t="shared" ca="1" si="2"/>
        <v>3.3475889121173998</v>
      </c>
    </row>
    <row r="25" spans="1:8" ht="14.1" customHeight="1">
      <c r="A25" s="285" t="s">
        <v>123</v>
      </c>
      <c r="B25" s="286">
        <f>'- 29 -'!$D25</f>
        <v>3478231</v>
      </c>
      <c r="C25" s="286">
        <v>2780</v>
      </c>
      <c r="D25" s="286">
        <f t="shared" ca="1" si="0"/>
        <v>1251.1622302158273</v>
      </c>
      <c r="E25" s="286">
        <v>894033</v>
      </c>
      <c r="F25" s="362">
        <f t="shared" ca="1" si="1"/>
        <v>3.8904950935815568</v>
      </c>
      <c r="G25" s="286">
        <v>440760</v>
      </c>
      <c r="H25" s="362">
        <f t="shared" ca="1" si="2"/>
        <v>7.8914397858244847</v>
      </c>
    </row>
    <row r="26" spans="1:8" ht="14.1" customHeight="1">
      <c r="A26" s="19" t="s">
        <v>124</v>
      </c>
      <c r="B26" s="20">
        <f>'- 29 -'!$D26</f>
        <v>2572895</v>
      </c>
      <c r="C26" s="20">
        <v>1383</v>
      </c>
      <c r="D26" s="20">
        <f t="shared" ca="1" si="0"/>
        <v>1860.3723788864786</v>
      </c>
      <c r="E26" s="20">
        <v>1310605</v>
      </c>
      <c r="F26" s="363">
        <f t="shared" ca="1" si="1"/>
        <v>1.9631353458898753</v>
      </c>
      <c r="G26" s="20">
        <v>1091705</v>
      </c>
      <c r="H26" s="363">
        <f t="shared" ca="1" si="2"/>
        <v>2.3567676249536276</v>
      </c>
    </row>
    <row r="27" spans="1:8" ht="14.1" customHeight="1">
      <c r="A27" s="285" t="s">
        <v>125</v>
      </c>
      <c r="B27" s="286">
        <f>'- 29 -'!$D27</f>
        <v>0</v>
      </c>
      <c r="C27" s="286">
        <v>0</v>
      </c>
      <c r="D27" s="286" t="str">
        <f ca="1">IF(AND(CELL("type",C27)="v",C27&gt;0),B27/C27,"")</f>
        <v/>
      </c>
      <c r="E27" s="286">
        <v>0</v>
      </c>
      <c r="F27" s="362" t="str">
        <f ca="1">IF(AND(CELL("type",E27)="v",E27&gt;0),B27/E27,"")</f>
        <v/>
      </c>
      <c r="G27" s="286">
        <v>0</v>
      </c>
      <c r="H27" s="362" t="str">
        <f ca="1">IF(AND(CELL("type",G27)="v",G27&gt;0),B27/G27,"")</f>
        <v/>
      </c>
    </row>
    <row r="28" spans="1:8" ht="14.1" customHeight="1">
      <c r="A28" s="19" t="s">
        <v>126</v>
      </c>
      <c r="B28" s="20">
        <f>'- 29 -'!$D28</f>
        <v>1834348</v>
      </c>
      <c r="C28" s="20">
        <v>867</v>
      </c>
      <c r="D28" s="20">
        <f t="shared" ca="1" si="0"/>
        <v>2115.7416378316034</v>
      </c>
      <c r="E28" s="20">
        <v>1248792</v>
      </c>
      <c r="F28" s="363">
        <f t="shared" ca="1" si="1"/>
        <v>1.4688979429720883</v>
      </c>
      <c r="G28" s="20">
        <v>794403</v>
      </c>
      <c r="H28" s="363">
        <f t="shared" ca="1" si="2"/>
        <v>2.3090899707075629</v>
      </c>
    </row>
    <row r="29" spans="1:8" ht="14.1" customHeight="1">
      <c r="A29" s="285" t="s">
        <v>127</v>
      </c>
      <c r="B29" s="286">
        <f>'- 29 -'!$D29</f>
        <v>2096074</v>
      </c>
      <c r="C29" s="286">
        <v>2485</v>
      </c>
      <c r="D29" s="286">
        <f t="shared" ca="1" si="0"/>
        <v>843.4905432595574</v>
      </c>
      <c r="E29" s="286">
        <v>528468</v>
      </c>
      <c r="F29" s="362">
        <f t="shared" ca="1" si="1"/>
        <v>3.9663215180483964</v>
      </c>
      <c r="G29" s="286">
        <v>297848</v>
      </c>
      <c r="H29" s="362">
        <f t="shared" ca="1" si="2"/>
        <v>7.0373949128414495</v>
      </c>
    </row>
    <row r="30" spans="1:8" ht="14.1" customHeight="1">
      <c r="A30" s="19" t="s">
        <v>128</v>
      </c>
      <c r="B30" s="20">
        <f>'- 29 -'!$D30</f>
        <v>1000676</v>
      </c>
      <c r="C30" s="20">
        <v>581</v>
      </c>
      <c r="D30" s="20">
        <f t="shared" ca="1" si="0"/>
        <v>1722.3339070567986</v>
      </c>
      <c r="E30" s="20">
        <v>573837</v>
      </c>
      <c r="F30" s="363">
        <f t="shared" ca="1" si="1"/>
        <v>1.743833179108353</v>
      </c>
      <c r="G30" s="20">
        <v>416676</v>
      </c>
      <c r="H30" s="363">
        <f t="shared" ca="1" si="2"/>
        <v>2.4015686048632512</v>
      </c>
    </row>
    <row r="31" spans="1:8" ht="14.1" customHeight="1">
      <c r="A31" s="285" t="s">
        <v>129</v>
      </c>
      <c r="B31" s="286">
        <f>'- 29 -'!$D31</f>
        <v>919969</v>
      </c>
      <c r="C31" s="286">
        <v>1151</v>
      </c>
      <c r="D31" s="286">
        <f t="shared" ca="1" si="0"/>
        <v>799.27801911381403</v>
      </c>
      <c r="E31" s="286">
        <v>628176</v>
      </c>
      <c r="F31" s="362">
        <f t="shared" ca="1" si="1"/>
        <v>1.4645083543465525</v>
      </c>
      <c r="G31" s="286">
        <v>398728</v>
      </c>
      <c r="H31" s="362">
        <f t="shared" ca="1" si="2"/>
        <v>2.3072595854818321</v>
      </c>
    </row>
    <row r="32" spans="1:8" ht="14.1" customHeight="1">
      <c r="A32" s="19" t="s">
        <v>130</v>
      </c>
      <c r="B32" s="20">
        <f>'- 29 -'!$D32</f>
        <v>1812079</v>
      </c>
      <c r="C32" s="20">
        <v>1454</v>
      </c>
      <c r="D32" s="20">
        <f t="shared" ca="1" si="0"/>
        <v>1246.2716643741403</v>
      </c>
      <c r="E32" s="20">
        <v>1058270.8</v>
      </c>
      <c r="F32" s="363">
        <f t="shared" ca="1" si="1"/>
        <v>1.712301804037303</v>
      </c>
      <c r="G32" s="20">
        <v>696107.9</v>
      </c>
      <c r="H32" s="363">
        <f t="shared" ca="1" si="2"/>
        <v>2.6031582172821195</v>
      </c>
    </row>
    <row r="33" spans="1:8" ht="14.1" customHeight="1">
      <c r="A33" s="285" t="s">
        <v>131</v>
      </c>
      <c r="B33" s="286">
        <f>'- 29 -'!$D33</f>
        <v>1992827</v>
      </c>
      <c r="C33" s="286">
        <v>1156</v>
      </c>
      <c r="D33" s="286">
        <f t="shared" ca="1" si="0"/>
        <v>1723.8987889273355</v>
      </c>
      <c r="E33" s="286">
        <v>1437868</v>
      </c>
      <c r="F33" s="362">
        <f t="shared" ca="1" si="1"/>
        <v>1.3859596291175547</v>
      </c>
      <c r="G33" s="286">
        <v>890405</v>
      </c>
      <c r="H33" s="362">
        <f t="shared" ca="1" si="2"/>
        <v>2.238112993525418</v>
      </c>
    </row>
    <row r="34" spans="1:8" ht="14.1" customHeight="1">
      <c r="A34" s="19" t="s">
        <v>132</v>
      </c>
      <c r="B34" s="20">
        <f>'- 29 -'!$D34</f>
        <v>2272546</v>
      </c>
      <c r="C34" s="20">
        <v>1411</v>
      </c>
      <c r="D34" s="20">
        <f t="shared" ca="1" si="0"/>
        <v>1610.5924875974486</v>
      </c>
      <c r="E34" s="20">
        <v>1358393</v>
      </c>
      <c r="F34" s="363">
        <f t="shared" ca="1" si="1"/>
        <v>1.6729665126366229</v>
      </c>
      <c r="G34" s="20">
        <v>880279</v>
      </c>
      <c r="H34" s="363">
        <f t="shared" ca="1" si="2"/>
        <v>2.5816201454311645</v>
      </c>
    </row>
    <row r="35" spans="1:8" ht="14.1" customHeight="1">
      <c r="A35" s="285" t="s">
        <v>133</v>
      </c>
      <c r="B35" s="286">
        <f>'- 29 -'!$D35</f>
        <v>3557476</v>
      </c>
      <c r="C35" s="286">
        <v>3552</v>
      </c>
      <c r="D35" s="286">
        <f t="shared" ca="1" si="0"/>
        <v>1001.5416666666666</v>
      </c>
      <c r="E35" s="286">
        <v>1026567</v>
      </c>
      <c r="F35" s="362">
        <f t="shared" ca="1" si="1"/>
        <v>3.4654104408187676</v>
      </c>
      <c r="G35" s="286">
        <v>475552</v>
      </c>
      <c r="H35" s="362">
        <f t="shared" ca="1" si="2"/>
        <v>7.480729762465514</v>
      </c>
    </row>
    <row r="36" spans="1:8" ht="14.1" customHeight="1">
      <c r="A36" s="19" t="s">
        <v>134</v>
      </c>
      <c r="B36" s="20">
        <f>'- 29 -'!$D36</f>
        <v>1386337</v>
      </c>
      <c r="C36" s="20">
        <v>897</v>
      </c>
      <c r="D36" s="20">
        <f t="shared" ca="1" si="0"/>
        <v>1545.5261984392419</v>
      </c>
      <c r="E36" s="20">
        <v>781410</v>
      </c>
      <c r="F36" s="363">
        <f t="shared" ca="1" si="1"/>
        <v>1.7741480144866331</v>
      </c>
      <c r="G36" s="20">
        <v>499590</v>
      </c>
      <c r="H36" s="363">
        <f t="shared" ca="1" si="2"/>
        <v>2.7749494585560157</v>
      </c>
    </row>
    <row r="37" spans="1:8" ht="14.1" customHeight="1">
      <c r="A37" s="285" t="s">
        <v>135</v>
      </c>
      <c r="B37" s="286">
        <f>'- 29 -'!$D37</f>
        <v>2789067</v>
      </c>
      <c r="C37" s="286">
        <v>2867</v>
      </c>
      <c r="D37" s="286">
        <f t="shared" ca="1" si="0"/>
        <v>972.81723055458667</v>
      </c>
      <c r="E37" s="286">
        <v>1345782</v>
      </c>
      <c r="F37" s="362">
        <f t="shared" ca="1" si="1"/>
        <v>2.0724508129845693</v>
      </c>
      <c r="G37" s="286">
        <v>842898</v>
      </c>
      <c r="H37" s="362">
        <f t="shared" ca="1" si="2"/>
        <v>3.3089021447434921</v>
      </c>
    </row>
    <row r="38" spans="1:8" ht="14.1" customHeight="1">
      <c r="A38" s="19" t="s">
        <v>136</v>
      </c>
      <c r="B38" s="20">
        <f>'- 29 -'!$D38</f>
        <v>2954177</v>
      </c>
      <c r="C38" s="20">
        <v>2727</v>
      </c>
      <c r="D38" s="20">
        <f t="shared" ca="1" si="0"/>
        <v>1083.3065639897322</v>
      </c>
      <c r="E38" s="20">
        <v>583246</v>
      </c>
      <c r="F38" s="363">
        <f t="shared" ca="1" si="1"/>
        <v>5.0650617406720322</v>
      </c>
      <c r="G38" s="20">
        <v>415722</v>
      </c>
      <c r="H38" s="363">
        <f t="shared" ca="1" si="2"/>
        <v>7.106135831156398</v>
      </c>
    </row>
    <row r="39" spans="1:8" ht="14.1" customHeight="1">
      <c r="A39" s="285" t="s">
        <v>137</v>
      </c>
      <c r="B39" s="286">
        <f>'- 29 -'!$D39</f>
        <v>1675675</v>
      </c>
      <c r="C39" s="286">
        <v>792</v>
      </c>
      <c r="D39" s="286">
        <f t="shared" ca="1" si="0"/>
        <v>2115.7512626262628</v>
      </c>
      <c r="E39" s="286">
        <v>1082994</v>
      </c>
      <c r="F39" s="362">
        <f t="shared" ca="1" si="1"/>
        <v>1.5472615730096382</v>
      </c>
      <c r="G39" s="286">
        <v>679845</v>
      </c>
      <c r="H39" s="362">
        <f t="shared" ca="1" si="2"/>
        <v>2.4647897682559994</v>
      </c>
    </row>
    <row r="40" spans="1:8" ht="14.1" customHeight="1">
      <c r="A40" s="19" t="s">
        <v>138</v>
      </c>
      <c r="B40" s="20">
        <f>'- 29 -'!$D40</f>
        <v>1839594</v>
      </c>
      <c r="C40" s="20">
        <v>1994</v>
      </c>
      <c r="D40" s="20">
        <f t="shared" ca="1" si="0"/>
        <v>922.56469408224677</v>
      </c>
      <c r="E40" s="20">
        <v>505975</v>
      </c>
      <c r="F40" s="363">
        <f t="shared" ca="1" si="1"/>
        <v>3.6357408962893425</v>
      </c>
      <c r="G40" s="20">
        <v>251600</v>
      </c>
      <c r="H40" s="363">
        <f t="shared" ca="1" si="2"/>
        <v>7.3115818759936406</v>
      </c>
    </row>
    <row r="41" spans="1:8" ht="14.1" customHeight="1">
      <c r="A41" s="285" t="s">
        <v>139</v>
      </c>
      <c r="B41" s="286">
        <f>'- 29 -'!$D41</f>
        <v>4282271</v>
      </c>
      <c r="C41" s="286">
        <v>3673</v>
      </c>
      <c r="D41" s="286">
        <f t="shared" ca="1" si="0"/>
        <v>1165.8783011162539</v>
      </c>
      <c r="E41" s="286">
        <v>2498310</v>
      </c>
      <c r="F41" s="362">
        <f t="shared" ca="1" si="1"/>
        <v>1.7140671093659314</v>
      </c>
      <c r="G41" s="286">
        <v>1541280</v>
      </c>
      <c r="H41" s="362">
        <f t="shared" ca="1" si="2"/>
        <v>2.7783861465794666</v>
      </c>
    </row>
    <row r="42" spans="1:8" ht="14.1" customHeight="1">
      <c r="A42" s="19" t="s">
        <v>140</v>
      </c>
      <c r="B42" s="20">
        <f>'- 29 -'!$D42</f>
        <v>1386143</v>
      </c>
      <c r="C42" s="20">
        <v>1280</v>
      </c>
      <c r="D42" s="20">
        <f t="shared" ca="1" si="0"/>
        <v>1082.9242187499999</v>
      </c>
      <c r="E42" s="20">
        <v>793160</v>
      </c>
      <c r="F42" s="363">
        <f t="shared" ca="1" si="1"/>
        <v>1.7476209087699834</v>
      </c>
      <c r="G42" s="20">
        <v>664094</v>
      </c>
      <c r="H42" s="363">
        <f t="shared" ca="1" si="2"/>
        <v>2.0872692721211155</v>
      </c>
    </row>
    <row r="43" spans="1:8" ht="14.1" customHeight="1">
      <c r="A43" s="285" t="s">
        <v>141</v>
      </c>
      <c r="B43" s="286">
        <f>'- 29 -'!$D43</f>
        <v>1003540</v>
      </c>
      <c r="C43" s="286">
        <v>509</v>
      </c>
      <c r="D43" s="286">
        <f t="shared" ca="1" si="0"/>
        <v>1971.5913555992142</v>
      </c>
      <c r="E43" s="286">
        <v>638450</v>
      </c>
      <c r="F43" s="362">
        <f t="shared" ca="1" si="1"/>
        <v>1.5718380452658782</v>
      </c>
      <c r="G43" s="286">
        <v>395609</v>
      </c>
      <c r="H43" s="362">
        <f t="shared" ca="1" si="2"/>
        <v>2.5366965867813929</v>
      </c>
    </row>
    <row r="44" spans="1:8" ht="14.1" customHeight="1">
      <c r="A44" s="19" t="s">
        <v>142</v>
      </c>
      <c r="B44" s="20">
        <f>'- 29 -'!$D44</f>
        <v>964039</v>
      </c>
      <c r="C44" s="20">
        <v>476</v>
      </c>
      <c r="D44" s="20">
        <f t="shared" ca="1" si="0"/>
        <v>2025.2920168067226</v>
      </c>
      <c r="E44" s="20">
        <v>696132</v>
      </c>
      <c r="F44" s="363">
        <f t="shared" ca="1" si="1"/>
        <v>1.3848508616181989</v>
      </c>
      <c r="G44" s="20">
        <v>476678</v>
      </c>
      <c r="H44" s="363">
        <f t="shared" ca="1" si="2"/>
        <v>2.0224113552544907</v>
      </c>
    </row>
    <row r="45" spans="1:8" ht="14.1" customHeight="1">
      <c r="A45" s="285" t="s">
        <v>143</v>
      </c>
      <c r="B45" s="286">
        <f>'- 29 -'!$D45</f>
        <v>598329</v>
      </c>
      <c r="C45" s="286">
        <v>1037</v>
      </c>
      <c r="D45" s="286">
        <f t="shared" ca="1" si="0"/>
        <v>576.98071359691414</v>
      </c>
      <c r="E45" s="286">
        <v>262515</v>
      </c>
      <c r="F45" s="362">
        <f t="shared" ca="1" si="1"/>
        <v>2.2792183303811209</v>
      </c>
      <c r="G45" s="286">
        <v>162319</v>
      </c>
      <c r="H45" s="362">
        <f t="shared" ca="1" si="2"/>
        <v>3.6861303975505022</v>
      </c>
    </row>
    <row r="46" spans="1:8" ht="14.1" customHeight="1">
      <c r="A46" s="19" t="s">
        <v>144</v>
      </c>
      <c r="B46" s="20">
        <f>'- 29 -'!$D46</f>
        <v>5492106</v>
      </c>
      <c r="C46" s="20">
        <v>2469</v>
      </c>
      <c r="D46" s="20">
        <f t="shared" ca="1" si="0"/>
        <v>2224.4252733900366</v>
      </c>
      <c r="E46" s="20">
        <v>937478.2</v>
      </c>
      <c r="F46" s="363">
        <f t="shared" ca="1" si="1"/>
        <v>5.8583826269240182</v>
      </c>
      <c r="G46" s="20">
        <v>588360.5</v>
      </c>
      <c r="H46" s="363">
        <f t="shared" ca="1" si="2"/>
        <v>9.3345933318093248</v>
      </c>
    </row>
    <row r="47" spans="1:8" ht="5.0999999999999996" customHeight="1">
      <c r="A47"/>
      <c r="B47" s="22"/>
      <c r="C47" s="368"/>
      <c r="D47" s="22"/>
      <c r="E47" s="368"/>
      <c r="F47" s="365"/>
      <c r="G47" s="368"/>
      <c r="H47" s="365"/>
    </row>
    <row r="48" spans="1:8" ht="14.1" customHeight="1">
      <c r="A48" s="287" t="s">
        <v>145</v>
      </c>
      <c r="B48" s="288">
        <f>SUM(B11:B46)</f>
        <v>78855412</v>
      </c>
      <c r="C48" s="288">
        <f>SUM(C11:C46)</f>
        <v>65866</v>
      </c>
      <c r="D48" s="288">
        <f>B48/C48</f>
        <v>1197.2096681140497</v>
      </c>
      <c r="E48" s="288">
        <f>SUM(E11:E46)</f>
        <v>34734899.400000006</v>
      </c>
      <c r="F48" s="366">
        <f>B48/E48</f>
        <v>2.270207006846837</v>
      </c>
      <c r="G48" s="288">
        <f>SUM(G11:G46)</f>
        <v>21687621</v>
      </c>
      <c r="H48" s="366">
        <f>B48/G48</f>
        <v>3.6359641290301044</v>
      </c>
    </row>
    <row r="49" spans="1:8" ht="5.0999999999999996" customHeight="1">
      <c r="A49" s="21" t="s">
        <v>7</v>
      </c>
      <c r="B49" s="22"/>
      <c r="C49" s="368"/>
      <c r="D49" s="22"/>
      <c r="E49" s="368"/>
      <c r="F49" s="365"/>
      <c r="G49" s="368"/>
      <c r="H49" s="365"/>
    </row>
    <row r="50" spans="1:8" ht="14.1" customHeight="1">
      <c r="A50" s="19" t="s">
        <v>146</v>
      </c>
      <c r="B50" s="20">
        <f>'- 29 -'!$D50</f>
        <v>9360</v>
      </c>
      <c r="C50" s="37" t="s">
        <v>95</v>
      </c>
      <c r="D50" s="20" t="str">
        <f ca="1">IF(AND(CELL("type",C50)="v",C50&gt;0),B50/C50,"")</f>
        <v/>
      </c>
      <c r="E50" s="37" t="s">
        <v>95</v>
      </c>
      <c r="F50" s="363" t="str">
        <f ca="1">IF(AND(CELL("type",E50)="v",E50&gt;0),B50/E50,"")</f>
        <v/>
      </c>
      <c r="G50" s="37" t="s">
        <v>95</v>
      </c>
      <c r="H50" s="363" t="str">
        <f ca="1">IF(AND(CELL("type",G50)="v",G50&gt;0),B50/G50,"")</f>
        <v/>
      </c>
    </row>
    <row r="51" spans="1:8" ht="14.1" customHeight="1">
      <c r="A51" s="285" t="s">
        <v>612</v>
      </c>
      <c r="B51" s="286">
        <f>'- 29 -'!$D51</f>
        <v>0</v>
      </c>
      <c r="C51" s="286">
        <v>0</v>
      </c>
      <c r="D51" s="286" t="str">
        <f ca="1">IF(AND(CELL("type",C51)="v",C51&gt;0),B51/C51,"")</f>
        <v/>
      </c>
      <c r="E51" s="286">
        <v>0</v>
      </c>
      <c r="F51" s="362" t="str">
        <f ca="1">IF(AND(CELL("type",E51)="v",E51&gt;0),B51/E51,"")</f>
        <v/>
      </c>
      <c r="G51" s="286">
        <v>0</v>
      </c>
      <c r="H51" s="362" t="str">
        <f ca="1">IF(AND(CELL("type",G51)="v",G51&gt;0),B51/G51,"")</f>
        <v/>
      </c>
    </row>
    <row r="52" spans="1:8" ht="50.1" customHeight="1"/>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sheetPr codeName="Sheet33">
    <pageSetUpPr fitToPage="1"/>
  </sheetPr>
  <dimension ref="A1:E52"/>
  <sheetViews>
    <sheetView showGridLines="0" showZeros="0" workbookViewId="0"/>
  </sheetViews>
  <sheetFormatPr defaultColWidth="15.83203125" defaultRowHeight="12"/>
  <cols>
    <col min="1" max="1" width="32.83203125" style="2" customWidth="1"/>
    <col min="2" max="2" width="22.83203125" style="2" customWidth="1"/>
    <col min="3" max="3" width="19.83203125" style="2" customWidth="1"/>
    <col min="4" max="4" width="15.83203125" style="2"/>
    <col min="5" max="5" width="41.83203125" style="2" customWidth="1"/>
    <col min="6" max="16384" width="15.83203125" style="2"/>
  </cols>
  <sheetData>
    <row r="1" spans="1:5" ht="6.95" customHeight="1">
      <c r="A1" s="7"/>
      <c r="B1" s="8"/>
      <c r="C1" s="8"/>
      <c r="D1" s="8"/>
      <c r="E1" s="8"/>
    </row>
    <row r="2" spans="1:5" ht="15.95" customHeight="1">
      <c r="A2" s="134"/>
      <c r="B2" s="9" t="s">
        <v>266</v>
      </c>
      <c r="C2" s="10"/>
      <c r="D2" s="10"/>
      <c r="E2" s="160"/>
    </row>
    <row r="3" spans="1:5" ht="15.95" customHeight="1">
      <c r="A3" s="543"/>
      <c r="B3" s="11" t="str">
        <f>OPYEAR</f>
        <v>OPERATING FUND 2015/2016 ACTUAL</v>
      </c>
      <c r="C3" s="12"/>
      <c r="D3" s="12"/>
      <c r="E3" s="161"/>
    </row>
    <row r="4" spans="1:5" ht="15.95" customHeight="1">
      <c r="B4" s="8"/>
      <c r="C4" s="8"/>
      <c r="D4" s="8"/>
      <c r="E4" s="8"/>
    </row>
    <row r="5" spans="1:5" ht="15.95" customHeight="1">
      <c r="B5" s="8"/>
      <c r="C5" s="8"/>
      <c r="D5" s="8"/>
      <c r="E5" s="8"/>
    </row>
    <row r="6" spans="1:5" ht="15.95" customHeight="1">
      <c r="B6" s="643" t="s">
        <v>514</v>
      </c>
      <c r="C6" s="651"/>
      <c r="D6" s="644"/>
    </row>
    <row r="7" spans="1:5" ht="15.95" customHeight="1">
      <c r="B7" s="645"/>
      <c r="C7" s="652"/>
      <c r="D7" s="646"/>
    </row>
    <row r="8" spans="1:5" ht="15.95" customHeight="1">
      <c r="A8" s="67"/>
      <c r="B8" s="162"/>
      <c r="C8" s="697" t="s">
        <v>513</v>
      </c>
      <c r="D8" s="596" t="s">
        <v>512</v>
      </c>
    </row>
    <row r="9" spans="1:5" ht="15.95" customHeight="1">
      <c r="A9" s="35" t="s">
        <v>42</v>
      </c>
      <c r="B9" s="77" t="s">
        <v>43</v>
      </c>
      <c r="C9" s="698"/>
      <c r="D9" s="598"/>
    </row>
    <row r="10" spans="1:5" ht="5.0999999999999996" customHeight="1">
      <c r="A10" s="6"/>
    </row>
    <row r="11" spans="1:5" ht="14.1" customHeight="1">
      <c r="A11" s="285" t="s">
        <v>110</v>
      </c>
      <c r="B11" s="286">
        <f>SUM('- 29 -'!$B11,'- 29 -'!$D11,'- 30 -'!$D11)</f>
        <v>1164180</v>
      </c>
      <c r="C11" s="286">
        <v>631870</v>
      </c>
      <c r="D11" s="362">
        <f ca="1">IF(AND(CELL("type",C11)="v",C11&gt;0),B11/C11,"")</f>
        <v>1.8424359441024261</v>
      </c>
      <c r="E11" s="163"/>
    </row>
    <row r="12" spans="1:5" ht="14.1" customHeight="1">
      <c r="A12" s="19" t="s">
        <v>111</v>
      </c>
      <c r="B12" s="20">
        <f>SUM('- 29 -'!$B12,'- 29 -'!$D12,'- 30 -'!$D12)</f>
        <v>2506733</v>
      </c>
      <c r="C12" s="20">
        <v>1299533</v>
      </c>
      <c r="D12" s="363">
        <f t="shared" ref="D12:D46" ca="1" si="0">IF(AND(CELL("type",C12)="v",C12&gt;0),B12/C12,"")</f>
        <v>1.9289490917121765</v>
      </c>
      <c r="E12" s="163"/>
    </row>
    <row r="13" spans="1:5" ht="14.1" customHeight="1">
      <c r="A13" s="285" t="s">
        <v>112</v>
      </c>
      <c r="B13" s="286">
        <f>SUM('- 29 -'!$B13,'- 29 -'!$D13,'- 30 -'!$D13)</f>
        <v>2139279</v>
      </c>
      <c r="C13" s="286">
        <v>824839</v>
      </c>
      <c r="D13" s="362">
        <f t="shared" ca="1" si="0"/>
        <v>2.5935715939716721</v>
      </c>
      <c r="E13" s="163"/>
    </row>
    <row r="14" spans="1:5" ht="14.1" customHeight="1">
      <c r="A14" s="19" t="s">
        <v>359</v>
      </c>
      <c r="B14" s="20">
        <f>SUM('- 29 -'!$B14,'- 29 -'!$D14,'- 30 -'!$D14)</f>
        <v>7929011</v>
      </c>
      <c r="C14" s="37" t="s">
        <v>95</v>
      </c>
      <c r="D14" s="363" t="str">
        <f t="shared" ca="1" si="0"/>
        <v/>
      </c>
      <c r="E14" s="163"/>
    </row>
    <row r="15" spans="1:5" ht="14.1" customHeight="1">
      <c r="A15" s="285" t="s">
        <v>113</v>
      </c>
      <c r="B15" s="286">
        <f>SUM('- 29 -'!$B15,'- 29 -'!$D15,'- 30 -'!$D15)</f>
        <v>1615526</v>
      </c>
      <c r="C15" s="286">
        <v>848684</v>
      </c>
      <c r="D15" s="362">
        <f t="shared" ca="1" si="0"/>
        <v>1.9035659915822616</v>
      </c>
      <c r="E15" s="163"/>
    </row>
    <row r="16" spans="1:5" ht="14.1" customHeight="1">
      <c r="A16" s="19" t="s">
        <v>114</v>
      </c>
      <c r="B16" s="20">
        <f>SUM('- 29 -'!$B16,'- 29 -'!$D16,'- 30 -'!$D16)</f>
        <v>446947</v>
      </c>
      <c r="C16" s="20">
        <v>54717</v>
      </c>
      <c r="D16" s="363">
        <f t="shared" ca="1" si="0"/>
        <v>8.1683389074693427</v>
      </c>
      <c r="E16" s="163"/>
    </row>
    <row r="17" spans="1:5" ht="14.1" customHeight="1">
      <c r="A17" s="285" t="s">
        <v>115</v>
      </c>
      <c r="B17" s="286">
        <f>SUM('- 29 -'!$B17,'- 29 -'!$D17,'- 30 -'!$D17)</f>
        <v>1358230</v>
      </c>
      <c r="C17" s="286">
        <v>884906.79</v>
      </c>
      <c r="D17" s="362">
        <f t="shared" ca="1" si="0"/>
        <v>1.5348848210329586</v>
      </c>
      <c r="E17" s="163"/>
    </row>
    <row r="18" spans="1:5" ht="14.1" customHeight="1">
      <c r="A18" s="19" t="s">
        <v>116</v>
      </c>
      <c r="B18" s="20">
        <f>SUM('- 29 -'!$B18,'- 29 -'!$D18,'- 30 -'!$D18)</f>
        <v>8196979</v>
      </c>
      <c r="C18" s="20">
        <v>1720705</v>
      </c>
      <c r="D18" s="363">
        <f t="shared" ca="1" si="0"/>
        <v>4.7637328885544008</v>
      </c>
      <c r="E18" s="163"/>
    </row>
    <row r="19" spans="1:5" ht="14.1" customHeight="1">
      <c r="A19" s="285" t="s">
        <v>117</v>
      </c>
      <c r="B19" s="286">
        <f>SUM('- 29 -'!$B19,'- 29 -'!$D19,'- 30 -'!$D19)</f>
        <v>2575142</v>
      </c>
      <c r="C19" s="286">
        <v>953423</v>
      </c>
      <c r="D19" s="362">
        <f t="shared" ca="1" si="0"/>
        <v>2.7009438622730939</v>
      </c>
      <c r="E19" s="163"/>
    </row>
    <row r="20" spans="1:5" ht="14.1" customHeight="1">
      <c r="A20" s="19" t="s">
        <v>118</v>
      </c>
      <c r="B20" s="20">
        <f>SUM('- 29 -'!$B20,'- 29 -'!$D20,'- 30 -'!$D20)</f>
        <v>3520156</v>
      </c>
      <c r="C20" s="20">
        <v>1862845</v>
      </c>
      <c r="D20" s="363">
        <f t="shared" ca="1" si="0"/>
        <v>1.8896666120906462</v>
      </c>
      <c r="E20" s="163"/>
    </row>
    <row r="21" spans="1:5" ht="14.1" customHeight="1">
      <c r="A21" s="285" t="s">
        <v>119</v>
      </c>
      <c r="B21" s="286">
        <f>SUM('- 29 -'!$B21,'- 29 -'!$D21,'- 30 -'!$D21)</f>
        <v>2071918</v>
      </c>
      <c r="C21" s="286">
        <v>976107</v>
      </c>
      <c r="D21" s="362">
        <f t="shared" ca="1" si="0"/>
        <v>2.1226340964668831</v>
      </c>
      <c r="E21" s="163"/>
    </row>
    <row r="22" spans="1:5" ht="14.1" customHeight="1">
      <c r="A22" s="19" t="s">
        <v>120</v>
      </c>
      <c r="B22" s="20">
        <f>SUM('- 29 -'!$B22,'- 29 -'!$D22,'- 30 -'!$D22)</f>
        <v>543114</v>
      </c>
      <c r="C22" s="20">
        <v>172781</v>
      </c>
      <c r="D22" s="363">
        <f t="shared" ca="1" si="0"/>
        <v>3.1433664581175011</v>
      </c>
      <c r="E22" s="163"/>
    </row>
    <row r="23" spans="1:5" ht="14.1" customHeight="1">
      <c r="A23" s="285" t="s">
        <v>121</v>
      </c>
      <c r="B23" s="286">
        <f>SUM('- 29 -'!$B23,'- 29 -'!$D23,'- 30 -'!$D23)</f>
        <v>1595431</v>
      </c>
      <c r="C23" s="286">
        <v>938654</v>
      </c>
      <c r="D23" s="362">
        <f t="shared" ca="1" si="0"/>
        <v>1.6997008482358782</v>
      </c>
      <c r="E23" s="163"/>
    </row>
    <row r="24" spans="1:5" ht="14.1" customHeight="1">
      <c r="A24" s="19" t="s">
        <v>122</v>
      </c>
      <c r="B24" s="20">
        <f>SUM('- 29 -'!$B24,'- 29 -'!$D24,'- 30 -'!$D24)</f>
        <v>2396030</v>
      </c>
      <c r="C24" s="20">
        <v>1085717</v>
      </c>
      <c r="D24" s="363">
        <f t="shared" ca="1" si="0"/>
        <v>2.206864219681556</v>
      </c>
      <c r="E24" s="163"/>
    </row>
    <row r="25" spans="1:5" ht="14.1" customHeight="1">
      <c r="A25" s="285" t="s">
        <v>123</v>
      </c>
      <c r="B25" s="286">
        <f>SUM('- 29 -'!$B25,'- 29 -'!$D25,'- 30 -'!$D25)</f>
        <v>3811629</v>
      </c>
      <c r="C25" s="286">
        <v>1171326</v>
      </c>
      <c r="D25" s="362">
        <f t="shared" ca="1" si="0"/>
        <v>3.2541145675926257</v>
      </c>
      <c r="E25" s="163"/>
    </row>
    <row r="26" spans="1:5" ht="14.1" customHeight="1">
      <c r="A26" s="19" t="s">
        <v>124</v>
      </c>
      <c r="B26" s="20">
        <f>SUM('- 29 -'!$B26,'- 29 -'!$D26,'- 30 -'!$D26)</f>
        <v>2997053</v>
      </c>
      <c r="C26" s="20">
        <v>1350605</v>
      </c>
      <c r="D26" s="363">
        <f t="shared" ca="1" si="0"/>
        <v>2.2190447984421797</v>
      </c>
      <c r="E26" s="163"/>
    </row>
    <row r="27" spans="1:5" ht="14.1" customHeight="1">
      <c r="A27" s="285" t="s">
        <v>125</v>
      </c>
      <c r="B27" s="286">
        <f>SUM('- 29 -'!$B27,'- 29 -'!$D27,'- 30 -'!$D27)</f>
        <v>113580</v>
      </c>
      <c r="C27" s="367" t="s">
        <v>95</v>
      </c>
      <c r="D27" s="364" t="str">
        <f t="shared" ca="1" si="0"/>
        <v/>
      </c>
      <c r="E27" s="163"/>
    </row>
    <row r="28" spans="1:5" ht="14.1" customHeight="1">
      <c r="A28" s="19" t="s">
        <v>126</v>
      </c>
      <c r="B28" s="20">
        <f>SUM('- 29 -'!$B28,'- 29 -'!$D28,'- 30 -'!$D28)</f>
        <v>2039890</v>
      </c>
      <c r="C28" s="20">
        <v>1216322</v>
      </c>
      <c r="D28" s="363">
        <f t="shared" ca="1" si="0"/>
        <v>1.6770970187170831</v>
      </c>
      <c r="E28" s="163"/>
    </row>
    <row r="29" spans="1:5" ht="14.1" customHeight="1">
      <c r="A29" s="285" t="s">
        <v>127</v>
      </c>
      <c r="B29" s="286">
        <f>SUM('- 29 -'!$B29,'- 29 -'!$D29,'- 30 -'!$D29)</f>
        <v>2766807</v>
      </c>
      <c r="C29" s="286">
        <v>685175</v>
      </c>
      <c r="D29" s="362">
        <f t="shared" ca="1" si="0"/>
        <v>4.0381026744992159</v>
      </c>
      <c r="E29" s="163"/>
    </row>
    <row r="30" spans="1:5" ht="14.1" customHeight="1">
      <c r="A30" s="19" t="s">
        <v>128</v>
      </c>
      <c r="B30" s="20">
        <f>SUM('- 29 -'!$B30,'- 29 -'!$D30,'- 30 -'!$D30)</f>
        <v>1119647</v>
      </c>
      <c r="C30" s="20">
        <v>682072</v>
      </c>
      <c r="D30" s="363">
        <f t="shared" ca="1" si="0"/>
        <v>1.641537843512122</v>
      </c>
      <c r="E30" s="163"/>
    </row>
    <row r="31" spans="1:5" ht="14.1" customHeight="1">
      <c r="A31" s="285" t="s">
        <v>129</v>
      </c>
      <c r="B31" s="286">
        <f>SUM('- 29 -'!$B31,'- 29 -'!$D31,'- 30 -'!$D31)</f>
        <v>1035522</v>
      </c>
      <c r="C31" s="286">
        <v>611855</v>
      </c>
      <c r="D31" s="362">
        <f t="shared" ca="1" si="0"/>
        <v>1.6924303960905771</v>
      </c>
      <c r="E31" s="163"/>
    </row>
    <row r="32" spans="1:5" ht="14.1" customHeight="1">
      <c r="A32" s="19" t="s">
        <v>130</v>
      </c>
      <c r="B32" s="20">
        <f>SUM('- 29 -'!$B32,'- 29 -'!$D32,'- 30 -'!$D32)</f>
        <v>2067720</v>
      </c>
      <c r="C32" s="20">
        <v>1641206</v>
      </c>
      <c r="D32" s="363">
        <f t="shared" ca="1" si="0"/>
        <v>1.2598784064888868</v>
      </c>
      <c r="E32" s="163"/>
    </row>
    <row r="33" spans="1:5" ht="14.1" customHeight="1">
      <c r="A33" s="285" t="s">
        <v>131</v>
      </c>
      <c r="B33" s="286">
        <f>SUM('- 29 -'!$B33,'- 29 -'!$D33,'- 30 -'!$D33)</f>
        <v>2179763</v>
      </c>
      <c r="C33" s="286">
        <v>1526753</v>
      </c>
      <c r="D33" s="362">
        <f t="shared" ca="1" si="0"/>
        <v>1.427711620674726</v>
      </c>
      <c r="E33" s="163"/>
    </row>
    <row r="34" spans="1:5" ht="14.1" customHeight="1">
      <c r="A34" s="19" t="s">
        <v>132</v>
      </c>
      <c r="B34" s="20">
        <f>SUM('- 29 -'!$B34,'- 29 -'!$D34,'- 30 -'!$D34)</f>
        <v>2586736</v>
      </c>
      <c r="C34" s="20">
        <v>1269795</v>
      </c>
      <c r="D34" s="363">
        <f t="shared" ca="1" si="0"/>
        <v>2.0371288278816659</v>
      </c>
      <c r="E34" s="163"/>
    </row>
    <row r="35" spans="1:5" ht="14.1" customHeight="1">
      <c r="A35" s="285" t="s">
        <v>133</v>
      </c>
      <c r="B35" s="286">
        <f>SUM('- 29 -'!$B35,'- 29 -'!$D35,'- 30 -'!$D35)</f>
        <v>4083090</v>
      </c>
      <c r="C35" s="286">
        <v>1249271</v>
      </c>
      <c r="D35" s="362">
        <f t="shared" ca="1" si="0"/>
        <v>3.2683781181184868</v>
      </c>
      <c r="E35" s="163"/>
    </row>
    <row r="36" spans="1:5" ht="14.1" customHeight="1">
      <c r="A36" s="19" t="s">
        <v>134</v>
      </c>
      <c r="B36" s="20">
        <f>SUM('- 29 -'!$B36,'- 29 -'!$D36,'- 30 -'!$D36)</f>
        <v>1524289</v>
      </c>
      <c r="C36" s="20">
        <v>826640</v>
      </c>
      <c r="D36" s="363">
        <f t="shared" ca="1" si="0"/>
        <v>1.843957466369883</v>
      </c>
      <c r="E36" s="163"/>
    </row>
    <row r="37" spans="1:5" ht="14.1" customHeight="1">
      <c r="A37" s="285" t="s">
        <v>135</v>
      </c>
      <c r="B37" s="286">
        <f>SUM('- 29 -'!$B37,'- 29 -'!$D37,'- 30 -'!$D37)</f>
        <v>3108408</v>
      </c>
      <c r="C37" s="286">
        <v>1365782</v>
      </c>
      <c r="D37" s="362">
        <f t="shared" ca="1" si="0"/>
        <v>2.2759181187041562</v>
      </c>
      <c r="E37" s="163"/>
    </row>
    <row r="38" spans="1:5" ht="14.1" customHeight="1">
      <c r="A38" s="19" t="s">
        <v>136</v>
      </c>
      <c r="B38" s="20">
        <f>SUM('- 29 -'!$B38,'- 29 -'!$D38,'- 30 -'!$D38)</f>
        <v>3697399</v>
      </c>
      <c r="C38" s="20">
        <v>861364</v>
      </c>
      <c r="D38" s="363">
        <f t="shared" ca="1" si="0"/>
        <v>4.2924930691322132</v>
      </c>
      <c r="E38" s="163"/>
    </row>
    <row r="39" spans="1:5" ht="14.1" customHeight="1">
      <c r="A39" s="285" t="s">
        <v>137</v>
      </c>
      <c r="B39" s="286">
        <f>SUM('- 29 -'!$B39,'- 29 -'!$D39,'- 30 -'!$D39)</f>
        <v>1792058</v>
      </c>
      <c r="C39" s="286">
        <v>1042474</v>
      </c>
      <c r="D39" s="362">
        <f t="shared" ca="1" si="0"/>
        <v>1.71904335263997</v>
      </c>
      <c r="E39" s="163"/>
    </row>
    <row r="40" spans="1:5" ht="14.1" customHeight="1">
      <c r="A40" s="19" t="s">
        <v>138</v>
      </c>
      <c r="B40" s="20">
        <f>SUM('- 29 -'!$B40,'- 29 -'!$D40,'- 30 -'!$D40)</f>
        <v>2102848</v>
      </c>
      <c r="C40" s="20">
        <v>657433</v>
      </c>
      <c r="D40" s="363">
        <f t="shared" ca="1" si="0"/>
        <v>3.1985738470688267</v>
      </c>
      <c r="E40" s="163"/>
    </row>
    <row r="41" spans="1:5" ht="14.1" customHeight="1">
      <c r="A41" s="285" t="s">
        <v>139</v>
      </c>
      <c r="B41" s="286">
        <f>SUM('- 29 -'!$B41,'- 29 -'!$D41,'- 30 -'!$D41)</f>
        <v>4968227</v>
      </c>
      <c r="C41" s="286">
        <v>2530743</v>
      </c>
      <c r="D41" s="362">
        <f t="shared" ca="1" si="0"/>
        <v>1.9631495572644082</v>
      </c>
      <c r="E41" s="163"/>
    </row>
    <row r="42" spans="1:5" ht="14.1" customHeight="1">
      <c r="A42" s="19" t="s">
        <v>140</v>
      </c>
      <c r="B42" s="20">
        <f>SUM('- 29 -'!$B42,'- 29 -'!$D42,'- 30 -'!$D42)</f>
        <v>1586819</v>
      </c>
      <c r="C42" s="20">
        <v>735611</v>
      </c>
      <c r="D42" s="363">
        <f t="shared" ca="1" si="0"/>
        <v>2.1571441971368017</v>
      </c>
      <c r="E42" s="163"/>
    </row>
    <row r="43" spans="1:5" ht="14.1" customHeight="1">
      <c r="A43" s="285" t="s">
        <v>141</v>
      </c>
      <c r="B43" s="286">
        <f>SUM('- 29 -'!$B43,'- 29 -'!$D43,'- 30 -'!$D43)</f>
        <v>1039306</v>
      </c>
      <c r="C43" s="286">
        <v>610112</v>
      </c>
      <c r="D43" s="362">
        <f t="shared" ca="1" si="0"/>
        <v>1.7034675600545475</v>
      </c>
      <c r="E43" s="163"/>
    </row>
    <row r="44" spans="1:5" ht="14.1" customHeight="1">
      <c r="A44" s="19" t="s">
        <v>142</v>
      </c>
      <c r="B44" s="20">
        <f>SUM('- 29 -'!$B44,'- 29 -'!$D44,'- 30 -'!$D44)</f>
        <v>1033734</v>
      </c>
      <c r="C44" s="20">
        <v>729894</v>
      </c>
      <c r="D44" s="363">
        <f t="shared" ca="1" si="0"/>
        <v>1.4162796241646047</v>
      </c>
      <c r="E44" s="163"/>
    </row>
    <row r="45" spans="1:5" ht="14.1" customHeight="1">
      <c r="A45" s="285" t="s">
        <v>143</v>
      </c>
      <c r="B45" s="286">
        <f>SUM('- 29 -'!$B45,'- 29 -'!$D45,'- 30 -'!$D45)</f>
        <v>734879</v>
      </c>
      <c r="C45" s="286">
        <v>320029</v>
      </c>
      <c r="D45" s="362">
        <f t="shared" ca="1" si="0"/>
        <v>2.2962887738298718</v>
      </c>
      <c r="E45" s="163"/>
    </row>
    <row r="46" spans="1:5" ht="14.1" customHeight="1">
      <c r="A46" s="19" t="s">
        <v>144</v>
      </c>
      <c r="B46" s="20">
        <f>SUM('- 29 -'!$B46,'- 29 -'!$D46,'- 30 -'!$D46)</f>
        <v>6494651</v>
      </c>
      <c r="C46" s="20">
        <v>1076210</v>
      </c>
      <c r="D46" s="363">
        <f t="shared" ca="1" si="0"/>
        <v>6.0347432192601813</v>
      </c>
      <c r="E46" s="163"/>
    </row>
    <row r="47" spans="1:5" ht="5.0999999999999996" customHeight="1">
      <c r="A47"/>
      <c r="B47" s="22"/>
      <c r="C47" s="368"/>
      <c r="D47" s="365"/>
      <c r="E47" s="163"/>
    </row>
    <row r="48" spans="1:5" ht="14.1" customHeight="1">
      <c r="A48" s="287" t="s">
        <v>145</v>
      </c>
      <c r="B48" s="288">
        <f>SUM(B11:B46)</f>
        <v>90942731</v>
      </c>
      <c r="C48" s="288">
        <f>SUM(C11:C46)</f>
        <v>34415453.789999999</v>
      </c>
      <c r="D48" s="366">
        <f>B48/C48</f>
        <v>2.6424969304465478</v>
      </c>
      <c r="E48" s="163"/>
    </row>
    <row r="49" spans="1:5" ht="5.0999999999999996" customHeight="1">
      <c r="A49" s="21" t="s">
        <v>7</v>
      </c>
      <c r="B49" s="22"/>
      <c r="C49" s="368"/>
      <c r="D49" s="365"/>
    </row>
    <row r="50" spans="1:5" ht="14.1" customHeight="1">
      <c r="A50" s="19" t="s">
        <v>146</v>
      </c>
      <c r="B50" s="20">
        <f>SUM('- 29 -'!$B50,'- 29 -'!$D50,'- 30 -'!$D50)</f>
        <v>46908</v>
      </c>
      <c r="C50" s="37" t="s">
        <v>95</v>
      </c>
      <c r="D50" s="363" t="str">
        <f ca="1">IF(AND(CELL("type",C50)="v",C50&gt;0),B50/C50,"")</f>
        <v/>
      </c>
      <c r="E50" s="163"/>
    </row>
    <row r="51" spans="1:5" ht="14.1" customHeight="1">
      <c r="A51" s="285" t="s">
        <v>612</v>
      </c>
      <c r="B51" s="286">
        <f>SUM('- 29 -'!$B51,'- 29 -'!$D51,'- 30 -'!$D51)</f>
        <v>0</v>
      </c>
      <c r="C51" s="286">
        <v>0</v>
      </c>
      <c r="D51" s="362" t="str">
        <f ca="1">IF(AND(CELL("type",C51)="v",C51&gt;0),B51/C51,"")</f>
        <v/>
      </c>
      <c r="E51" s="163"/>
    </row>
    <row r="52" spans="1:5" ht="50.1" customHeight="1"/>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sheetPr codeName="Sheet34">
    <pageSetUpPr fitToPage="1"/>
  </sheetPr>
  <dimension ref="A1:I54"/>
  <sheetViews>
    <sheetView showGridLines="0" showZeros="0" workbookViewId="0"/>
  </sheetViews>
  <sheetFormatPr defaultColWidth="15.83203125" defaultRowHeight="12"/>
  <cols>
    <col min="1" max="1" width="32.83203125" style="2" customWidth="1"/>
    <col min="2" max="2" width="18.83203125" style="2" customWidth="1"/>
    <col min="3" max="3" width="15.83203125" style="2"/>
    <col min="4" max="4" width="15.83203125" style="2" customWidth="1"/>
    <col min="5" max="5" width="15.83203125" style="2"/>
    <col min="6" max="6" width="17.83203125" style="2" customWidth="1"/>
    <col min="7" max="16384" width="15.83203125" style="2"/>
  </cols>
  <sheetData>
    <row r="1" spans="1:9" ht="6.95" customHeight="1">
      <c r="A1" s="7"/>
      <c r="B1" s="8"/>
      <c r="C1" s="8"/>
      <c r="D1" s="8"/>
      <c r="E1" s="8"/>
      <c r="F1" s="8"/>
    </row>
    <row r="2" spans="1:9" ht="15.95" customHeight="1">
      <c r="A2" s="9" t="s">
        <v>262</v>
      </c>
      <c r="B2" s="143"/>
      <c r="C2" s="158"/>
      <c r="D2" s="10"/>
      <c r="E2" s="10"/>
      <c r="F2" s="10"/>
      <c r="G2" s="10"/>
    </row>
    <row r="3" spans="1:9" ht="15.95" customHeight="1">
      <c r="A3" s="11" t="str">
        <f>OPYEAR</f>
        <v>OPERATING FUND 2015/2016 ACTUAL</v>
      </c>
      <c r="B3" s="11"/>
      <c r="C3" s="159"/>
      <c r="D3" s="12"/>
      <c r="E3" s="12"/>
      <c r="F3" s="12"/>
      <c r="G3" s="12"/>
    </row>
    <row r="4" spans="1:9" ht="15.95" customHeight="1">
      <c r="B4" s="8"/>
      <c r="C4" s="8"/>
      <c r="D4" s="69"/>
      <c r="E4" s="8"/>
      <c r="F4" s="8"/>
    </row>
    <row r="5" spans="1:9" ht="15.95" customHeight="1">
      <c r="B5" s="8"/>
      <c r="C5" s="8"/>
      <c r="D5" s="8"/>
      <c r="E5" s="8"/>
      <c r="F5" s="8"/>
    </row>
    <row r="6" spans="1:9" ht="15.95" customHeight="1">
      <c r="B6" s="369"/>
      <c r="C6" s="370"/>
      <c r="D6" s="371"/>
      <c r="E6" s="372"/>
      <c r="F6" s="703" t="s">
        <v>515</v>
      </c>
      <c r="G6" s="704"/>
    </row>
    <row r="7" spans="1:9" ht="15.95" customHeight="1">
      <c r="B7" s="700" t="s">
        <v>29</v>
      </c>
      <c r="C7" s="701"/>
      <c r="D7" s="701"/>
      <c r="E7" s="702"/>
      <c r="F7" s="705"/>
      <c r="G7" s="706"/>
      <c r="I7" s="4" t="s">
        <v>31</v>
      </c>
    </row>
    <row r="8" spans="1:9" ht="15.95" customHeight="1">
      <c r="A8" s="67"/>
      <c r="B8" s="76" t="s">
        <v>7</v>
      </c>
      <c r="C8" s="596" t="s">
        <v>516</v>
      </c>
      <c r="D8" s="596" t="s">
        <v>517</v>
      </c>
      <c r="E8" s="596" t="s">
        <v>518</v>
      </c>
      <c r="F8" s="76" t="s">
        <v>7</v>
      </c>
      <c r="G8" s="596" t="s">
        <v>519</v>
      </c>
      <c r="I8" s="4" t="s">
        <v>41</v>
      </c>
    </row>
    <row r="9" spans="1:9" ht="15.95" customHeight="1">
      <c r="A9" s="35" t="s">
        <v>42</v>
      </c>
      <c r="B9" s="77" t="s">
        <v>43</v>
      </c>
      <c r="C9" s="603"/>
      <c r="D9" s="598"/>
      <c r="E9" s="598"/>
      <c r="F9" s="77" t="s">
        <v>43</v>
      </c>
      <c r="G9" s="598"/>
      <c r="I9" s="416" t="str">
        <f>+Data!AB9</f>
        <v>Sept. 30 / 15</v>
      </c>
    </row>
    <row r="10" spans="1:9" ht="5.0999999999999996" customHeight="1">
      <c r="A10" s="6"/>
    </row>
    <row r="11" spans="1:9" ht="14.1" customHeight="1">
      <c r="A11" s="285" t="s">
        <v>110</v>
      </c>
      <c r="B11" s="286">
        <f>'- 31 -'!D11</f>
        <v>1420368</v>
      </c>
      <c r="C11" s="286">
        <f>B11/'- 7 -'!E11</f>
        <v>847.47494033412886</v>
      </c>
      <c r="D11" s="362">
        <f>B11/I11</f>
        <v>5.2093200664566366</v>
      </c>
      <c r="E11" s="286">
        <f>I11/'- 7 -'!E11</f>
        <v>162.68436754176611</v>
      </c>
      <c r="F11" s="286">
        <f>'- 31 -'!F11</f>
        <v>291303</v>
      </c>
      <c r="G11" s="362">
        <f>F11/I11</f>
        <v>1.068378450738835</v>
      </c>
      <c r="I11" s="2">
        <f>+Data!AB11</f>
        <v>272659</v>
      </c>
    </row>
    <row r="12" spans="1:9" ht="14.1" customHeight="1">
      <c r="A12" s="19" t="s">
        <v>111</v>
      </c>
      <c r="B12" s="20">
        <f>'- 31 -'!D12</f>
        <v>2509351</v>
      </c>
      <c r="C12" s="20">
        <f>B12/'- 7 -'!E12</f>
        <v>1180.9266318414984</v>
      </c>
      <c r="D12" s="363">
        <f t="shared" ref="D12:D46" si="0">B12/I12</f>
        <v>6.4265873422389772</v>
      </c>
      <c r="E12" s="20">
        <f>I12/'- 7 -'!E12</f>
        <v>183.75641206645017</v>
      </c>
      <c r="F12" s="20">
        <f>'- 31 -'!F12</f>
        <v>228686</v>
      </c>
      <c r="G12" s="363">
        <f t="shared" ref="G12:G48" si="1">F12/I12</f>
        <v>0.58567755286018686</v>
      </c>
      <c r="I12" s="2">
        <f>+Data!AB12</f>
        <v>390464</v>
      </c>
    </row>
    <row r="13" spans="1:9" ht="14.1" customHeight="1">
      <c r="A13" s="285" t="s">
        <v>112</v>
      </c>
      <c r="B13" s="286">
        <f>'- 31 -'!D13</f>
        <v>6244119</v>
      </c>
      <c r="C13" s="286">
        <f>B13/'- 7 -'!E13</f>
        <v>756.86290909090906</v>
      </c>
      <c r="D13" s="362">
        <f t="shared" si="0"/>
        <v>5.9656826917289356</v>
      </c>
      <c r="E13" s="286">
        <f>I13/'- 7 -'!E13</f>
        <v>126.86945454545454</v>
      </c>
      <c r="F13" s="286">
        <f>'- 31 -'!F13</f>
        <v>573196</v>
      </c>
      <c r="G13" s="362">
        <f t="shared" si="1"/>
        <v>0.54763617672377141</v>
      </c>
      <c r="I13" s="2">
        <f>+Data!AB13</f>
        <v>1046673</v>
      </c>
    </row>
    <row r="14" spans="1:9" ht="14.1" customHeight="1">
      <c r="A14" s="19" t="s">
        <v>359</v>
      </c>
      <c r="B14" s="20">
        <f>'- 31 -'!D14</f>
        <v>7452302</v>
      </c>
      <c r="C14" s="37">
        <f>B14/'- 7 -'!E14</f>
        <v>1394.7785888077858</v>
      </c>
      <c r="D14" s="363">
        <f t="shared" si="0"/>
        <v>7.8166353748203781</v>
      </c>
      <c r="E14" s="37">
        <f>I14/'- 7 -'!E14</f>
        <v>178.43720756129514</v>
      </c>
      <c r="F14" s="37">
        <f>'- 31 -'!F14</f>
        <v>970072</v>
      </c>
      <c r="G14" s="363">
        <f t="shared" si="1"/>
        <v>1.0174975613337669</v>
      </c>
      <c r="I14" s="2">
        <f>+Data!AB14</f>
        <v>953390</v>
      </c>
    </row>
    <row r="15" spans="1:9" ht="14.1" customHeight="1">
      <c r="A15" s="285" t="s">
        <v>113</v>
      </c>
      <c r="B15" s="286">
        <f>'- 31 -'!D15</f>
        <v>1894234</v>
      </c>
      <c r="C15" s="286">
        <f>B15/'- 7 -'!E15</f>
        <v>1343.4283687943262</v>
      </c>
      <c r="D15" s="362">
        <f t="shared" si="0"/>
        <v>6.5037184038674143</v>
      </c>
      <c r="E15" s="286">
        <f>I15/'- 7 -'!E15</f>
        <v>206.56312056737588</v>
      </c>
      <c r="F15" s="286">
        <f>'- 31 -'!F15</f>
        <v>162397</v>
      </c>
      <c r="G15" s="362">
        <f t="shared" si="1"/>
        <v>0.5575786083624602</v>
      </c>
      <c r="I15" s="2">
        <f>+Data!AB15</f>
        <v>291254</v>
      </c>
    </row>
    <row r="16" spans="1:9" ht="14.1" customHeight="1">
      <c r="A16" s="19" t="s">
        <v>114</v>
      </c>
      <c r="B16" s="20">
        <f>'- 31 -'!D16</f>
        <v>1903266</v>
      </c>
      <c r="C16" s="20">
        <f>B16/'- 7 -'!E16</f>
        <v>2041.0359249329758</v>
      </c>
      <c r="D16" s="363">
        <f t="shared" si="0"/>
        <v>9.0741900879639559</v>
      </c>
      <c r="E16" s="20">
        <f>I16/'- 7 -'!E16</f>
        <v>224.92761394101876</v>
      </c>
      <c r="F16" s="20">
        <f>'- 31 -'!F16</f>
        <v>118704</v>
      </c>
      <c r="G16" s="363">
        <f t="shared" si="1"/>
        <v>0.56594436100979761</v>
      </c>
      <c r="I16" s="2">
        <f>+Data!AB16</f>
        <v>209745</v>
      </c>
    </row>
    <row r="17" spans="1:9" ht="14.1" customHeight="1">
      <c r="A17" s="285" t="s">
        <v>115</v>
      </c>
      <c r="B17" s="286">
        <f>'- 31 -'!D17</f>
        <v>1613777</v>
      </c>
      <c r="C17" s="286">
        <f>B17/'- 7 -'!E17</f>
        <v>1202.5035926805122</v>
      </c>
      <c r="D17" s="362">
        <f t="shared" si="0"/>
        <v>6.155154987165453</v>
      </c>
      <c r="E17" s="286">
        <f>I17/'- 7 -'!E17</f>
        <v>195.36528246452559</v>
      </c>
      <c r="F17" s="286">
        <f>'- 31 -'!F17</f>
        <v>139779</v>
      </c>
      <c r="G17" s="362">
        <f t="shared" si="1"/>
        <v>0.53313525285773677</v>
      </c>
      <c r="I17" s="2">
        <f>+Data!AB17</f>
        <v>262183</v>
      </c>
    </row>
    <row r="18" spans="1:9" ht="14.1" customHeight="1">
      <c r="A18" s="19" t="s">
        <v>116</v>
      </c>
      <c r="B18" s="20">
        <f>'- 31 -'!D18</f>
        <v>16580221</v>
      </c>
      <c r="C18" s="20">
        <f>B18/'- 7 -'!E18</f>
        <v>2681.5819181627044</v>
      </c>
      <c r="D18" s="363">
        <f>B18/I18</f>
        <v>11.550997531686445</v>
      </c>
      <c r="E18" s="20">
        <f>I18/'- 7 -'!E18</f>
        <v>232.1515445576581</v>
      </c>
      <c r="F18" s="20">
        <f>'- 31 -'!F18</f>
        <v>1884730</v>
      </c>
      <c r="G18" s="363">
        <f>F18/I18</f>
        <v>1.31304109745554</v>
      </c>
      <c r="I18" s="2">
        <f>+Data!AB18</f>
        <v>1435393</v>
      </c>
    </row>
    <row r="19" spans="1:9" ht="14.1" customHeight="1">
      <c r="A19" s="285" t="s">
        <v>117</v>
      </c>
      <c r="B19" s="286">
        <f>'- 31 -'!D19</f>
        <v>3768479</v>
      </c>
      <c r="C19" s="286">
        <f>B19/'- 7 -'!E19</f>
        <v>889.90459772829252</v>
      </c>
      <c r="D19" s="362">
        <f t="shared" si="0"/>
        <v>5.8887821083785719</v>
      </c>
      <c r="E19" s="286">
        <f>I19/'- 7 -'!E19</f>
        <v>151.11861525019484</v>
      </c>
      <c r="F19" s="286">
        <f>'- 31 -'!F19</f>
        <v>146446</v>
      </c>
      <c r="G19" s="362">
        <f t="shared" si="1"/>
        <v>0.22884261386188123</v>
      </c>
      <c r="I19" s="2">
        <f>+Data!AB19</f>
        <v>639942</v>
      </c>
    </row>
    <row r="20" spans="1:9" ht="14.1" customHeight="1">
      <c r="A20" s="19" t="s">
        <v>118</v>
      </c>
      <c r="B20" s="20">
        <f>'- 31 -'!D20</f>
        <v>7006726</v>
      </c>
      <c r="C20" s="20">
        <f>B20/'- 7 -'!E20</f>
        <v>926.14794889927236</v>
      </c>
      <c r="D20" s="363">
        <f t="shared" si="0"/>
        <v>6.686655844682579</v>
      </c>
      <c r="E20" s="20">
        <f>I20/'- 7 -'!E20</f>
        <v>138.50689648335526</v>
      </c>
      <c r="F20" s="20">
        <f>'- 31 -'!F20</f>
        <v>790271</v>
      </c>
      <c r="G20" s="363">
        <f t="shared" si="1"/>
        <v>0.75417109232373958</v>
      </c>
      <c r="I20" s="2">
        <f>+Data!AB20</f>
        <v>1047867</v>
      </c>
    </row>
    <row r="21" spans="1:9" ht="14.1" customHeight="1">
      <c r="A21" s="285" t="s">
        <v>119</v>
      </c>
      <c r="B21" s="286">
        <f>'- 31 -'!D21</f>
        <v>2840658</v>
      </c>
      <c r="C21" s="286">
        <f>B21/'- 7 -'!E21</f>
        <v>1057.5399277763299</v>
      </c>
      <c r="D21" s="362">
        <f t="shared" si="0"/>
        <v>6.2145083909245438</v>
      </c>
      <c r="E21" s="286">
        <f>I21/'- 7 -'!E21</f>
        <v>170.17274114887755</v>
      </c>
      <c r="F21" s="286">
        <f>'- 31 -'!F21</f>
        <v>237617</v>
      </c>
      <c r="G21" s="362">
        <f t="shared" si="1"/>
        <v>0.51983478487248991</v>
      </c>
      <c r="I21" s="2">
        <f>+Data!AB21</f>
        <v>457101</v>
      </c>
    </row>
    <row r="22" spans="1:9" ht="14.1" customHeight="1">
      <c r="A22" s="19" t="s">
        <v>120</v>
      </c>
      <c r="B22" s="20">
        <f>'- 31 -'!D22</f>
        <v>2127020</v>
      </c>
      <c r="C22" s="20">
        <f>B22/'- 7 -'!E22</f>
        <v>1388.4848880475226</v>
      </c>
      <c r="D22" s="363">
        <f t="shared" si="0"/>
        <v>6.6693841460164363</v>
      </c>
      <c r="E22" s="20">
        <f>I22/'- 7 -'!E22</f>
        <v>208.18787127097067</v>
      </c>
      <c r="F22" s="20">
        <f>'- 31 -'!F22</f>
        <v>179469</v>
      </c>
      <c r="G22" s="363">
        <f t="shared" si="1"/>
        <v>0.56273457856598619</v>
      </c>
      <c r="I22" s="2">
        <f>+Data!AB22</f>
        <v>318923</v>
      </c>
    </row>
    <row r="23" spans="1:9" ht="14.1" customHeight="1">
      <c r="A23" s="285" t="s">
        <v>121</v>
      </c>
      <c r="B23" s="286">
        <f>'- 31 -'!D23</f>
        <v>1188690</v>
      </c>
      <c r="C23" s="286">
        <f>B23/'- 7 -'!E23</f>
        <v>1070.4097253489419</v>
      </c>
      <c r="D23" s="362">
        <f t="shared" si="0"/>
        <v>5.0960746990431112</v>
      </c>
      <c r="E23" s="286">
        <f>I23/'- 7 -'!E23</f>
        <v>210.0459252588924</v>
      </c>
      <c r="F23" s="286">
        <f>'- 31 -'!F23</f>
        <v>221354</v>
      </c>
      <c r="G23" s="362">
        <f t="shared" si="1"/>
        <v>0.9489745172685804</v>
      </c>
      <c r="I23" s="2">
        <f>+Data!AB23</f>
        <v>233256</v>
      </c>
    </row>
    <row r="24" spans="1:9" ht="14.1" customHeight="1">
      <c r="A24" s="19" t="s">
        <v>122</v>
      </c>
      <c r="B24" s="20">
        <f>'- 31 -'!D24</f>
        <v>5501561</v>
      </c>
      <c r="C24" s="20">
        <f>B24/'- 7 -'!E24</f>
        <v>1378.3191782537892</v>
      </c>
      <c r="D24" s="363">
        <f t="shared" si="0"/>
        <v>7.7298536381122593</v>
      </c>
      <c r="E24" s="20">
        <f>I24/'- 7 -'!E24</f>
        <v>178.31116121758737</v>
      </c>
      <c r="F24" s="20">
        <f>'- 31 -'!F24</f>
        <v>503086</v>
      </c>
      <c r="G24" s="363">
        <f t="shared" si="1"/>
        <v>0.70685050068214161</v>
      </c>
      <c r="I24" s="2">
        <f>+Data!AB24</f>
        <v>711729</v>
      </c>
    </row>
    <row r="25" spans="1:9" ht="14.1" customHeight="1">
      <c r="A25" s="285" t="s">
        <v>123</v>
      </c>
      <c r="B25" s="286">
        <f>'- 31 -'!D25</f>
        <v>15698586</v>
      </c>
      <c r="C25" s="286">
        <f>B25/'- 7 -'!E25</f>
        <v>1108.9234703247953</v>
      </c>
      <c r="D25" s="362">
        <f t="shared" si="0"/>
        <v>7.0017862853426927</v>
      </c>
      <c r="E25" s="286">
        <f>I25/'- 7 -'!E25</f>
        <v>158.37722334458837</v>
      </c>
      <c r="F25" s="286">
        <f>'- 31 -'!F25</f>
        <v>900652</v>
      </c>
      <c r="G25" s="362">
        <f t="shared" si="1"/>
        <v>0.40170323756970638</v>
      </c>
      <c r="I25" s="2">
        <f>+Data!AB25</f>
        <v>2242083</v>
      </c>
    </row>
    <row r="26" spans="1:9" ht="14.1" customHeight="1">
      <c r="A26" s="19" t="s">
        <v>124</v>
      </c>
      <c r="B26" s="20">
        <f>'- 31 -'!D26</f>
        <v>4265942</v>
      </c>
      <c r="C26" s="20">
        <f>B26/'- 7 -'!E26</f>
        <v>1386.8472041612483</v>
      </c>
      <c r="D26" s="363">
        <f t="shared" si="0"/>
        <v>5.5416022021218412</v>
      </c>
      <c r="E26" s="20">
        <f>I26/'- 7 -'!E26</f>
        <v>250.26105331599479</v>
      </c>
      <c r="F26" s="20">
        <f>'- 31 -'!F26</f>
        <v>309190</v>
      </c>
      <c r="G26" s="363">
        <f t="shared" si="1"/>
        <v>0.40164821389368449</v>
      </c>
      <c r="I26" s="2">
        <f>+Data!AB26</f>
        <v>769803</v>
      </c>
    </row>
    <row r="27" spans="1:9" ht="14.1" customHeight="1">
      <c r="A27" s="285" t="s">
        <v>125</v>
      </c>
      <c r="B27" s="286">
        <f>'- 31 -'!D27</f>
        <v>3996023</v>
      </c>
      <c r="C27" s="367">
        <f>B27/'- 7 -'!E27</f>
        <v>1375.4678663504531</v>
      </c>
      <c r="D27" s="364">
        <f t="shared" si="0"/>
        <v>8.5915469640580415</v>
      </c>
      <c r="E27" s="367">
        <f>I27/'- 7 -'!E27</f>
        <v>160.09548363113166</v>
      </c>
      <c r="F27" s="367">
        <f>'- 31 -'!F27</f>
        <v>231418</v>
      </c>
      <c r="G27" s="364">
        <f t="shared" si="1"/>
        <v>0.49755434724184122</v>
      </c>
      <c r="I27" s="2">
        <f>+Data!AB27</f>
        <v>465111</v>
      </c>
    </row>
    <row r="28" spans="1:9" ht="14.1" customHeight="1">
      <c r="A28" s="19" t="s">
        <v>126</v>
      </c>
      <c r="B28" s="20">
        <f>'- 31 -'!D28</f>
        <v>2797597</v>
      </c>
      <c r="C28" s="20">
        <f>B28/'- 7 -'!E28</f>
        <v>1406.1809499874341</v>
      </c>
      <c r="D28" s="363">
        <f t="shared" si="0"/>
        <v>6.3499345167975196</v>
      </c>
      <c r="E28" s="20">
        <f>I28/'- 7 -'!E28</f>
        <v>221.44810253832622</v>
      </c>
      <c r="F28" s="20">
        <f>'- 31 -'!F28</f>
        <v>105948</v>
      </c>
      <c r="G28" s="363">
        <f t="shared" si="1"/>
        <v>0.24047883315061591</v>
      </c>
      <c r="I28" s="2">
        <f>+Data!AB28+Data!AC28</f>
        <v>440571</v>
      </c>
    </row>
    <row r="29" spans="1:9" ht="14.1" customHeight="1">
      <c r="A29" s="285" t="s">
        <v>127</v>
      </c>
      <c r="B29" s="286">
        <f>'- 31 -'!D29</f>
        <v>13648631</v>
      </c>
      <c r="C29" s="286">
        <f>B29/'- 7 -'!E29</f>
        <v>1075.2626188619192</v>
      </c>
      <c r="D29" s="362">
        <f t="shared" si="0"/>
        <v>7.776869214126946</v>
      </c>
      <c r="E29" s="286">
        <f>I29/'- 7 -'!E29</f>
        <v>138.26420237448104</v>
      </c>
      <c r="F29" s="286">
        <f>'- 31 -'!F29</f>
        <v>2671467</v>
      </c>
      <c r="G29" s="362">
        <f t="shared" si="1"/>
        <v>1.522178266000163</v>
      </c>
      <c r="I29" s="2">
        <f>+Data!AB29</f>
        <v>1755029</v>
      </c>
    </row>
    <row r="30" spans="1:9" ht="14.1" customHeight="1">
      <c r="A30" s="19" t="s">
        <v>128</v>
      </c>
      <c r="B30" s="20">
        <f>'- 31 -'!D30</f>
        <v>1083775</v>
      </c>
      <c r="C30" s="20">
        <f>B30/'- 7 -'!E30</f>
        <v>1079.4571713147411</v>
      </c>
      <c r="D30" s="363">
        <f t="shared" si="0"/>
        <v>5.1676004291333886</v>
      </c>
      <c r="E30" s="20">
        <f>I30/'- 7 -'!E30</f>
        <v>208.88944223107569</v>
      </c>
      <c r="F30" s="20">
        <f>'- 31 -'!F30</f>
        <v>158654</v>
      </c>
      <c r="G30" s="363">
        <f t="shared" si="1"/>
        <v>0.75648587435928005</v>
      </c>
      <c r="I30" s="2">
        <f>+Data!AB30</f>
        <v>209725</v>
      </c>
    </row>
    <row r="31" spans="1:9" ht="14.1" customHeight="1">
      <c r="A31" s="285" t="s">
        <v>129</v>
      </c>
      <c r="B31" s="286">
        <f>'- 31 -'!D31</f>
        <v>3308488</v>
      </c>
      <c r="C31" s="286">
        <f>B31/'- 7 -'!E31</f>
        <v>1012.2343582683188</v>
      </c>
      <c r="D31" s="362">
        <f t="shared" si="0"/>
        <v>5.455014311529685</v>
      </c>
      <c r="E31" s="286">
        <f>I31/'- 7 -'!E31</f>
        <v>185.5603487838458</v>
      </c>
      <c r="F31" s="286">
        <f>'- 31 -'!F31</f>
        <v>178021</v>
      </c>
      <c r="G31" s="362">
        <f t="shared" si="1"/>
        <v>0.29351991083323442</v>
      </c>
      <c r="I31" s="2">
        <f>+Data!AB31</f>
        <v>606504</v>
      </c>
    </row>
    <row r="32" spans="1:9" ht="14.1" customHeight="1">
      <c r="A32" s="19" t="s">
        <v>130</v>
      </c>
      <c r="B32" s="20">
        <f>'- 31 -'!D32</f>
        <v>2382977</v>
      </c>
      <c r="C32" s="20">
        <f>B32/'- 7 -'!E32</f>
        <v>1128.1966669822932</v>
      </c>
      <c r="D32" s="363">
        <f t="shared" si="0"/>
        <v>6.2075121259957386</v>
      </c>
      <c r="E32" s="20">
        <f>I32/'- 7 -'!E32</f>
        <v>181.74699365590376</v>
      </c>
      <c r="F32" s="20">
        <f>'- 31 -'!F32</f>
        <v>502590</v>
      </c>
      <c r="G32" s="363">
        <f t="shared" si="1"/>
        <v>1.309216798737125</v>
      </c>
      <c r="I32" s="2">
        <f>+Data!AB32</f>
        <v>383886</v>
      </c>
    </row>
    <row r="33" spans="1:9" ht="14.1" customHeight="1">
      <c r="A33" s="285" t="s">
        <v>131</v>
      </c>
      <c r="B33" s="286">
        <f>'- 31 -'!D33</f>
        <v>2641664</v>
      </c>
      <c r="C33" s="286">
        <f>B33/'- 7 -'!E33</f>
        <v>1298.6893466397914</v>
      </c>
      <c r="D33" s="362">
        <f t="shared" si="0"/>
        <v>5.3697269059161918</v>
      </c>
      <c r="E33" s="286">
        <f>I33/'- 7 -'!E33</f>
        <v>241.85389115579369</v>
      </c>
      <c r="F33" s="286">
        <f>'- 31 -'!F33</f>
        <v>252414</v>
      </c>
      <c r="G33" s="362">
        <f t="shared" si="1"/>
        <v>0.51308351373601246</v>
      </c>
      <c r="I33" s="2">
        <f>+Data!AB33</f>
        <v>491955</v>
      </c>
    </row>
    <row r="34" spans="1:9" ht="14.1" customHeight="1">
      <c r="A34" s="19" t="s">
        <v>132</v>
      </c>
      <c r="B34" s="20">
        <f>'- 31 -'!D34</f>
        <v>2054095</v>
      </c>
      <c r="C34" s="20">
        <f>B34/'- 7 -'!E34</f>
        <v>1036.6049980823191</v>
      </c>
      <c r="D34" s="363">
        <f t="shared" si="0"/>
        <v>5.7209481740602932</v>
      </c>
      <c r="E34" s="20">
        <f>I34/'- 7 -'!E34</f>
        <v>181.19461434425403</v>
      </c>
      <c r="F34" s="20">
        <f>'- 31 -'!F34</f>
        <v>323430</v>
      </c>
      <c r="G34" s="363">
        <f t="shared" si="1"/>
        <v>0.90079877899333793</v>
      </c>
      <c r="I34" s="2">
        <f>+Data!AB34</f>
        <v>359048</v>
      </c>
    </row>
    <row r="35" spans="1:9" ht="14.1" customHeight="1">
      <c r="A35" s="285" t="s">
        <v>133</v>
      </c>
      <c r="B35" s="286">
        <f>'- 31 -'!D35</f>
        <v>17800015</v>
      </c>
      <c r="C35" s="286">
        <f>B35/'- 7 -'!E35</f>
        <v>1153.7100171760055</v>
      </c>
      <c r="D35" s="362">
        <f t="shared" si="0"/>
        <v>7.2888119696933096</v>
      </c>
      <c r="E35" s="286">
        <f>I35/'- 7 -'!E35</f>
        <v>158.28505687526331</v>
      </c>
      <c r="F35" s="286">
        <f>'- 31 -'!F35</f>
        <v>848324</v>
      </c>
      <c r="G35" s="362">
        <f t="shared" si="1"/>
        <v>0.34737465813248508</v>
      </c>
      <c r="I35" s="2">
        <f>+Data!AB35</f>
        <v>2442101</v>
      </c>
    </row>
    <row r="36" spans="1:9" ht="14.1" customHeight="1">
      <c r="A36" s="19" t="s">
        <v>134</v>
      </c>
      <c r="B36" s="20">
        <f>'- 31 -'!D36</f>
        <v>2213263</v>
      </c>
      <c r="C36" s="20">
        <f>B36/'- 7 -'!E36</f>
        <v>1352.4369080354415</v>
      </c>
      <c r="D36" s="363">
        <f t="shared" si="0"/>
        <v>6.8756442238093314</v>
      </c>
      <c r="E36" s="20">
        <f>I36/'- 7 -'!E36</f>
        <v>196.69966391689582</v>
      </c>
      <c r="F36" s="20">
        <f>'- 31 -'!F36</f>
        <v>142734</v>
      </c>
      <c r="G36" s="363">
        <f t="shared" si="1"/>
        <v>0.44341237468895522</v>
      </c>
      <c r="I36" s="2">
        <f>+Data!AB36</f>
        <v>321899</v>
      </c>
    </row>
    <row r="37" spans="1:9" ht="14.1" customHeight="1">
      <c r="A37" s="285" t="s">
        <v>135</v>
      </c>
      <c r="B37" s="286">
        <f>'- 31 -'!D37</f>
        <v>3860571</v>
      </c>
      <c r="C37" s="286">
        <f>B37/'- 7 -'!E37</f>
        <v>940.79956135006705</v>
      </c>
      <c r="D37" s="362">
        <f t="shared" si="0"/>
        <v>6.6193510223327188</v>
      </c>
      <c r="E37" s="286">
        <f>I37/'- 7 -'!E37</f>
        <v>142.12867064700865</v>
      </c>
      <c r="F37" s="286">
        <f>'- 31 -'!F37</f>
        <v>489188</v>
      </c>
      <c r="G37" s="362">
        <f t="shared" si="1"/>
        <v>0.83876377041450556</v>
      </c>
      <c r="I37" s="2">
        <f>+Data!AB37</f>
        <v>583225</v>
      </c>
    </row>
    <row r="38" spans="1:9" ht="14.1" customHeight="1">
      <c r="A38" s="19" t="s">
        <v>136</v>
      </c>
      <c r="B38" s="20">
        <f>'- 31 -'!D38</f>
        <v>9975128</v>
      </c>
      <c r="C38" s="20">
        <f>B38/'- 7 -'!E38</f>
        <v>923.68283129462088</v>
      </c>
      <c r="D38" s="363">
        <f t="shared" si="0"/>
        <v>7.5304786076757804</v>
      </c>
      <c r="E38" s="20">
        <f>I38/'- 7 -'!E38</f>
        <v>122.65924643263914</v>
      </c>
      <c r="F38" s="20">
        <f>'- 31 -'!F38</f>
        <v>565377</v>
      </c>
      <c r="G38" s="363">
        <f t="shared" si="1"/>
        <v>0.4268175209152113</v>
      </c>
      <c r="I38" s="2">
        <f>+Data!AB38</f>
        <v>1324634</v>
      </c>
    </row>
    <row r="39" spans="1:9" ht="14.1" customHeight="1">
      <c r="A39" s="285" t="s">
        <v>137</v>
      </c>
      <c r="B39" s="286">
        <f>'- 31 -'!D39</f>
        <v>1881691</v>
      </c>
      <c r="C39" s="286">
        <f>B39/'- 7 -'!E39</f>
        <v>1187.2616568868698</v>
      </c>
      <c r="D39" s="362">
        <f t="shared" si="0"/>
        <v>5.9859171059286851</v>
      </c>
      <c r="E39" s="286">
        <f>I39/'- 7 -'!E39</f>
        <v>198.34248217553156</v>
      </c>
      <c r="F39" s="286">
        <f>'- 31 -'!F39</f>
        <v>163451</v>
      </c>
      <c r="G39" s="362">
        <f t="shared" si="1"/>
        <v>0.51996004491765624</v>
      </c>
      <c r="I39" s="2">
        <f>+Data!AB39</f>
        <v>314353</v>
      </c>
    </row>
    <row r="40" spans="1:9" ht="14.1" customHeight="1">
      <c r="A40" s="19" t="s">
        <v>138</v>
      </c>
      <c r="B40" s="20">
        <f>'- 31 -'!D40</f>
        <v>7841689</v>
      </c>
      <c r="C40" s="20">
        <f>B40/'- 7 -'!E40</f>
        <v>985.27296485695251</v>
      </c>
      <c r="D40" s="363">
        <f t="shared" si="0"/>
        <v>5.5110418474880616</v>
      </c>
      <c r="E40" s="20">
        <f>I40/'- 7 -'!E40</f>
        <v>178.78161554988753</v>
      </c>
      <c r="F40" s="20">
        <f>'- 31 -'!F40</f>
        <v>1487769</v>
      </c>
      <c r="G40" s="363">
        <f t="shared" si="1"/>
        <v>1.045585615343259</v>
      </c>
      <c r="I40" s="2">
        <f>+Data!AB40</f>
        <v>1422905</v>
      </c>
    </row>
    <row r="41" spans="1:9" ht="14.1" customHeight="1">
      <c r="A41" s="285" t="s">
        <v>139</v>
      </c>
      <c r="B41" s="286">
        <f>'- 31 -'!D41</f>
        <v>5063252</v>
      </c>
      <c r="C41" s="286">
        <f>B41/'- 7 -'!E41</f>
        <v>1154.4122207022344</v>
      </c>
      <c r="D41" s="362">
        <f t="shared" si="0"/>
        <v>6.9666722621088581</v>
      </c>
      <c r="E41" s="286">
        <f>I41/'- 7 -'!E41</f>
        <v>165.70497036023713</v>
      </c>
      <c r="F41" s="286">
        <f>'- 31 -'!F41</f>
        <v>499252</v>
      </c>
      <c r="G41" s="362">
        <f t="shared" si="1"/>
        <v>0.686935009397591</v>
      </c>
      <c r="I41" s="2">
        <f>+Data!AB41</f>
        <v>726782</v>
      </c>
    </row>
    <row r="42" spans="1:9" ht="14.1" customHeight="1">
      <c r="A42" s="19" t="s">
        <v>140</v>
      </c>
      <c r="B42" s="20">
        <f>'- 31 -'!D42</f>
        <v>1947758</v>
      </c>
      <c r="C42" s="20">
        <f>B42/'- 7 -'!E42</f>
        <v>1407.1362519867073</v>
      </c>
      <c r="D42" s="363">
        <f t="shared" si="0"/>
        <v>5.9068255359411914</v>
      </c>
      <c r="E42" s="20">
        <f>I42/'- 7 -'!E42</f>
        <v>238.22207773443148</v>
      </c>
      <c r="F42" s="20">
        <f>'- 31 -'!F42</f>
        <v>187162</v>
      </c>
      <c r="G42" s="363">
        <f t="shared" si="1"/>
        <v>0.56759273018405021</v>
      </c>
      <c r="I42" s="2">
        <f>+Data!AB42</f>
        <v>329747</v>
      </c>
    </row>
    <row r="43" spans="1:9" ht="14.1" customHeight="1">
      <c r="A43" s="285" t="s">
        <v>141</v>
      </c>
      <c r="B43" s="286">
        <f>'- 31 -'!D43</f>
        <v>867142</v>
      </c>
      <c r="C43" s="286">
        <f>B43/'- 7 -'!E43</f>
        <v>915.96281821062644</v>
      </c>
      <c r="D43" s="362">
        <f t="shared" si="0"/>
        <v>4.7489129125182092</v>
      </c>
      <c r="E43" s="286">
        <f>I43/'- 7 -'!E43</f>
        <v>192.87841977395163</v>
      </c>
      <c r="F43" s="286">
        <f>'- 31 -'!F43</f>
        <v>95113</v>
      </c>
      <c r="G43" s="362">
        <f t="shared" si="1"/>
        <v>0.52088741388186066</v>
      </c>
      <c r="I43" s="2">
        <f>+Data!AB43</f>
        <v>182598</v>
      </c>
    </row>
    <row r="44" spans="1:9" ht="14.1" customHeight="1">
      <c r="A44" s="19" t="s">
        <v>142</v>
      </c>
      <c r="B44" s="20">
        <f>'- 31 -'!D44</f>
        <v>1050133</v>
      </c>
      <c r="C44" s="20">
        <f>B44/'- 7 -'!E44</f>
        <v>1542.0455212922172</v>
      </c>
      <c r="D44" s="363">
        <f t="shared" si="0"/>
        <v>5.8112469356472083</v>
      </c>
      <c r="E44" s="20">
        <f>I44/'- 7 -'!E44</f>
        <v>265.35535976505139</v>
      </c>
      <c r="F44" s="20">
        <f>'- 31 -'!F44</f>
        <v>146887</v>
      </c>
      <c r="G44" s="363">
        <f t="shared" si="1"/>
        <v>0.81284620961003173</v>
      </c>
      <c r="I44" s="2">
        <f>+Data!AB44</f>
        <v>180707</v>
      </c>
    </row>
    <row r="45" spans="1:9" ht="14.1" customHeight="1">
      <c r="A45" s="285" t="s">
        <v>143</v>
      </c>
      <c r="B45" s="286">
        <f>'- 31 -'!D45</f>
        <v>1542706</v>
      </c>
      <c r="C45" s="286">
        <f>B45/'- 7 -'!E45</f>
        <v>929.34096385542171</v>
      </c>
      <c r="D45" s="362">
        <f t="shared" si="0"/>
        <v>7.2406775524380338</v>
      </c>
      <c r="E45" s="286">
        <f>I45/'- 7 -'!E45</f>
        <v>128.35</v>
      </c>
      <c r="F45" s="286">
        <f>'- 31 -'!F45</f>
        <v>147664</v>
      </c>
      <c r="G45" s="362">
        <f t="shared" si="1"/>
        <v>0.69305973406676957</v>
      </c>
      <c r="I45" s="2">
        <f>+Data!AB45</f>
        <v>213061</v>
      </c>
    </row>
    <row r="46" spans="1:9" ht="14.1" customHeight="1">
      <c r="A46" s="19" t="s">
        <v>144</v>
      </c>
      <c r="B46" s="20">
        <f>'- 31 -'!D46</f>
        <v>36762321</v>
      </c>
      <c r="C46" s="20">
        <f>B46/'- 7 -'!E46</f>
        <v>1232.187732528909</v>
      </c>
      <c r="D46" s="363">
        <f t="shared" si="0"/>
        <v>7.3439642957241285</v>
      </c>
      <c r="E46" s="20">
        <f>I46/'- 7 -'!E46</f>
        <v>167.78236970001677</v>
      </c>
      <c r="F46" s="20">
        <f>'- 31 -'!F46</f>
        <v>4758366</v>
      </c>
      <c r="G46" s="363">
        <f t="shared" si="1"/>
        <v>0.95057300680192747</v>
      </c>
      <c r="I46" s="2">
        <f>+Data!AB46</f>
        <v>5005787</v>
      </c>
    </row>
    <row r="47" spans="1:9" ht="5.0999999999999996" customHeight="1">
      <c r="A47"/>
      <c r="B47" s="22"/>
      <c r="C47" s="368"/>
      <c r="D47" s="365"/>
      <c r="E47" s="368"/>
      <c r="F47" s="368"/>
      <c r="G47" s="365"/>
      <c r="I47"/>
    </row>
    <row r="48" spans="1:9" ht="14.1" customHeight="1">
      <c r="A48" s="287" t="s">
        <v>145</v>
      </c>
      <c r="B48" s="288">
        <f>SUM(B11:B46)</f>
        <v>204734219</v>
      </c>
      <c r="C48" s="288">
        <f>B48/'- 7 -'!E48</f>
        <v>1176.5858767745708</v>
      </c>
      <c r="D48" s="366">
        <f>B48/I48</f>
        <v>7.0617260713119263</v>
      </c>
      <c r="E48" s="288">
        <f>I48/'- 7 -'!E48</f>
        <v>166.61448842577164</v>
      </c>
      <c r="F48" s="288">
        <f>SUM(F11:F46)</f>
        <v>21612181</v>
      </c>
      <c r="G48" s="366">
        <f t="shared" si="1"/>
        <v>0.74545087172561153</v>
      </c>
      <c r="I48" s="2">
        <f>+Data!AB48</f>
        <v>28992093</v>
      </c>
    </row>
    <row r="49" spans="1:9" ht="5.0999999999999996" customHeight="1">
      <c r="A49" s="21" t="s">
        <v>7</v>
      </c>
      <c r="B49" s="22"/>
      <c r="C49" s="368"/>
      <c r="D49" s="365"/>
      <c r="E49" s="368"/>
      <c r="F49" s="368"/>
      <c r="G49" s="365"/>
    </row>
    <row r="50" spans="1:9" ht="14.1" customHeight="1">
      <c r="A50" s="19" t="s">
        <v>146</v>
      </c>
      <c r="B50" s="20">
        <f>'- 31 -'!D50</f>
        <v>393526</v>
      </c>
      <c r="C50" s="20">
        <f>B50/'- 7 -'!E50</f>
        <v>2301.3216374269005</v>
      </c>
      <c r="D50" s="363">
        <f>B50/I50</f>
        <v>5.3866349102058697</v>
      </c>
      <c r="E50" s="20">
        <f>I50/'- 7 -'!E50</f>
        <v>427.22807017543857</v>
      </c>
      <c r="F50" s="20">
        <f>'- 31 -'!F50</f>
        <v>0</v>
      </c>
      <c r="G50" s="363">
        <f>F50/I50</f>
        <v>0</v>
      </c>
      <c r="I50" s="2">
        <f>+Data!AB50</f>
        <v>73056</v>
      </c>
    </row>
    <row r="51" spans="1:9" ht="14.1" customHeight="1">
      <c r="A51" s="285" t="s">
        <v>612</v>
      </c>
      <c r="B51" s="286">
        <f>'- 31 -'!D51</f>
        <v>2791174</v>
      </c>
      <c r="C51" s="286">
        <f>B51/'- 7 -'!E51</f>
        <v>2747.2185039370079</v>
      </c>
      <c r="D51" s="364" t="s">
        <v>95</v>
      </c>
      <c r="E51" s="286">
        <f>I51/'- 7 -'!E51</f>
        <v>0</v>
      </c>
      <c r="F51" s="286">
        <f>'- 31 -'!F51</f>
        <v>5739</v>
      </c>
      <c r="G51" s="364" t="s">
        <v>95</v>
      </c>
    </row>
    <row r="52" spans="1:9" ht="50.1" customHeight="1">
      <c r="A52" s="23"/>
      <c r="B52" s="23"/>
      <c r="C52" s="23"/>
      <c r="D52" s="23"/>
      <c r="E52" s="23"/>
      <c r="F52" s="23"/>
      <c r="G52" s="23"/>
      <c r="I52" s="221"/>
    </row>
    <row r="53" spans="1:9" ht="15" customHeight="1">
      <c r="A53" s="133" t="s">
        <v>623</v>
      </c>
    </row>
    <row r="54" spans="1:9" ht="12" customHeight="1">
      <c r="A54" s="25" t="s">
        <v>347</v>
      </c>
    </row>
  </sheetData>
  <mergeCells count="6">
    <mergeCell ref="B7:E7"/>
    <mergeCell ref="F6:G7"/>
    <mergeCell ref="C8:C9"/>
    <mergeCell ref="D8:D9"/>
    <mergeCell ref="E8:E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sheetPr codeName="Sheet52">
    <pageSetUpPr fitToPage="1"/>
  </sheetPr>
  <dimension ref="A1:J56"/>
  <sheetViews>
    <sheetView showGridLines="0" showZeros="0" workbookViewId="0"/>
  </sheetViews>
  <sheetFormatPr defaultColWidth="15.83203125" defaultRowHeight="12"/>
  <cols>
    <col min="1" max="1" width="32.83203125" style="2" customWidth="1"/>
    <col min="2" max="2" width="13.83203125" style="2" customWidth="1"/>
    <col min="3" max="3" width="8.83203125" style="2" customWidth="1"/>
    <col min="4" max="4" width="9.83203125" style="2" customWidth="1"/>
    <col min="5" max="5" width="14.83203125" style="2" customWidth="1"/>
    <col min="6" max="6" width="8.83203125" style="2" customWidth="1"/>
    <col min="7" max="7" width="9.83203125" style="2" customWidth="1"/>
    <col min="8" max="8" width="14.83203125" style="2" customWidth="1"/>
    <col min="9" max="9" width="8.83203125" style="2" customWidth="1"/>
    <col min="10" max="10" width="9.83203125" style="2" customWidth="1"/>
    <col min="11" max="16384" width="15.83203125" style="2"/>
  </cols>
  <sheetData>
    <row r="1" spans="1:10" ht="6.95" customHeight="1">
      <c r="A1" s="7"/>
      <c r="B1" s="8"/>
      <c r="C1" s="8"/>
      <c r="D1" s="8"/>
      <c r="E1" s="8"/>
      <c r="F1" s="8"/>
      <c r="G1" s="8"/>
      <c r="H1" s="8"/>
      <c r="I1" s="8"/>
      <c r="J1" s="8"/>
    </row>
    <row r="2" spans="1:10" ht="15.95" customHeight="1">
      <c r="A2" s="134"/>
      <c r="B2" s="9" t="s">
        <v>284</v>
      </c>
      <c r="C2" s="10"/>
      <c r="D2" s="10"/>
      <c r="E2" s="10"/>
      <c r="F2" s="10"/>
      <c r="G2" s="10"/>
      <c r="H2" s="73"/>
      <c r="I2" s="153"/>
      <c r="J2" s="81"/>
    </row>
    <row r="3" spans="1:10" ht="15.95" customHeight="1">
      <c r="A3" s="543"/>
      <c r="B3" s="11" t="str">
        <f>OPYEAR</f>
        <v>OPERATING FUND 2015/2016 ACTUAL</v>
      </c>
      <c r="C3" s="12"/>
      <c r="D3" s="12"/>
      <c r="E3" s="12"/>
      <c r="F3" s="12"/>
      <c r="G3" s="12"/>
      <c r="H3" s="75"/>
      <c r="I3" s="75"/>
      <c r="J3" s="66"/>
    </row>
    <row r="4" spans="1:10" ht="15.95" customHeight="1">
      <c r="B4" s="8"/>
      <c r="C4" s="8"/>
      <c r="D4" s="8"/>
      <c r="E4" s="8"/>
      <c r="F4" s="8"/>
      <c r="G4" s="8"/>
      <c r="H4" s="8"/>
      <c r="I4" s="8"/>
      <c r="J4" s="8"/>
    </row>
    <row r="5" spans="1:10" ht="14.1" customHeight="1"/>
    <row r="6" spans="1:10" ht="18" customHeight="1">
      <c r="B6" s="394" t="s">
        <v>265</v>
      </c>
      <c r="C6" s="155"/>
      <c r="D6" s="156"/>
      <c r="E6" s="156"/>
      <c r="F6" s="156"/>
      <c r="G6" s="156"/>
      <c r="H6" s="156"/>
      <c r="I6" s="156"/>
      <c r="J6" s="157"/>
    </row>
    <row r="7" spans="1:10" ht="15.95" customHeight="1">
      <c r="B7" s="707" t="s">
        <v>72</v>
      </c>
      <c r="C7" s="708"/>
      <c r="D7" s="709"/>
      <c r="E7" s="707" t="s">
        <v>67</v>
      </c>
      <c r="F7" s="708"/>
      <c r="G7" s="709"/>
      <c r="H7" s="707" t="s">
        <v>274</v>
      </c>
      <c r="I7" s="708"/>
      <c r="J7" s="709"/>
    </row>
    <row r="8" spans="1:10" ht="15.95" customHeight="1">
      <c r="A8" s="67"/>
      <c r="B8" s="139"/>
      <c r="C8" s="68"/>
      <c r="D8" s="596" t="s">
        <v>480</v>
      </c>
      <c r="E8" s="139"/>
      <c r="F8" s="137"/>
      <c r="G8" s="596" t="s">
        <v>480</v>
      </c>
      <c r="H8" s="139"/>
      <c r="I8" s="137"/>
      <c r="J8" s="596" t="s">
        <v>480</v>
      </c>
    </row>
    <row r="9" spans="1:10" ht="15.95" customHeight="1">
      <c r="A9" s="35" t="s">
        <v>42</v>
      </c>
      <c r="B9" s="77" t="s">
        <v>43</v>
      </c>
      <c r="C9" s="77" t="s">
        <v>44</v>
      </c>
      <c r="D9" s="598"/>
      <c r="E9" s="77" t="s">
        <v>43</v>
      </c>
      <c r="F9" s="77" t="s">
        <v>44</v>
      </c>
      <c r="G9" s="598"/>
      <c r="H9" s="77" t="s">
        <v>43</v>
      </c>
      <c r="I9" s="77" t="s">
        <v>44</v>
      </c>
      <c r="J9" s="598"/>
    </row>
    <row r="10" spans="1:10" ht="5.0999999999999996" customHeight="1">
      <c r="A10" s="6"/>
    </row>
    <row r="11" spans="1:10" ht="14.1" customHeight="1">
      <c r="A11" s="285" t="s">
        <v>110</v>
      </c>
      <c r="B11" s="286">
        <v>146265</v>
      </c>
      <c r="C11" s="292">
        <f>B11/'- 3 -'!$D11*100</f>
        <v>0.81534304304987859</v>
      </c>
      <c r="D11" s="286">
        <f>B11/'- 7 -'!$E11</f>
        <v>87.27028639618139</v>
      </c>
      <c r="E11" s="286">
        <v>164774</v>
      </c>
      <c r="F11" s="292">
        <f>E11/'- 3 -'!$D11*100</f>
        <v>0.91852004632345874</v>
      </c>
      <c r="G11" s="286">
        <f>E11/'- 7 -'!$E11</f>
        <v>98.313842482100242</v>
      </c>
      <c r="H11" s="286">
        <v>243026</v>
      </c>
      <c r="I11" s="292">
        <f>H11/'- 3 -'!$D11*100</f>
        <v>1.3547298286004155</v>
      </c>
      <c r="J11" s="286">
        <f>H11/'- 7 -'!$E11</f>
        <v>145.0035799522673</v>
      </c>
    </row>
    <row r="12" spans="1:10" ht="14.1" customHeight="1">
      <c r="A12" s="19" t="s">
        <v>111</v>
      </c>
      <c r="B12" s="20">
        <v>295953</v>
      </c>
      <c r="C12" s="70">
        <f>B12/'- 3 -'!$D12*100</f>
        <v>0.91634111781398619</v>
      </c>
      <c r="D12" s="20">
        <f>B12/'- 7 -'!$E12</f>
        <v>139.27855428490753</v>
      </c>
      <c r="E12" s="20">
        <v>219741</v>
      </c>
      <c r="F12" s="70">
        <f>E12/'- 3 -'!$D12*100</f>
        <v>0.68037057765781439</v>
      </c>
      <c r="G12" s="20">
        <f>E12/'- 7 -'!$E12</f>
        <v>103.41239587745305</v>
      </c>
      <c r="H12" s="20">
        <v>579744</v>
      </c>
      <c r="I12" s="70">
        <f>H12/'- 3 -'!$D12*100</f>
        <v>1.7950257811407608</v>
      </c>
      <c r="J12" s="20">
        <f>H12/'- 7 -'!$E12</f>
        <v>272.83354510800507</v>
      </c>
    </row>
    <row r="13" spans="1:10" ht="14.1" customHeight="1">
      <c r="A13" s="285" t="s">
        <v>112</v>
      </c>
      <c r="B13" s="286">
        <v>440507</v>
      </c>
      <c r="C13" s="292">
        <f>B13/'- 3 -'!$D13*100</f>
        <v>0.48533911344485431</v>
      </c>
      <c r="D13" s="286">
        <f>B13/'- 7 -'!$E13</f>
        <v>53.394787878787881</v>
      </c>
      <c r="E13" s="286">
        <v>306936</v>
      </c>
      <c r="F13" s="292">
        <f>E13/'- 3 -'!$D13*100</f>
        <v>0.33817407243088032</v>
      </c>
      <c r="G13" s="286">
        <f>E13/'- 7 -'!$E13</f>
        <v>37.204363636363638</v>
      </c>
      <c r="H13" s="286">
        <v>1300259</v>
      </c>
      <c r="I13" s="292">
        <f>H13/'- 3 -'!$D13*100</f>
        <v>1.4325914237655537</v>
      </c>
      <c r="J13" s="286">
        <f>H13/'- 7 -'!$E13</f>
        <v>157.60715151515151</v>
      </c>
    </row>
    <row r="14" spans="1:10" ht="14.1" customHeight="1">
      <c r="A14" s="19" t="s">
        <v>359</v>
      </c>
      <c r="B14" s="20">
        <v>366848</v>
      </c>
      <c r="C14" s="70">
        <f>B14/'- 3 -'!$D14*100</f>
        <v>0.45169932527437917</v>
      </c>
      <c r="D14" s="20">
        <f>B14/'- 7 -'!$E14</f>
        <v>68.659554557364771</v>
      </c>
      <c r="E14" s="20">
        <v>356666</v>
      </c>
      <c r="F14" s="70">
        <f>E14/'- 3 -'!$D14*100</f>
        <v>0.43916224580292573</v>
      </c>
      <c r="G14" s="20">
        <f>E14/'- 7 -'!$E14</f>
        <v>66.75388358600037</v>
      </c>
      <c r="H14" s="20">
        <v>1128504</v>
      </c>
      <c r="I14" s="70">
        <f>H14/'- 3 -'!$D14*100</f>
        <v>1.3895250767877649</v>
      </c>
      <c r="J14" s="20">
        <f>H14/'- 7 -'!$E14</f>
        <v>211.21167883211677</v>
      </c>
    </row>
    <row r="15" spans="1:10" ht="14.1" customHeight="1">
      <c r="A15" s="285" t="s">
        <v>113</v>
      </c>
      <c r="B15" s="286">
        <v>126968</v>
      </c>
      <c r="C15" s="292">
        <f>B15/'- 3 -'!$D15*100</f>
        <v>0.64013461743426048</v>
      </c>
      <c r="D15" s="286">
        <f>B15/'- 7 -'!$E15</f>
        <v>90.048226950354604</v>
      </c>
      <c r="E15" s="286">
        <v>220957</v>
      </c>
      <c r="F15" s="292">
        <f>E15/'- 3 -'!$D15*100</f>
        <v>1.1139989971049546</v>
      </c>
      <c r="G15" s="286">
        <f>E15/'- 7 -'!$E15</f>
        <v>156.70709219858156</v>
      </c>
      <c r="H15" s="286">
        <v>459441</v>
      </c>
      <c r="I15" s="292">
        <f>H15/'- 3 -'!$D15*100</f>
        <v>2.3163638772652488</v>
      </c>
      <c r="J15" s="286">
        <f>H15/'- 7 -'!$E15</f>
        <v>325.84468085106386</v>
      </c>
    </row>
    <row r="16" spans="1:10" ht="14.1" customHeight="1">
      <c r="A16" s="19" t="s">
        <v>114</v>
      </c>
      <c r="B16" s="20">
        <v>125666</v>
      </c>
      <c r="C16" s="70">
        <f>B16/'- 3 -'!$D16*100</f>
        <v>0.8963437184933214</v>
      </c>
      <c r="D16" s="20">
        <f>B16/'- 7 -'!$E16</f>
        <v>134.76246648793565</v>
      </c>
      <c r="E16" s="20">
        <v>63470</v>
      </c>
      <c r="F16" s="70">
        <f>E16/'- 3 -'!$D16*100</f>
        <v>0.45271541875106325</v>
      </c>
      <c r="G16" s="20">
        <f>E16/'- 7 -'!$E16</f>
        <v>68.064343163538879</v>
      </c>
      <c r="H16" s="20">
        <v>160855</v>
      </c>
      <c r="I16" s="70">
        <f>H16/'- 3 -'!$D16*100</f>
        <v>1.1473379341925678</v>
      </c>
      <c r="J16" s="20">
        <f>H16/'- 7 -'!$E16</f>
        <v>172.49865951742626</v>
      </c>
    </row>
    <row r="17" spans="1:10" ht="14.1" customHeight="1">
      <c r="A17" s="285" t="s">
        <v>115</v>
      </c>
      <c r="B17" s="286">
        <v>114816</v>
      </c>
      <c r="C17" s="292">
        <f>B17/'- 3 -'!$D17*100</f>
        <v>0.6609842226400453</v>
      </c>
      <c r="D17" s="286">
        <f>B17/'- 7 -'!$E17</f>
        <v>85.554975995571681</v>
      </c>
      <c r="E17" s="286">
        <v>118943</v>
      </c>
      <c r="F17" s="292">
        <f>E17/'- 3 -'!$D17*100</f>
        <v>0.68474294866111785</v>
      </c>
      <c r="G17" s="286">
        <f>E17/'- 7 -'!$E17</f>
        <v>88.630204064253093</v>
      </c>
      <c r="H17" s="286">
        <v>202217</v>
      </c>
      <c r="I17" s="292">
        <f>H17/'- 3 -'!$D17*100</f>
        <v>1.1641430336329608</v>
      </c>
      <c r="J17" s="286">
        <f>H17/'- 7 -'!$E17</f>
        <v>150.6817044740848</v>
      </c>
    </row>
    <row r="18" spans="1:10" ht="14.1" customHeight="1">
      <c r="A18" s="19" t="s">
        <v>116</v>
      </c>
      <c r="B18" s="20">
        <v>348732</v>
      </c>
      <c r="C18" s="70">
        <f>B18/'- 3 -'!$D18*100</f>
        <v>0.27512880913702958</v>
      </c>
      <c r="D18" s="20">
        <f>B18/'- 7 -'!$E18</f>
        <v>56.401746724890828</v>
      </c>
      <c r="E18" s="20">
        <v>0</v>
      </c>
      <c r="F18" s="70">
        <f>E18/'- 3 -'!$D18*100</f>
        <v>0</v>
      </c>
      <c r="G18" s="20">
        <f>E18/'- 7 -'!$E18</f>
        <v>0</v>
      </c>
      <c r="H18" s="20">
        <v>1406929</v>
      </c>
      <c r="I18" s="70">
        <f>H18/'- 3 -'!$D18*100</f>
        <v>1.1099833118565312</v>
      </c>
      <c r="J18" s="20">
        <f>H18/'- 7 -'!$E18</f>
        <v>227.54795406760473</v>
      </c>
    </row>
    <row r="19" spans="1:10" ht="14.1" customHeight="1">
      <c r="A19" s="285" t="s">
        <v>117</v>
      </c>
      <c r="B19" s="286">
        <v>452077</v>
      </c>
      <c r="C19" s="292">
        <f>B19/'- 3 -'!$D19*100</f>
        <v>1.0107133915896944</v>
      </c>
      <c r="D19" s="286">
        <f>B19/'- 7 -'!$E19</f>
        <v>106.75537818499539</v>
      </c>
      <c r="E19" s="286">
        <v>270938</v>
      </c>
      <c r="F19" s="292">
        <f>E19/'- 3 -'!$D19*100</f>
        <v>0.60573898891235045</v>
      </c>
      <c r="G19" s="286">
        <f>E19/'- 7 -'!$E19</f>
        <v>63.980447257184693</v>
      </c>
      <c r="H19" s="286">
        <v>939070</v>
      </c>
      <c r="I19" s="292">
        <f>H19/'- 3 -'!$D19*100</f>
        <v>2.0994888584027374</v>
      </c>
      <c r="J19" s="286">
        <f>H19/'- 7 -'!$E19</f>
        <v>221.75596854558765</v>
      </c>
    </row>
    <row r="20" spans="1:10" ht="14.1" customHeight="1">
      <c r="A20" s="19" t="s">
        <v>118</v>
      </c>
      <c r="B20" s="20">
        <v>696134</v>
      </c>
      <c r="C20" s="70">
        <f>B20/'- 3 -'!$D20*100</f>
        <v>0.88914011628659217</v>
      </c>
      <c r="D20" s="20">
        <f>B20/'- 7 -'!$E20</f>
        <v>92.014883450422644</v>
      </c>
      <c r="E20" s="20">
        <v>658600</v>
      </c>
      <c r="F20" s="70">
        <f>E20/'- 3 -'!$D20*100</f>
        <v>0.84119965493188031</v>
      </c>
      <c r="G20" s="20">
        <f>E20/'- 7 -'!$E20</f>
        <v>87.053645189645039</v>
      </c>
      <c r="H20" s="20">
        <v>1374298</v>
      </c>
      <c r="I20" s="70">
        <f>H20/'- 3 -'!$D20*100</f>
        <v>1.7553279735401963</v>
      </c>
      <c r="J20" s="20">
        <f>H20/'- 7 -'!$E20</f>
        <v>181.65449510604128</v>
      </c>
    </row>
    <row r="21" spans="1:10" ht="14.1" customHeight="1">
      <c r="A21" s="285" t="s">
        <v>119</v>
      </c>
      <c r="B21" s="286">
        <v>475122</v>
      </c>
      <c r="C21" s="292">
        <f>B21/'- 3 -'!$D21*100</f>
        <v>1.3527241966070089</v>
      </c>
      <c r="D21" s="286">
        <f>B21/'- 7 -'!$E21</f>
        <v>176.88172443319311</v>
      </c>
      <c r="E21" s="286">
        <v>183996</v>
      </c>
      <c r="F21" s="292">
        <f>E21/'- 3 -'!$D21*100</f>
        <v>0.52385669634094656</v>
      </c>
      <c r="G21" s="286">
        <f>E21/'- 7 -'!$E21</f>
        <v>68.499311269126238</v>
      </c>
      <c r="H21" s="286">
        <v>374851</v>
      </c>
      <c r="I21" s="292">
        <f>H21/'- 3 -'!$D21*100</f>
        <v>1.0672417143856396</v>
      </c>
      <c r="J21" s="286">
        <f>H21/'- 7 -'!$E21</f>
        <v>139.55213878857825</v>
      </c>
    </row>
    <row r="22" spans="1:10" ht="14.1" customHeight="1">
      <c r="A22" s="19" t="s">
        <v>120</v>
      </c>
      <c r="B22" s="20">
        <v>159298</v>
      </c>
      <c r="C22" s="70">
        <f>B22/'- 3 -'!$D22*100</f>
        <v>0.79708598118813434</v>
      </c>
      <c r="D22" s="20">
        <f>B22/'- 7 -'!$E22</f>
        <v>103.98720543116391</v>
      </c>
      <c r="E22" s="20">
        <v>14916</v>
      </c>
      <c r="F22" s="70">
        <f>E22/'- 3 -'!$D22*100</f>
        <v>7.4635805191541726E-2</v>
      </c>
      <c r="G22" s="20">
        <f>E22/'- 7 -'!$E22</f>
        <v>9.7369279979110903</v>
      </c>
      <c r="H22" s="20">
        <v>141651</v>
      </c>
      <c r="I22" s="70">
        <f>H22/'- 3 -'!$D22*100</f>
        <v>0.70878495851348056</v>
      </c>
      <c r="J22" s="20">
        <f>H22/'- 7 -'!$E22</f>
        <v>92.467523989816556</v>
      </c>
    </row>
    <row r="23" spans="1:10" ht="14.1" customHeight="1">
      <c r="A23" s="285" t="s">
        <v>121</v>
      </c>
      <c r="B23" s="286">
        <v>125375</v>
      </c>
      <c r="C23" s="292">
        <f>B23/'- 3 -'!$D23*100</f>
        <v>0.77690864533406179</v>
      </c>
      <c r="D23" s="286">
        <f>B23/'- 7 -'!$E23</f>
        <v>112.89959477712742</v>
      </c>
      <c r="E23" s="286">
        <v>62643</v>
      </c>
      <c r="F23" s="292">
        <f>E23/'- 3 -'!$D23*100</f>
        <v>0.38817857044595516</v>
      </c>
      <c r="G23" s="286">
        <f>E23/'- 7 -'!$E23</f>
        <v>56.409725348941919</v>
      </c>
      <c r="H23" s="286">
        <v>248838</v>
      </c>
      <c r="I23" s="292">
        <f>H23/'- 3 -'!$D23*100</f>
        <v>1.5419692401805563</v>
      </c>
      <c r="J23" s="286">
        <f>H23/'- 7 -'!$E23</f>
        <v>224.07744259342638</v>
      </c>
    </row>
    <row r="24" spans="1:10" ht="14.1" customHeight="1">
      <c r="A24" s="19" t="s">
        <v>122</v>
      </c>
      <c r="B24" s="20">
        <v>426464</v>
      </c>
      <c r="C24" s="70">
        <f>B24/'- 3 -'!$D24*100</f>
        <v>0.76562463449109319</v>
      </c>
      <c r="D24" s="20">
        <f>B24/'- 7 -'!$E24</f>
        <v>106.8430414631091</v>
      </c>
      <c r="E24" s="20">
        <v>398477</v>
      </c>
      <c r="F24" s="70">
        <f>E24/'- 3 -'!$D24*100</f>
        <v>0.71537997926696584</v>
      </c>
      <c r="G24" s="20">
        <f>E24/'- 7 -'!$E24</f>
        <v>99.831391707378174</v>
      </c>
      <c r="H24" s="20">
        <v>733177</v>
      </c>
      <c r="I24" s="70">
        <f>H24/'- 3 -'!$D24*100</f>
        <v>1.3162620353471248</v>
      </c>
      <c r="J24" s="20">
        <f>H24/'- 7 -'!$E24</f>
        <v>183.68457973193034</v>
      </c>
    </row>
    <row r="25" spans="1:10" ht="14.1" customHeight="1">
      <c r="A25" s="285" t="s">
        <v>123</v>
      </c>
      <c r="B25" s="286">
        <v>820400</v>
      </c>
      <c r="C25" s="292">
        <f>B25/'- 3 -'!$D25*100</f>
        <v>0.48821963918485817</v>
      </c>
      <c r="D25" s="286">
        <f>B25/'- 7 -'!$E25</f>
        <v>57.951768079906181</v>
      </c>
      <c r="E25" s="286">
        <v>1244211</v>
      </c>
      <c r="F25" s="292">
        <f>E25/'- 3 -'!$D25*100</f>
        <v>0.74042935822748845</v>
      </c>
      <c r="G25" s="286">
        <f>E25/'- 7 -'!$E25</f>
        <v>87.889111792379509</v>
      </c>
      <c r="H25" s="286">
        <v>1929043</v>
      </c>
      <c r="I25" s="292">
        <f>H25/'- 3 -'!$D25*100</f>
        <v>1.1479725468455344</v>
      </c>
      <c r="J25" s="286">
        <f>H25/'- 7 -'!$E25</f>
        <v>136.26456917621459</v>
      </c>
    </row>
    <row r="26" spans="1:10" ht="14.1" customHeight="1">
      <c r="A26" s="19" t="s">
        <v>124</v>
      </c>
      <c r="B26" s="20">
        <v>309180</v>
      </c>
      <c r="C26" s="70">
        <f>B26/'- 3 -'!$D26*100</f>
        <v>0.78014398069639479</v>
      </c>
      <c r="D26" s="20">
        <f>B26/'- 7 -'!$E26</f>
        <v>100.51365409622886</v>
      </c>
      <c r="E26" s="20">
        <v>394090</v>
      </c>
      <c r="F26" s="70">
        <f>E26/'- 3 -'!$D26*100</f>
        <v>0.99439466120914088</v>
      </c>
      <c r="G26" s="20">
        <f>E26/'- 7 -'!$E26</f>
        <v>128.11768530559166</v>
      </c>
      <c r="H26" s="20">
        <v>501803</v>
      </c>
      <c r="I26" s="70">
        <f>H26/'- 3 -'!$D26*100</f>
        <v>1.2661834204844846</v>
      </c>
      <c r="J26" s="20">
        <f>H26/'- 7 -'!$E26</f>
        <v>163.13491547464238</v>
      </c>
    </row>
    <row r="27" spans="1:10" ht="14.1" customHeight="1">
      <c r="A27" s="285" t="s">
        <v>125</v>
      </c>
      <c r="B27" s="286">
        <v>208941</v>
      </c>
      <c r="C27" s="292">
        <f>B27/'- 3 -'!$D27*100</f>
        <v>0.49730490545123213</v>
      </c>
      <c r="D27" s="286">
        <f>B27/'- 7 -'!$E27</f>
        <v>71.919413742896381</v>
      </c>
      <c r="E27" s="286">
        <v>174573</v>
      </c>
      <c r="F27" s="292">
        <f>E27/'- 3 -'!$D27*100</f>
        <v>0.41550489975322191</v>
      </c>
      <c r="G27" s="286">
        <f>E27/'- 7 -'!$E27</f>
        <v>60.089632074789776</v>
      </c>
      <c r="H27" s="286">
        <v>141733</v>
      </c>
      <c r="I27" s="292">
        <f>H27/'- 3 -'!$D27*100</f>
        <v>0.33734171926199008</v>
      </c>
      <c r="J27" s="286">
        <f>H27/'- 7 -'!$E27</f>
        <v>48.785802059059414</v>
      </c>
    </row>
    <row r="28" spans="1:10" ht="14.1" customHeight="1">
      <c r="A28" s="19" t="s">
        <v>126</v>
      </c>
      <c r="B28" s="20">
        <v>220732</v>
      </c>
      <c r="C28" s="70">
        <f>B28/'- 3 -'!$D28*100</f>
        <v>0.79384565698647436</v>
      </c>
      <c r="D28" s="20">
        <f>B28/'- 7 -'!$E28</f>
        <v>110.94847951746669</v>
      </c>
      <c r="E28" s="20">
        <v>226721</v>
      </c>
      <c r="F28" s="70">
        <f>E28/'- 3 -'!$D28*100</f>
        <v>0.81538463474997036</v>
      </c>
      <c r="G28" s="20">
        <f>E28/'- 7 -'!$E28</f>
        <v>113.95878361397337</v>
      </c>
      <c r="H28" s="20">
        <v>344160</v>
      </c>
      <c r="I28" s="70">
        <f>H28/'- 3 -'!$D28*100</f>
        <v>1.2377449636140887</v>
      </c>
      <c r="J28" s="20">
        <f>H28/'- 7 -'!$E28</f>
        <v>172.98818798693139</v>
      </c>
    </row>
    <row r="29" spans="1:10" ht="14.1" customHeight="1">
      <c r="A29" s="285" t="s">
        <v>127</v>
      </c>
      <c r="B29" s="286">
        <v>1151082</v>
      </c>
      <c r="C29" s="292">
        <f>B29/'- 3 -'!$D29*100</f>
        <v>0.76543477884005151</v>
      </c>
      <c r="D29" s="286">
        <f>B29/'- 7 -'!$E29</f>
        <v>90.684219233768999</v>
      </c>
      <c r="E29" s="286">
        <v>634641</v>
      </c>
      <c r="F29" s="292">
        <f>E29/'- 3 -'!$D29*100</f>
        <v>0.42201710519131491</v>
      </c>
      <c r="G29" s="286">
        <f>E29/'- 7 -'!$E29</f>
        <v>49.998109238732248</v>
      </c>
      <c r="H29" s="286">
        <v>1341813</v>
      </c>
      <c r="I29" s="292">
        <f>H29/'- 3 -'!$D29*100</f>
        <v>0.89226513567209464</v>
      </c>
      <c r="J29" s="286">
        <f>H29/'- 7 -'!$E29</f>
        <v>105.71033537377987</v>
      </c>
    </row>
    <row r="30" spans="1:10" ht="14.1" customHeight="1">
      <c r="A30" s="19" t="s">
        <v>128</v>
      </c>
      <c r="B30" s="20">
        <v>106175</v>
      </c>
      <c r="C30" s="70">
        <f>B30/'- 3 -'!$D30*100</f>
        <v>0.76443726257806188</v>
      </c>
      <c r="D30" s="20">
        <f>B30/'- 7 -'!$E30</f>
        <v>105.7519920318725</v>
      </c>
      <c r="E30" s="20">
        <v>111277</v>
      </c>
      <c r="F30" s="70">
        <f>E30/'- 3 -'!$D30*100</f>
        <v>0.80117056998256642</v>
      </c>
      <c r="G30" s="20">
        <f>E30/'- 7 -'!$E30</f>
        <v>110.83366533864542</v>
      </c>
      <c r="H30" s="20">
        <v>144506</v>
      </c>
      <c r="I30" s="70">
        <f>H30/'- 3 -'!$D30*100</f>
        <v>1.0404122539779177</v>
      </c>
      <c r="J30" s="20">
        <f>H30/'- 7 -'!$E30</f>
        <v>143.93027888446215</v>
      </c>
    </row>
    <row r="31" spans="1:10" ht="14.1" customHeight="1">
      <c r="A31" s="285" t="s">
        <v>129</v>
      </c>
      <c r="B31" s="286">
        <v>274798</v>
      </c>
      <c r="C31" s="292">
        <f>B31/'- 3 -'!$D31*100</f>
        <v>0.76774703635054431</v>
      </c>
      <c r="D31" s="286">
        <f>B31/'- 7 -'!$E31</f>
        <v>84.074651981031053</v>
      </c>
      <c r="E31" s="286">
        <v>152087</v>
      </c>
      <c r="F31" s="292">
        <f>E31/'- 3 -'!$D31*100</f>
        <v>0.42490972830022505</v>
      </c>
      <c r="G31" s="286">
        <f>E31/'- 7 -'!$E31</f>
        <v>46.531130487991433</v>
      </c>
      <c r="H31" s="286">
        <v>275309</v>
      </c>
      <c r="I31" s="292">
        <f>H31/'- 3 -'!$D31*100</f>
        <v>0.7691746986172826</v>
      </c>
      <c r="J31" s="286">
        <f>H31/'- 7 -'!$E31</f>
        <v>84.230992810157559</v>
      </c>
    </row>
    <row r="32" spans="1:10" ht="14.1" customHeight="1">
      <c r="A32" s="19" t="s">
        <v>130</v>
      </c>
      <c r="B32" s="20">
        <v>259428</v>
      </c>
      <c r="C32" s="70">
        <f>B32/'- 3 -'!$D32*100</f>
        <v>0.92918730816985551</v>
      </c>
      <c r="D32" s="20">
        <f>B32/'- 7 -'!$E32</f>
        <v>122.82359625035507</v>
      </c>
      <c r="E32" s="20">
        <v>166949</v>
      </c>
      <c r="F32" s="70">
        <f>E32/'- 3 -'!$D32*100</f>
        <v>0.59795739824401839</v>
      </c>
      <c r="G32" s="20">
        <f>E32/'- 7 -'!$E32</f>
        <v>79.040337089290773</v>
      </c>
      <c r="H32" s="20">
        <v>279045</v>
      </c>
      <c r="I32" s="70">
        <f>H32/'- 3 -'!$D32*100</f>
        <v>0.99944906643946418</v>
      </c>
      <c r="J32" s="20">
        <f>H32/'- 7 -'!$E32</f>
        <v>132.11106902755418</v>
      </c>
    </row>
    <row r="33" spans="1:10" ht="14.1" customHeight="1">
      <c r="A33" s="285" t="s">
        <v>131</v>
      </c>
      <c r="B33" s="286">
        <v>289777</v>
      </c>
      <c r="C33" s="292">
        <f>B33/'- 3 -'!$D33*100</f>
        <v>1.0950684827351282</v>
      </c>
      <c r="D33" s="286">
        <f>B33/'- 7 -'!$E33</f>
        <v>142.45956442652769</v>
      </c>
      <c r="E33" s="286">
        <v>216222</v>
      </c>
      <c r="F33" s="292">
        <f>E33/'- 3 -'!$D33*100</f>
        <v>0.81710383320261759</v>
      </c>
      <c r="G33" s="286">
        <f>E33/'- 7 -'!$E33</f>
        <v>106.2986087213018</v>
      </c>
      <c r="H33" s="286">
        <v>316544</v>
      </c>
      <c r="I33" s="292">
        <f>H33/'- 3 -'!$D33*100</f>
        <v>1.196221086555898</v>
      </c>
      <c r="J33" s="286">
        <f>H33/'- 7 -'!$E33</f>
        <v>155.61870114546974</v>
      </c>
    </row>
    <row r="34" spans="1:10" ht="14.1" customHeight="1">
      <c r="A34" s="19" t="s">
        <v>132</v>
      </c>
      <c r="B34" s="20">
        <v>248520</v>
      </c>
      <c r="C34" s="70">
        <f>B34/'- 3 -'!$D34*100</f>
        <v>0.89091164724659477</v>
      </c>
      <c r="D34" s="20">
        <f>B34/'- 7 -'!$E34</f>
        <v>125.41633864228184</v>
      </c>
      <c r="E34" s="20">
        <v>233994</v>
      </c>
      <c r="F34" s="70">
        <f>E34/'- 3 -'!$D34*100</f>
        <v>0.83883783995581718</v>
      </c>
      <c r="G34" s="20">
        <f>E34/'- 7 -'!$E34</f>
        <v>118.08575062072308</v>
      </c>
      <c r="H34" s="20">
        <v>509220</v>
      </c>
      <c r="I34" s="70">
        <f>H34/'- 3 -'!$D34*100</f>
        <v>1.8254869990781866</v>
      </c>
      <c r="J34" s="20">
        <f>H34/'- 7 -'!$E34</f>
        <v>256.97934960334283</v>
      </c>
    </row>
    <row r="35" spans="1:10" ht="14.1" customHeight="1">
      <c r="A35" s="285" t="s">
        <v>133</v>
      </c>
      <c r="B35" s="286">
        <v>688385</v>
      </c>
      <c r="C35" s="292">
        <f>B35/'- 3 -'!$D35*100</f>
        <v>0.38129303272829496</v>
      </c>
      <c r="D35" s="286">
        <f>B35/'- 7 -'!$E35</f>
        <v>44.617752859966942</v>
      </c>
      <c r="E35" s="286">
        <v>670483</v>
      </c>
      <c r="F35" s="292">
        <f>E35/'- 3 -'!$D35*100</f>
        <v>0.37137720383617512</v>
      </c>
      <c r="G35" s="286">
        <f>E35/'- 7 -'!$E35</f>
        <v>43.457432673299415</v>
      </c>
      <c r="H35" s="286">
        <v>1311530</v>
      </c>
      <c r="I35" s="292">
        <f>H35/'- 3 -'!$D35*100</f>
        <v>0.72644995346229313</v>
      </c>
      <c r="J35" s="286">
        <f>H35/'- 7 -'!$E35</f>
        <v>85.00696762485012</v>
      </c>
    </row>
    <row r="36" spans="1:10" ht="14.1" customHeight="1">
      <c r="A36" s="19" t="s">
        <v>134</v>
      </c>
      <c r="B36" s="20">
        <v>207776</v>
      </c>
      <c r="C36" s="70">
        <f>B36/'- 3 -'!$D36*100</f>
        <v>0.92598262427761224</v>
      </c>
      <c r="D36" s="20">
        <f>B36/'- 7 -'!$E36</f>
        <v>126.963641918729</v>
      </c>
      <c r="E36" s="20">
        <v>287093</v>
      </c>
      <c r="F36" s="70">
        <f>E36/'- 3 -'!$D36*100</f>
        <v>1.2794698596167629</v>
      </c>
      <c r="G36" s="20">
        <f>E36/'- 7 -'!$E36</f>
        <v>175.43110296364191</v>
      </c>
      <c r="H36" s="20">
        <v>280870</v>
      </c>
      <c r="I36" s="70">
        <f>H36/'- 3 -'!$D36*100</f>
        <v>1.2517361951373256</v>
      </c>
      <c r="J36" s="20">
        <f>H36/'- 7 -'!$E36</f>
        <v>171.62847540482738</v>
      </c>
    </row>
    <row r="37" spans="1:10" ht="14.1" customHeight="1">
      <c r="A37" s="285" t="s">
        <v>135</v>
      </c>
      <c r="B37" s="286">
        <v>272680</v>
      </c>
      <c r="C37" s="292">
        <f>B37/'- 3 -'!$D37*100</f>
        <v>0.57092265061707093</v>
      </c>
      <c r="D37" s="286">
        <f>B37/'- 7 -'!$E37</f>
        <v>66.450590958937497</v>
      </c>
      <c r="E37" s="286">
        <v>539784</v>
      </c>
      <c r="F37" s="292">
        <f>E37/'- 3 -'!$D37*100</f>
        <v>1.130170573715289</v>
      </c>
      <c r="G37" s="286">
        <f>E37/'- 7 -'!$E37</f>
        <v>131.54234190325332</v>
      </c>
      <c r="H37" s="286">
        <v>675600</v>
      </c>
      <c r="I37" s="292">
        <f>H37/'- 3 -'!$D37*100</f>
        <v>1.4145347761364717</v>
      </c>
      <c r="J37" s="286">
        <f>H37/'- 7 -'!$E37</f>
        <v>164.63994151334228</v>
      </c>
    </row>
    <row r="38" spans="1:10" ht="14.1" customHeight="1">
      <c r="A38" s="19" t="s">
        <v>136</v>
      </c>
      <c r="B38" s="20">
        <v>275981</v>
      </c>
      <c r="C38" s="70">
        <f>B38/'- 3 -'!$D38*100</f>
        <v>0.21740911305147048</v>
      </c>
      <c r="D38" s="20">
        <f>B38/'- 7 -'!$E38</f>
        <v>25.555452668228494</v>
      </c>
      <c r="E38" s="20">
        <v>537671</v>
      </c>
      <c r="F38" s="70">
        <f>E38/'- 3 -'!$D38*100</f>
        <v>0.42356022778197477</v>
      </c>
      <c r="G38" s="20">
        <f>E38/'- 7 -'!$E38</f>
        <v>49.787578824553435</v>
      </c>
      <c r="H38" s="20">
        <v>1218089</v>
      </c>
      <c r="I38" s="70">
        <f>H38/'- 3 -'!$D38*100</f>
        <v>0.95957203252308187</v>
      </c>
      <c r="J38" s="20">
        <f>H38/'- 7 -'!$E38</f>
        <v>112.79332919726278</v>
      </c>
    </row>
    <row r="39" spans="1:10" ht="14.1" customHeight="1">
      <c r="A39" s="285" t="s">
        <v>137</v>
      </c>
      <c r="B39" s="286">
        <v>216870</v>
      </c>
      <c r="C39" s="292">
        <f>B39/'- 3 -'!$D39*100</f>
        <v>1.048872922276906</v>
      </c>
      <c r="D39" s="286">
        <f>B39/'- 7 -'!$E39</f>
        <v>136.83513155404125</v>
      </c>
      <c r="E39" s="286">
        <v>108653</v>
      </c>
      <c r="F39" s="292">
        <f>E39/'- 3 -'!$D39*100</f>
        <v>0.52549079920760211</v>
      </c>
      <c r="G39" s="286">
        <f>E39/'- 7 -'!$E39</f>
        <v>68.555113887311492</v>
      </c>
      <c r="H39" s="286">
        <v>134880</v>
      </c>
      <c r="I39" s="292">
        <f>H39/'- 3 -'!$D39*100</f>
        <v>0.65233540718729688</v>
      </c>
      <c r="J39" s="286">
        <f>H39/'- 7 -'!$E39</f>
        <v>85.103161082718145</v>
      </c>
    </row>
    <row r="40" spans="1:10" ht="14.1" customHeight="1">
      <c r="A40" s="19" t="s">
        <v>138</v>
      </c>
      <c r="B40" s="20">
        <v>725913</v>
      </c>
      <c r="C40" s="70">
        <f>B40/'- 3 -'!$D40*100</f>
        <v>0.7127394089939878</v>
      </c>
      <c r="D40" s="20">
        <f>B40/'- 7 -'!$E40</f>
        <v>91.207704582291512</v>
      </c>
      <c r="E40" s="20">
        <v>602407</v>
      </c>
      <c r="F40" s="70">
        <f>E40/'- 3 -'!$D40*100</f>
        <v>0.59147474856331428</v>
      </c>
      <c r="G40" s="20">
        <f>E40/'- 7 -'!$E40</f>
        <v>75.689730992976408</v>
      </c>
      <c r="H40" s="20">
        <v>899146</v>
      </c>
      <c r="I40" s="70">
        <f>H40/'- 3 -'!$D40*100</f>
        <v>0.88282864288049412</v>
      </c>
      <c r="J40" s="20">
        <f>H40/'- 7 -'!$E40</f>
        <v>112.97365213785824</v>
      </c>
    </row>
    <row r="41" spans="1:10" ht="14.1" customHeight="1">
      <c r="A41" s="285" t="s">
        <v>139</v>
      </c>
      <c r="B41" s="286">
        <v>409225</v>
      </c>
      <c r="C41" s="292">
        <f>B41/'- 3 -'!$D41*100</f>
        <v>0.66208113428343396</v>
      </c>
      <c r="D41" s="286">
        <f>B41/'- 7 -'!$E41</f>
        <v>93.302553579571367</v>
      </c>
      <c r="E41" s="286">
        <v>419960</v>
      </c>
      <c r="F41" s="292">
        <f>E41/'- 3 -'!$D41*100</f>
        <v>0.67944918603132975</v>
      </c>
      <c r="G41" s="286">
        <f>E41/'- 7 -'!$E41</f>
        <v>95.750113999088001</v>
      </c>
      <c r="H41" s="286">
        <v>594144</v>
      </c>
      <c r="I41" s="292">
        <f>H41/'- 3 -'!$D41*100</f>
        <v>0.96125977994427658</v>
      </c>
      <c r="J41" s="286">
        <f>H41/'- 7 -'!$E41</f>
        <v>135.46374829001368</v>
      </c>
    </row>
    <row r="42" spans="1:10" ht="14.1" customHeight="1">
      <c r="A42" s="19" t="s">
        <v>140</v>
      </c>
      <c r="B42" s="20">
        <v>182554</v>
      </c>
      <c r="C42" s="70">
        <f>B42/'- 3 -'!$D42*100</f>
        <v>0.91163451363154624</v>
      </c>
      <c r="D42" s="20">
        <f>B42/'- 7 -'!$E42</f>
        <v>131.88412079179312</v>
      </c>
      <c r="E42" s="20">
        <v>158597</v>
      </c>
      <c r="F42" s="70">
        <f>E42/'- 3 -'!$D42*100</f>
        <v>0.79199852623564726</v>
      </c>
      <c r="G42" s="20">
        <f>E42/'- 7 -'!$E42</f>
        <v>114.57665077300969</v>
      </c>
      <c r="H42" s="20">
        <v>236148</v>
      </c>
      <c r="I42" s="70">
        <f>H42/'- 3 -'!$D42*100</f>
        <v>1.1792711588081464</v>
      </c>
      <c r="J42" s="20">
        <f>H42/'- 7 -'!$E42</f>
        <v>170.60251408755963</v>
      </c>
    </row>
    <row r="43" spans="1:10" ht="14.1" customHeight="1">
      <c r="A43" s="285" t="s">
        <v>141</v>
      </c>
      <c r="B43" s="286">
        <v>65929</v>
      </c>
      <c r="C43" s="292">
        <f>B43/'- 3 -'!$D43*100</f>
        <v>0.51839496571331023</v>
      </c>
      <c r="D43" s="286">
        <f>B43/'- 7 -'!$E43</f>
        <v>69.640857716277594</v>
      </c>
      <c r="E43" s="286">
        <v>77905</v>
      </c>
      <c r="F43" s="292">
        <f>E43/'- 3 -'!$D43*100</f>
        <v>0.61256138882578892</v>
      </c>
      <c r="G43" s="286">
        <f>E43/'- 7 -'!$E43</f>
        <v>82.291116509982047</v>
      </c>
      <c r="H43" s="286">
        <v>217804</v>
      </c>
      <c r="I43" s="292">
        <f>H43/'- 3 -'!$D43*100</f>
        <v>1.7125771225442799</v>
      </c>
      <c r="J43" s="286">
        <f>H43/'- 7 -'!$E43</f>
        <v>230.06654695257211</v>
      </c>
    </row>
    <row r="44" spans="1:10" ht="14.1" customHeight="1">
      <c r="A44" s="19" t="s">
        <v>142</v>
      </c>
      <c r="B44" s="20">
        <v>107944</v>
      </c>
      <c r="C44" s="70">
        <f>B44/'- 3 -'!$D44*100</f>
        <v>0.99345424974021035</v>
      </c>
      <c r="D44" s="20">
        <f>B44/'- 7 -'!$E44</f>
        <v>158.50807635829662</v>
      </c>
      <c r="E44" s="20">
        <v>69313</v>
      </c>
      <c r="F44" s="70">
        <f>E44/'- 3 -'!$D44*100</f>
        <v>0.63791683106280295</v>
      </c>
      <c r="G44" s="20">
        <f>E44/'- 7 -'!$E44</f>
        <v>101.78120411160059</v>
      </c>
      <c r="H44" s="20">
        <v>154942</v>
      </c>
      <c r="I44" s="70">
        <f>H44/'- 3 -'!$D44*100</f>
        <v>1.4259967053587757</v>
      </c>
      <c r="J44" s="20">
        <f>H44/'- 7 -'!$E44</f>
        <v>227.52129221732747</v>
      </c>
    </row>
    <row r="45" spans="1:10" ht="14.1" customHeight="1">
      <c r="A45" s="285" t="s">
        <v>143</v>
      </c>
      <c r="B45" s="286">
        <v>171412</v>
      </c>
      <c r="C45" s="292">
        <f>B45/'- 3 -'!$D45*100</f>
        <v>0.93500026646187551</v>
      </c>
      <c r="D45" s="286">
        <f>B45/'- 7 -'!$E45</f>
        <v>103.26024096385542</v>
      </c>
      <c r="E45" s="286">
        <v>47093</v>
      </c>
      <c r="F45" s="292">
        <f>E45/'- 3 -'!$D45*100</f>
        <v>0.25687797557049158</v>
      </c>
      <c r="G45" s="286">
        <f>E45/'- 7 -'!$E45</f>
        <v>28.369277108433735</v>
      </c>
      <c r="H45" s="286">
        <v>128620</v>
      </c>
      <c r="I45" s="292">
        <f>H45/'- 3 -'!$D45*100</f>
        <v>0.70158293627241053</v>
      </c>
      <c r="J45" s="286">
        <f>H45/'- 7 -'!$E45</f>
        <v>77.481927710843379</v>
      </c>
    </row>
    <row r="46" spans="1:10" ht="14.1" customHeight="1">
      <c r="A46" s="19" t="s">
        <v>144</v>
      </c>
      <c r="B46" s="20">
        <v>2146692</v>
      </c>
      <c r="C46" s="70">
        <f>B46/'- 3 -'!$D46*100</f>
        <v>0.56261548999043631</v>
      </c>
      <c r="D46" s="20">
        <f>B46/'- 7 -'!$E46</f>
        <v>71.952136752136752</v>
      </c>
      <c r="E46" s="20">
        <v>1202098</v>
      </c>
      <c r="F46" s="70">
        <f>E46/'- 3 -'!$D46*100</f>
        <v>0.31505169595196869</v>
      </c>
      <c r="G46" s="20">
        <f>E46/'- 7 -'!$E46</f>
        <v>40.291536785654429</v>
      </c>
      <c r="H46" s="20">
        <v>3460793</v>
      </c>
      <c r="I46" s="70">
        <f>H46/'- 3 -'!$D46*100</f>
        <v>0.90702147744085893</v>
      </c>
      <c r="J46" s="20">
        <f>H46/'- 7 -'!$E46</f>
        <v>115.99775431540138</v>
      </c>
    </row>
    <row r="47" spans="1:10" ht="5.0999999999999996" customHeight="1">
      <c r="A47" s="21"/>
      <c r="B47" s="22"/>
      <c r="C47"/>
      <c r="D47"/>
      <c r="E47"/>
      <c r="F47"/>
      <c r="G47"/>
      <c r="H47"/>
      <c r="I47"/>
      <c r="J47"/>
    </row>
    <row r="48" spans="1:10" ht="14.1" customHeight="1">
      <c r="A48" s="287" t="s">
        <v>145</v>
      </c>
      <c r="B48" s="288">
        <f>SUM(B11:B46)</f>
        <v>13660619</v>
      </c>
      <c r="C48" s="295">
        <f>B48/'- 3 -'!$D48*100</f>
        <v>0.61659216144779827</v>
      </c>
      <c r="D48" s="288">
        <f>B48/'- 7 -'!$E48</f>
        <v>78.506130835892961</v>
      </c>
      <c r="E48" s="288">
        <v>11316879</v>
      </c>
      <c r="F48" s="295">
        <f>E48/'- 3 -'!$D48*100</f>
        <v>0.51080400408306526</v>
      </c>
      <c r="G48" s="288">
        <f>E48/'- 7 -'!$E48</f>
        <v>65.036905240382552</v>
      </c>
      <c r="H48" s="288">
        <v>24388602</v>
      </c>
      <c r="I48" s="295">
        <f>H48/'- 3 -'!$D48*100</f>
        <v>1.1008154770929557</v>
      </c>
      <c r="J48" s="288">
        <f>H48/'- 7 -'!$E48</f>
        <v>140.1587131239456</v>
      </c>
    </row>
    <row r="49" spans="1:10" ht="5.0999999999999996" customHeight="1">
      <c r="A49" s="21" t="s">
        <v>7</v>
      </c>
      <c r="B49" s="22"/>
      <c r="C49"/>
      <c r="D49"/>
      <c r="E49"/>
      <c r="F49"/>
      <c r="G49"/>
      <c r="H49"/>
      <c r="I49"/>
      <c r="J49"/>
    </row>
    <row r="50" spans="1:10" ht="14.1" customHeight="1">
      <c r="A50" s="19" t="s">
        <v>146</v>
      </c>
      <c r="B50" s="20">
        <v>0</v>
      </c>
      <c r="C50" s="70">
        <f>B50/'- 3 -'!$D50*100</f>
        <v>0</v>
      </c>
      <c r="D50" s="20">
        <f>B50/'- 7 -'!$E50</f>
        <v>0</v>
      </c>
      <c r="E50" s="20">
        <v>29068</v>
      </c>
      <c r="F50" s="70">
        <f>E50/'- 3 -'!$D50*100</f>
        <v>0.86535779365318943</v>
      </c>
      <c r="G50" s="20">
        <f>E50/'- 7 -'!$E50</f>
        <v>169.98830409356725</v>
      </c>
      <c r="H50" s="20">
        <v>45042</v>
      </c>
      <c r="I50" s="70">
        <f>H50/'- 3 -'!$D50*100</f>
        <v>1.3409056605795706</v>
      </c>
      <c r="J50" s="20">
        <f>H50/'- 7 -'!$E50</f>
        <v>263.40350877192981</v>
      </c>
    </row>
    <row r="51" spans="1:10" ht="14.1" customHeight="1">
      <c r="A51" s="285" t="s">
        <v>612</v>
      </c>
      <c r="B51" s="286">
        <v>25722</v>
      </c>
      <c r="C51" s="292">
        <f>B51/'- 3 -'!$D51*100</f>
        <v>9.7018233860789352E-2</v>
      </c>
      <c r="D51" s="286">
        <f>B51/'- 7 -'!$E51</f>
        <v>25.316929133858267</v>
      </c>
      <c r="E51" s="286">
        <v>124545</v>
      </c>
      <c r="F51" s="292">
        <f>E51/'- 3 -'!$D51*100</f>
        <v>0.46975880321094826</v>
      </c>
      <c r="G51" s="286">
        <f>E51/'- 7 -'!$E51</f>
        <v>122.58366141732283</v>
      </c>
      <c r="H51" s="286">
        <v>133986</v>
      </c>
      <c r="I51" s="292">
        <f>H51/'- 3 -'!$D51*100</f>
        <v>0.50536836490442905</v>
      </c>
      <c r="J51" s="286">
        <f>H51/'- 7 -'!$E51</f>
        <v>131.8759842519685</v>
      </c>
    </row>
    <row r="52" spans="1:10" ht="50.1" customHeight="1">
      <c r="A52" s="23"/>
      <c r="B52" s="23"/>
      <c r="C52" s="23"/>
      <c r="D52" s="23"/>
      <c r="E52" s="23"/>
      <c r="F52" s="23"/>
      <c r="G52" s="23"/>
      <c r="H52" s="23"/>
      <c r="I52" s="23"/>
      <c r="J52" s="23"/>
    </row>
    <row r="53" spans="1:10" ht="15" customHeight="1">
      <c r="A53" s="619" t="s">
        <v>520</v>
      </c>
      <c r="B53" s="619"/>
      <c r="C53" s="619"/>
      <c r="D53" s="619"/>
      <c r="E53" s="619"/>
      <c r="F53" s="619"/>
      <c r="G53" s="619"/>
      <c r="H53" s="619"/>
      <c r="I53" s="619"/>
      <c r="J53" s="619"/>
    </row>
    <row r="54" spans="1:10" ht="12" customHeight="1">
      <c r="A54" s="620"/>
      <c r="B54" s="620"/>
      <c r="C54" s="620"/>
      <c r="D54" s="620"/>
      <c r="E54" s="620"/>
      <c r="F54" s="620"/>
      <c r="G54" s="620"/>
      <c r="H54" s="620"/>
      <c r="I54" s="620"/>
      <c r="J54" s="620"/>
    </row>
    <row r="55" spans="1:10" ht="12" customHeight="1">
      <c r="A55" s="620"/>
      <c r="B55" s="620"/>
      <c r="C55" s="620"/>
      <c r="D55" s="620"/>
      <c r="E55" s="620"/>
      <c r="F55" s="620"/>
      <c r="G55" s="620"/>
      <c r="H55" s="620"/>
      <c r="I55" s="620"/>
      <c r="J55" s="620"/>
    </row>
    <row r="56" spans="1:10">
      <c r="A56" s="133" t="s">
        <v>418</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sheetPr codeName="Sheet53">
    <pageSetUpPr autoPageBreaks="0" fitToPage="1"/>
  </sheetPr>
  <dimension ref="A1:H54"/>
  <sheetViews>
    <sheetView showGridLines="0" showZeros="0" workbookViewId="0"/>
  </sheetViews>
  <sheetFormatPr defaultColWidth="15.83203125" defaultRowHeight="12"/>
  <cols>
    <col min="1" max="1" width="32.83203125" style="2" customWidth="1"/>
    <col min="2" max="2" width="18.83203125" style="2" customWidth="1"/>
    <col min="3" max="3" width="9.83203125" style="2" customWidth="1"/>
    <col min="4" max="4" width="10.83203125" style="2" customWidth="1"/>
    <col min="5" max="5" width="18.83203125" style="2" customWidth="1"/>
    <col min="6" max="6" width="9.83203125" style="2" customWidth="1"/>
    <col min="7" max="7" width="10.83203125" style="2" customWidth="1"/>
    <col min="8" max="8" width="22.1640625" style="2" customWidth="1"/>
    <col min="9" max="16384" width="15.83203125" style="2"/>
  </cols>
  <sheetData>
    <row r="1" spans="1:8" ht="6.95" customHeight="1">
      <c r="A1" s="7"/>
      <c r="B1" s="7"/>
      <c r="C1" s="7"/>
      <c r="D1" s="7"/>
      <c r="E1" s="8"/>
      <c r="F1" s="8"/>
      <c r="G1" s="8"/>
    </row>
    <row r="2" spans="1:8" ht="15.95" customHeight="1">
      <c r="A2" s="134"/>
      <c r="B2" s="9" t="s">
        <v>284</v>
      </c>
      <c r="C2" s="141"/>
      <c r="D2" s="141"/>
      <c r="E2" s="9"/>
      <c r="F2" s="142"/>
      <c r="G2" s="143"/>
      <c r="H2" s="144"/>
    </row>
    <row r="3" spans="1:8" ht="15.95" customHeight="1">
      <c r="A3" s="543"/>
      <c r="B3" s="11" t="str">
        <f>OPYEAR</f>
        <v>OPERATING FUND 2015/2016 ACTUAL</v>
      </c>
      <c r="C3" s="145"/>
      <c r="D3" s="145"/>
      <c r="E3" s="11"/>
      <c r="F3" s="146"/>
      <c r="G3" s="146"/>
      <c r="H3" s="147"/>
    </row>
    <row r="4" spans="1:8" ht="15.95" customHeight="1">
      <c r="E4" s="8"/>
      <c r="F4" s="8"/>
      <c r="G4" s="8"/>
    </row>
    <row r="5" spans="1:8" ht="18" customHeight="1">
      <c r="B5" s="561" t="s">
        <v>265</v>
      </c>
      <c r="C5" s="562"/>
      <c r="D5" s="563"/>
      <c r="E5" s="148"/>
      <c r="F5" s="149"/>
      <c r="G5" s="150"/>
    </row>
    <row r="6" spans="1:8" ht="15.95" customHeight="1">
      <c r="B6" s="670" t="s">
        <v>521</v>
      </c>
      <c r="C6" s="674"/>
      <c r="D6" s="671"/>
      <c r="E6" s="322"/>
      <c r="F6" s="323"/>
      <c r="G6" s="324"/>
    </row>
    <row r="7" spans="1:8" ht="15.95" customHeight="1">
      <c r="B7" s="672"/>
      <c r="C7" s="675"/>
      <c r="D7" s="673"/>
      <c r="E7" s="710" t="s">
        <v>31</v>
      </c>
      <c r="F7" s="711"/>
      <c r="G7" s="712"/>
    </row>
    <row r="8" spans="1:8" ht="15.95" customHeight="1">
      <c r="A8" s="67"/>
      <c r="B8" s="139"/>
      <c r="C8" s="68"/>
      <c r="D8" s="602" t="s">
        <v>480</v>
      </c>
      <c r="E8" s="139"/>
      <c r="F8" s="137"/>
      <c r="G8" s="602" t="s">
        <v>480</v>
      </c>
    </row>
    <row r="9" spans="1:8" ht="15.95" customHeight="1">
      <c r="A9" s="35" t="s">
        <v>42</v>
      </c>
      <c r="B9" s="77" t="s">
        <v>43</v>
      </c>
      <c r="C9" s="77" t="s">
        <v>44</v>
      </c>
      <c r="D9" s="598"/>
      <c r="E9" s="77" t="s">
        <v>43</v>
      </c>
      <c r="F9" s="77" t="s">
        <v>44</v>
      </c>
      <c r="G9" s="598"/>
    </row>
    <row r="10" spans="1:8" ht="5.0999999999999996" customHeight="1">
      <c r="A10" s="6"/>
      <c r="B10" s="6"/>
      <c r="C10" s="6"/>
      <c r="D10" s="6"/>
    </row>
    <row r="11" spans="1:8" ht="14.1" customHeight="1">
      <c r="A11" s="285" t="s">
        <v>110</v>
      </c>
      <c r="B11" s="286">
        <f>'- 26 -'!B11</f>
        <v>8756</v>
      </c>
      <c r="C11" s="292">
        <f>'- 26 -'!C11</f>
        <v>4.8809651556727424E-2</v>
      </c>
      <c r="D11" s="286">
        <f>'- 26 -'!D11</f>
        <v>5.2243436754176615</v>
      </c>
      <c r="E11" s="286">
        <f>SUM('- 37 -'!B11,'- 37 -'!E11,'- 37 -'!H11,B11)</f>
        <v>562821</v>
      </c>
      <c r="F11" s="292">
        <f>E11/'- 3 -'!D11*100</f>
        <v>3.1374025695304799</v>
      </c>
      <c r="G11" s="286">
        <f>E11/'- 7 -'!E11</f>
        <v>335.81205250596656</v>
      </c>
    </row>
    <row r="12" spans="1:8" ht="14.1" customHeight="1">
      <c r="A12" s="19" t="s">
        <v>111</v>
      </c>
      <c r="B12" s="20">
        <f>'- 26 -'!B12</f>
        <v>82859</v>
      </c>
      <c r="C12" s="70">
        <f>'- 26 -'!C12</f>
        <v>0.25655123847688344</v>
      </c>
      <c r="D12" s="20">
        <f>'- 26 -'!D12</f>
        <v>38.994305614381851</v>
      </c>
      <c r="E12" s="20">
        <f>SUM('- 37 -'!B12,'- 37 -'!E12,'- 37 -'!H12,B12)</f>
        <v>1178297</v>
      </c>
      <c r="F12" s="70">
        <f>E12/'- 3 -'!D12*100</f>
        <v>3.648288715089445</v>
      </c>
      <c r="G12" s="20">
        <f>E12/'- 7 -'!E12</f>
        <v>554.51880088474752</v>
      </c>
    </row>
    <row r="13" spans="1:8" ht="14.1" customHeight="1">
      <c r="A13" s="285" t="s">
        <v>112</v>
      </c>
      <c r="B13" s="286">
        <f>'- 26 -'!B13</f>
        <v>271975</v>
      </c>
      <c r="C13" s="292">
        <f>'- 26 -'!C13</f>
        <v>0.29965495526555591</v>
      </c>
      <c r="D13" s="286">
        <f>'- 26 -'!D13</f>
        <v>32.966666666666669</v>
      </c>
      <c r="E13" s="286">
        <f>SUM('- 37 -'!B13,'- 37 -'!E13,'- 37 -'!H13,B13)</f>
        <v>2319677</v>
      </c>
      <c r="F13" s="292">
        <f>E13/'- 3 -'!D13*100</f>
        <v>2.5557595649068445</v>
      </c>
      <c r="G13" s="286">
        <f>E13/'- 7 -'!E13</f>
        <v>281.17296969696969</v>
      </c>
    </row>
    <row r="14" spans="1:8" ht="14.1" customHeight="1">
      <c r="A14" s="19" t="s">
        <v>359</v>
      </c>
      <c r="B14" s="20">
        <f>'- 26 -'!B14</f>
        <v>121649</v>
      </c>
      <c r="C14" s="70">
        <f>'- 26 -'!C14</f>
        <v>0.14978620905743781</v>
      </c>
      <c r="D14" s="20">
        <f>'- 26 -'!D14</f>
        <v>22.767920643833051</v>
      </c>
      <c r="E14" s="20">
        <f>SUM('- 37 -'!B14,'- 37 -'!E14,'- 37 -'!H14,B14)</f>
        <v>1973667</v>
      </c>
      <c r="F14" s="70">
        <f>E14/'- 3 -'!D14*100</f>
        <v>2.4301728569225074</v>
      </c>
      <c r="G14" s="20">
        <f>E14/'- 7 -'!E14</f>
        <v>369.39303761931501</v>
      </c>
    </row>
    <row r="15" spans="1:8" ht="14.1" customHeight="1">
      <c r="A15" s="285" t="s">
        <v>113</v>
      </c>
      <c r="B15" s="286">
        <f>'- 26 -'!B15</f>
        <v>52656</v>
      </c>
      <c r="C15" s="292">
        <f>'- 26 -'!C15</f>
        <v>0.26547577669663552</v>
      </c>
      <c r="D15" s="286">
        <f>'- 26 -'!D15</f>
        <v>37.344680851063828</v>
      </c>
      <c r="E15" s="286">
        <f>SUM('- 37 -'!B15,'- 37 -'!E15,'- 37 -'!H15,B15)</f>
        <v>860022</v>
      </c>
      <c r="F15" s="292">
        <f>E15/'- 3 -'!D15*100</f>
        <v>4.3359732685010997</v>
      </c>
      <c r="G15" s="286">
        <f>E15/'- 7 -'!E15</f>
        <v>609.94468085106382</v>
      </c>
    </row>
    <row r="16" spans="1:8" ht="14.1" customHeight="1">
      <c r="A16" s="19" t="s">
        <v>114</v>
      </c>
      <c r="B16" s="20">
        <f>'- 26 -'!B16</f>
        <v>25212</v>
      </c>
      <c r="C16" s="70">
        <f>'- 26 -'!C16</f>
        <v>0.17983080412087296</v>
      </c>
      <c r="D16" s="20">
        <f>'- 26 -'!D16</f>
        <v>27.036997319034853</v>
      </c>
      <c r="E16" s="20">
        <f>SUM('- 37 -'!B16,'- 37 -'!E16,'- 37 -'!H16,B16)</f>
        <v>375203</v>
      </c>
      <c r="F16" s="70">
        <f>E16/'- 3 -'!D16*100</f>
        <v>2.6762278755578253</v>
      </c>
      <c r="G16" s="20">
        <f>E16/'- 7 -'!E16</f>
        <v>402.36246648793565</v>
      </c>
    </row>
    <row r="17" spans="1:7" ht="14.1" customHeight="1">
      <c r="A17" s="285" t="s">
        <v>115</v>
      </c>
      <c r="B17" s="286">
        <f>'- 26 -'!B17</f>
        <v>72169</v>
      </c>
      <c r="C17" s="292">
        <f>'- 26 -'!C17</f>
        <v>0.41546971122238557</v>
      </c>
      <c r="D17" s="286">
        <f>'- 26 -'!D17</f>
        <v>53.776625754462906</v>
      </c>
      <c r="E17" s="286">
        <f>SUM('- 37 -'!B17,'- 37 -'!E17,'- 37 -'!H17,B17)</f>
        <v>508145</v>
      </c>
      <c r="F17" s="292">
        <f>E17/'- 3 -'!D17*100</f>
        <v>2.9253399161565095</v>
      </c>
      <c r="G17" s="286">
        <f>E17/'- 7 -'!E17</f>
        <v>378.64351028837251</v>
      </c>
    </row>
    <row r="18" spans="1:7" ht="14.1" customHeight="1">
      <c r="A18" s="19" t="s">
        <v>116</v>
      </c>
      <c r="B18" s="20">
        <f>'- 26 -'!B18</f>
        <v>701605</v>
      </c>
      <c r="C18" s="70">
        <f>'- 26 -'!C18</f>
        <v>0.55352462101150912</v>
      </c>
      <c r="D18" s="20">
        <f>'- 26 -'!D18</f>
        <v>113.4732330583859</v>
      </c>
      <c r="E18" s="20">
        <f>SUM('- 37 -'!B18,'- 37 -'!E18,'- 37 -'!H18,B18)</f>
        <v>2457266</v>
      </c>
      <c r="F18" s="70">
        <f>E18/'- 3 -'!D18*100</f>
        <v>1.9386367420050701</v>
      </c>
      <c r="G18" s="20">
        <f>E18/'- 7 -'!E18</f>
        <v>397.42293385088146</v>
      </c>
    </row>
    <row r="19" spans="1:7" ht="14.1" customHeight="1">
      <c r="A19" s="285" t="s">
        <v>117</v>
      </c>
      <c r="B19" s="286">
        <f>'- 26 -'!B19</f>
        <v>138459</v>
      </c>
      <c r="C19" s="292">
        <f>'- 26 -'!C19</f>
        <v>0.30955426948532555</v>
      </c>
      <c r="D19" s="286">
        <f>'- 26 -'!D19</f>
        <v>32.696294896923042</v>
      </c>
      <c r="E19" s="286">
        <f>SUM('- 37 -'!B19,'- 37 -'!E19,'- 37 -'!H19,B19)</f>
        <v>1800544</v>
      </c>
      <c r="F19" s="292">
        <f>E19/'- 3 -'!D19*100</f>
        <v>4.0254955083901081</v>
      </c>
      <c r="G19" s="286">
        <f>E19/'- 7 -'!E19</f>
        <v>425.18808888469079</v>
      </c>
    </row>
    <row r="20" spans="1:7" ht="14.1" customHeight="1">
      <c r="A20" s="19" t="s">
        <v>118</v>
      </c>
      <c r="B20" s="20">
        <f>'- 26 -'!B20</f>
        <v>84891</v>
      </c>
      <c r="C20" s="70">
        <f>'- 26 -'!C20</f>
        <v>0.1084273912949017</v>
      </c>
      <c r="D20" s="20">
        <f>'- 26 -'!D20</f>
        <v>11.22087912814175</v>
      </c>
      <c r="E20" s="20">
        <f>SUM('- 37 -'!B20,'- 37 -'!E20,'- 37 -'!H20,B20)</f>
        <v>2813923</v>
      </c>
      <c r="F20" s="70">
        <f>E20/'- 3 -'!D20*100</f>
        <v>3.5940951360535704</v>
      </c>
      <c r="G20" s="20">
        <f>E20/'- 7 -'!E20</f>
        <v>371.94390287425074</v>
      </c>
    </row>
    <row r="21" spans="1:7" ht="14.1" customHeight="1">
      <c r="A21" s="285" t="s">
        <v>119</v>
      </c>
      <c r="B21" s="286">
        <f>'- 26 -'!B21</f>
        <v>88125</v>
      </c>
      <c r="C21" s="292">
        <f>'- 26 -'!C21</f>
        <v>0.25090149440773668</v>
      </c>
      <c r="D21" s="286">
        <f>'- 26 -'!D21</f>
        <v>32.807788243177839</v>
      </c>
      <c r="E21" s="286">
        <f>SUM('- 37 -'!B21,'- 37 -'!E21,'- 37 -'!H21,B21)</f>
        <v>1122094</v>
      </c>
      <c r="F21" s="292">
        <f>E21/'- 3 -'!D21*100</f>
        <v>3.1947241017413317</v>
      </c>
      <c r="G21" s="286">
        <f>E21/'- 7 -'!E21</f>
        <v>417.74096273407542</v>
      </c>
    </row>
    <row r="22" spans="1:7" ht="14.1" customHeight="1">
      <c r="A22" s="19" t="s">
        <v>120</v>
      </c>
      <c r="B22" s="20">
        <f>'- 26 -'!B22</f>
        <v>70533</v>
      </c>
      <c r="C22" s="70">
        <f>'- 26 -'!C22</f>
        <v>0.3529288849272601</v>
      </c>
      <c r="D22" s="20">
        <f>'- 26 -'!D22</f>
        <v>46.042822638553424</v>
      </c>
      <c r="E22" s="20">
        <f>SUM('- 37 -'!B22,'- 37 -'!E22,'- 37 -'!H22,B22)</f>
        <v>386398</v>
      </c>
      <c r="F22" s="70">
        <f>E22/'- 3 -'!D22*100</f>
        <v>1.9334356298204167</v>
      </c>
      <c r="G22" s="20">
        <f>E22/'- 7 -'!E22</f>
        <v>252.23448005744498</v>
      </c>
    </row>
    <row r="23" spans="1:7" ht="14.1" customHeight="1">
      <c r="A23" s="285" t="s">
        <v>121</v>
      </c>
      <c r="B23" s="286">
        <f>'- 26 -'!B23</f>
        <v>53225</v>
      </c>
      <c r="C23" s="292">
        <f>'- 26 -'!C23</f>
        <v>0.32981824644391178</v>
      </c>
      <c r="D23" s="286">
        <f>'- 26 -'!D23</f>
        <v>47.928860873480417</v>
      </c>
      <c r="E23" s="286">
        <f>SUM('- 37 -'!B23,'- 37 -'!E23,'- 37 -'!H23,B23)</f>
        <v>490081</v>
      </c>
      <c r="F23" s="292">
        <f>E23/'- 3 -'!D23*100</f>
        <v>3.0368747024044849</v>
      </c>
      <c r="G23" s="286">
        <f>E23/'- 7 -'!E23</f>
        <v>441.31562359297612</v>
      </c>
    </row>
    <row r="24" spans="1:7" ht="14.1" customHeight="1">
      <c r="A24" s="19" t="s">
        <v>122</v>
      </c>
      <c r="B24" s="20">
        <f>'- 26 -'!B24</f>
        <v>153916</v>
      </c>
      <c r="C24" s="70">
        <f>'- 26 -'!C24</f>
        <v>0.27632316266397894</v>
      </c>
      <c r="D24" s="20">
        <f>'- 26 -'!D24</f>
        <v>38.560942001753723</v>
      </c>
      <c r="E24" s="20">
        <f>SUM('- 37 -'!B24,'- 37 -'!E24,'- 37 -'!H24,B24)</f>
        <v>1712034</v>
      </c>
      <c r="F24" s="70">
        <f>E24/'- 3 -'!D24*100</f>
        <v>3.0735898117691627</v>
      </c>
      <c r="G24" s="20">
        <f>E24/'- 7 -'!E24</f>
        <v>428.91995490417139</v>
      </c>
    </row>
    <row r="25" spans="1:7" ht="14.1" customHeight="1">
      <c r="A25" s="285" t="s">
        <v>123</v>
      </c>
      <c r="B25" s="286">
        <f>'- 26 -'!B25</f>
        <v>767587</v>
      </c>
      <c r="C25" s="292">
        <f>'- 26 -'!C25</f>
        <v>0.45679064868721075</v>
      </c>
      <c r="D25" s="286">
        <f>'- 26 -'!D25</f>
        <v>54.221140669369753</v>
      </c>
      <c r="E25" s="286">
        <f>SUM('- 37 -'!B25,'- 37 -'!E25,'- 37 -'!H25,B25)</f>
        <v>4761241</v>
      </c>
      <c r="F25" s="292">
        <f>E25/'- 3 -'!D25*100</f>
        <v>2.8334121929450915</v>
      </c>
      <c r="G25" s="286">
        <f>E25/'- 7 -'!E25</f>
        <v>336.32658971787004</v>
      </c>
    </row>
    <row r="26" spans="1:7" ht="14.1" customHeight="1">
      <c r="A26" s="19" t="s">
        <v>124</v>
      </c>
      <c r="B26" s="20">
        <f>'- 26 -'!B26</f>
        <v>39219</v>
      </c>
      <c r="C26" s="70">
        <f>'- 26 -'!C26</f>
        <v>9.8960045212924203E-2</v>
      </c>
      <c r="D26" s="20">
        <f>'- 26 -'!D26</f>
        <v>12.75</v>
      </c>
      <c r="E26" s="20">
        <f>SUM('- 37 -'!B26,'- 37 -'!E26,'- 37 -'!H26,B26)</f>
        <v>1244292</v>
      </c>
      <c r="F26" s="70">
        <f>E26/'- 3 -'!D26*100</f>
        <v>3.1396821076029444</v>
      </c>
      <c r="G26" s="20">
        <f>E26/'- 7 -'!E26</f>
        <v>404.51625487646294</v>
      </c>
    </row>
    <row r="27" spans="1:7" ht="14.1" customHeight="1">
      <c r="A27" s="285" t="s">
        <v>125</v>
      </c>
      <c r="B27" s="286">
        <f>'- 26 -'!B27</f>
        <v>213099</v>
      </c>
      <c r="C27" s="292">
        <f>'- 26 -'!C27</f>
        <v>0.50720144943669321</v>
      </c>
      <c r="D27" s="286">
        <f>'- 26 -'!D27</f>
        <v>73.350635582281484</v>
      </c>
      <c r="E27" s="286">
        <f>SUM('- 37 -'!B27,'- 37 -'!E27,'- 37 -'!H27,B27)</f>
        <v>738346</v>
      </c>
      <c r="F27" s="292">
        <f>E27/'- 3 -'!D27*100</f>
        <v>1.7573529739031373</v>
      </c>
      <c r="G27" s="286">
        <f>E27/'- 7 -'!E27</f>
        <v>254.14548345902705</v>
      </c>
    </row>
    <row r="28" spans="1:7" ht="14.1" customHeight="1">
      <c r="A28" s="19" t="s">
        <v>126</v>
      </c>
      <c r="B28" s="20">
        <f>'- 26 -'!B28</f>
        <v>89767</v>
      </c>
      <c r="C28" s="70">
        <f>'- 26 -'!C28</f>
        <v>0.3228401096837108</v>
      </c>
      <c r="D28" s="20">
        <f>'- 26 -'!D28</f>
        <v>45.120382005529031</v>
      </c>
      <c r="E28" s="20">
        <f>SUM('- 37 -'!B28,'- 37 -'!E28,'- 37 -'!H28,B28)</f>
        <v>881380</v>
      </c>
      <c r="F28" s="70">
        <f>E28/'- 3 -'!D28*100</f>
        <v>3.169815365034244</v>
      </c>
      <c r="G28" s="20">
        <f>E28/'- 7 -'!E28</f>
        <v>443.01583312390045</v>
      </c>
    </row>
    <row r="29" spans="1:7" ht="14.1" customHeight="1">
      <c r="A29" s="285" t="s">
        <v>127</v>
      </c>
      <c r="B29" s="286">
        <f>'- 26 -'!B29</f>
        <v>830518</v>
      </c>
      <c r="C29" s="292">
        <f>'- 26 -'!C29</f>
        <v>0.55226939666564323</v>
      </c>
      <c r="D29" s="286">
        <f>'- 26 -'!D29</f>
        <v>65.429636107237684</v>
      </c>
      <c r="E29" s="286">
        <f>SUM('- 37 -'!B29,'- 37 -'!E29,'- 37 -'!H29,B29)</f>
        <v>3958054</v>
      </c>
      <c r="F29" s="292">
        <f>E29/'- 3 -'!D29*100</f>
        <v>2.631986416369104</v>
      </c>
      <c r="G29" s="286">
        <f>E29/'- 7 -'!E29</f>
        <v>311.82229995351878</v>
      </c>
    </row>
    <row r="30" spans="1:7" ht="14.1" customHeight="1">
      <c r="A30" s="19" t="s">
        <v>128</v>
      </c>
      <c r="B30" s="20">
        <f>'- 26 -'!B30</f>
        <v>46163</v>
      </c>
      <c r="C30" s="70">
        <f>'- 26 -'!C30</f>
        <v>0.3323637141736856</v>
      </c>
      <c r="D30" s="20">
        <f>'- 26 -'!D30</f>
        <v>45.979083665338642</v>
      </c>
      <c r="E30" s="20">
        <f>SUM('- 37 -'!B30,'- 37 -'!E30,'- 37 -'!H30,B30)</f>
        <v>408121</v>
      </c>
      <c r="F30" s="70">
        <f>E30/'- 3 -'!D30*100</f>
        <v>2.9383838007122316</v>
      </c>
      <c r="G30" s="20">
        <f>E30/'- 7 -'!E30</f>
        <v>406.49501992031873</v>
      </c>
    </row>
    <row r="31" spans="1:7" ht="14.1" customHeight="1">
      <c r="A31" s="285" t="s">
        <v>129</v>
      </c>
      <c r="B31" s="286">
        <f>'- 26 -'!B31</f>
        <v>155157</v>
      </c>
      <c r="C31" s="292">
        <f>'- 26 -'!C31</f>
        <v>0.43348687733914149</v>
      </c>
      <c r="D31" s="286">
        <f>'- 26 -'!D31</f>
        <v>47.470399265718221</v>
      </c>
      <c r="E31" s="286">
        <f>SUM('- 37 -'!B31,'- 37 -'!E31,'- 37 -'!H31,B31)</f>
        <v>857351</v>
      </c>
      <c r="F31" s="292">
        <f>E31/'- 3 -'!D31*100</f>
        <v>2.3953183406071936</v>
      </c>
      <c r="G31" s="286">
        <f>E31/'- 7 -'!E31</f>
        <v>262.30717454489826</v>
      </c>
    </row>
    <row r="32" spans="1:7" ht="14.1" customHeight="1">
      <c r="A32" s="19" t="s">
        <v>130</v>
      </c>
      <c r="B32" s="20">
        <f>'- 26 -'!B32</f>
        <v>64789</v>
      </c>
      <c r="C32" s="70">
        <f>'- 26 -'!C32</f>
        <v>0.23205327300452058</v>
      </c>
      <c r="D32" s="20">
        <f>'- 26 -'!D32</f>
        <v>30.67370514155856</v>
      </c>
      <c r="E32" s="20">
        <f>SUM('- 37 -'!B32,'- 37 -'!E32,'- 37 -'!H32,B32)</f>
        <v>770211</v>
      </c>
      <c r="F32" s="70">
        <f>E32/'- 3 -'!D32*100</f>
        <v>2.7586470458578587</v>
      </c>
      <c r="G32" s="20">
        <f>E32/'- 7 -'!E32</f>
        <v>364.6487075087586</v>
      </c>
    </row>
    <row r="33" spans="1:7" ht="14.1" customHeight="1">
      <c r="A33" s="285" t="s">
        <v>131</v>
      </c>
      <c r="B33" s="286">
        <f>'- 26 -'!B33</f>
        <v>67237</v>
      </c>
      <c r="C33" s="292">
        <f>'- 26 -'!C33</f>
        <v>0.25408890137471857</v>
      </c>
      <c r="D33" s="286">
        <f>'- 26 -'!D33</f>
        <v>33.054913721055996</v>
      </c>
      <c r="E33" s="286">
        <f>SUM('- 37 -'!B33,'- 37 -'!E33,'- 37 -'!H33,B33)</f>
        <v>889780</v>
      </c>
      <c r="F33" s="292">
        <f>E33/'- 3 -'!D33*100</f>
        <v>3.3624823038683624</v>
      </c>
      <c r="G33" s="286">
        <f>E33/'- 7 -'!E33</f>
        <v>437.43178801435522</v>
      </c>
    </row>
    <row r="34" spans="1:7" ht="14.1" customHeight="1">
      <c r="A34" s="19" t="s">
        <v>132</v>
      </c>
      <c r="B34" s="20">
        <f>'- 26 -'!B34</f>
        <v>70462</v>
      </c>
      <c r="C34" s="70">
        <f>'- 26 -'!C34</f>
        <v>0.25259704043251879</v>
      </c>
      <c r="D34" s="20">
        <f>'- 26 -'!D34</f>
        <v>35.558852621167162</v>
      </c>
      <c r="E34" s="20">
        <f>SUM('- 37 -'!B34,'- 37 -'!E34,'- 37 -'!H34,B34)</f>
        <v>1062196</v>
      </c>
      <c r="F34" s="70">
        <f>E34/'- 3 -'!D34*100</f>
        <v>3.8078335267131176</v>
      </c>
      <c r="G34" s="20">
        <f>E34/'- 7 -'!E34</f>
        <v>536.04029148751488</v>
      </c>
    </row>
    <row r="35" spans="1:7" ht="14.1" customHeight="1">
      <c r="A35" s="285" t="s">
        <v>133</v>
      </c>
      <c r="B35" s="286">
        <f>'- 26 -'!B35</f>
        <v>1045915</v>
      </c>
      <c r="C35" s="292">
        <f>'- 26 -'!C35</f>
        <v>0.57932712410353893</v>
      </c>
      <c r="D35" s="286">
        <f>'- 26 -'!D35</f>
        <v>67.791100884726319</v>
      </c>
      <c r="E35" s="286">
        <f>SUM('- 37 -'!B35,'- 37 -'!E35,'- 37 -'!H35,B35)</f>
        <v>3716313</v>
      </c>
      <c r="F35" s="292">
        <f>E35/'- 3 -'!D35*100</f>
        <v>2.0584473141303019</v>
      </c>
      <c r="G35" s="286">
        <f>E35/'- 7 -'!E35</f>
        <v>240.8732540428428</v>
      </c>
    </row>
    <row r="36" spans="1:7" ht="14.1" customHeight="1">
      <c r="A36" s="19" t="s">
        <v>134</v>
      </c>
      <c r="B36" s="20">
        <f>'- 26 -'!B36</f>
        <v>40788</v>
      </c>
      <c r="C36" s="70">
        <f>'- 26 -'!C36</f>
        <v>0.18177739141688765</v>
      </c>
      <c r="D36" s="20">
        <f>'- 26 -'!D36</f>
        <v>24.923923006416132</v>
      </c>
      <c r="E36" s="20">
        <f>SUM('- 37 -'!B36,'- 37 -'!E36,'- 37 -'!H36,B36)</f>
        <v>816527</v>
      </c>
      <c r="F36" s="70">
        <f>E36/'- 3 -'!D36*100</f>
        <v>3.6389660704485882</v>
      </c>
      <c r="G36" s="20">
        <f>E36/'- 7 -'!E36</f>
        <v>498.94714329361443</v>
      </c>
    </row>
    <row r="37" spans="1:7" ht="14.1" customHeight="1">
      <c r="A37" s="285" t="s">
        <v>135</v>
      </c>
      <c r="B37" s="286">
        <f>'- 26 -'!B37</f>
        <v>214526</v>
      </c>
      <c r="C37" s="292">
        <f>'- 26 -'!C37</f>
        <v>0.44916294758059905</v>
      </c>
      <c r="D37" s="286">
        <f>'- 26 -'!D37</f>
        <v>52.278786401852081</v>
      </c>
      <c r="E37" s="286">
        <f>SUM('- 37 -'!B37,'- 37 -'!E37,'- 37 -'!H37,B37)</f>
        <v>1702590</v>
      </c>
      <c r="F37" s="292">
        <f>E37/'- 3 -'!D37*100</f>
        <v>3.5647909480494309</v>
      </c>
      <c r="G37" s="286">
        <f>E37/'- 7 -'!E37</f>
        <v>414.91166077738518</v>
      </c>
    </row>
    <row r="38" spans="1:7" ht="14.1" customHeight="1">
      <c r="A38" s="19" t="s">
        <v>136</v>
      </c>
      <c r="B38" s="20">
        <f>'- 26 -'!B38</f>
        <v>464925</v>
      </c>
      <c r="C38" s="70">
        <f>'- 26 -'!C38</f>
        <v>0.36625322716221376</v>
      </c>
      <c r="D38" s="20">
        <f>'- 26 -'!D38</f>
        <v>43.051401479725534</v>
      </c>
      <c r="E38" s="20">
        <f>SUM('- 37 -'!B38,'- 37 -'!E38,'- 37 -'!H38,B38)</f>
        <v>2496666</v>
      </c>
      <c r="F38" s="70">
        <f>E38/'- 3 -'!D38*100</f>
        <v>1.9667946005187409</v>
      </c>
      <c r="G38" s="20">
        <f>E38/'- 7 -'!E38</f>
        <v>231.18776216977025</v>
      </c>
    </row>
    <row r="39" spans="1:7" ht="14.1" customHeight="1">
      <c r="A39" s="285" t="s">
        <v>137</v>
      </c>
      <c r="B39" s="286">
        <f>'- 26 -'!B39</f>
        <v>65827</v>
      </c>
      <c r="C39" s="292">
        <f>'- 26 -'!C39</f>
        <v>0.31836656916457734</v>
      </c>
      <c r="D39" s="286">
        <f>'- 26 -'!D39</f>
        <v>41.533850716133507</v>
      </c>
      <c r="E39" s="286">
        <f>SUM('- 37 -'!B39,'- 37 -'!E39,'- 37 -'!H39,B39)</f>
        <v>526230</v>
      </c>
      <c r="F39" s="292">
        <f>E39/'- 3 -'!D39*100</f>
        <v>2.5450656978363821</v>
      </c>
      <c r="G39" s="286">
        <f>E39/'- 7 -'!E39</f>
        <v>332.02725724020439</v>
      </c>
    </row>
    <row r="40" spans="1:7" ht="14.1" customHeight="1">
      <c r="A40" s="19" t="s">
        <v>138</v>
      </c>
      <c r="B40" s="20">
        <f>'- 26 -'!B40</f>
        <v>456137</v>
      </c>
      <c r="C40" s="70">
        <f>'- 26 -'!C40</f>
        <v>0.44785920048310279</v>
      </c>
      <c r="D40" s="20">
        <f>'- 26 -'!D40</f>
        <v>57.31156315571247</v>
      </c>
      <c r="E40" s="20">
        <f>SUM('- 37 -'!B40,'- 37 -'!E40,'- 37 -'!H40,B40)</f>
        <v>2683603</v>
      </c>
      <c r="F40" s="70">
        <f>E40/'- 3 -'!D40*100</f>
        <v>2.6349020009208988</v>
      </c>
      <c r="G40" s="20">
        <f>E40/'- 7 -'!E40</f>
        <v>337.18265086883866</v>
      </c>
    </row>
    <row r="41" spans="1:7" ht="14.1" customHeight="1">
      <c r="A41" s="285" t="s">
        <v>139</v>
      </c>
      <c r="B41" s="286">
        <f>'- 26 -'!B41</f>
        <v>124534</v>
      </c>
      <c r="C41" s="292">
        <f>'- 26 -'!C41</f>
        <v>0.20148234339752744</v>
      </c>
      <c r="D41" s="286">
        <f>'- 26 -'!D41</f>
        <v>28.393524851801185</v>
      </c>
      <c r="E41" s="286">
        <f>SUM('- 37 -'!B41,'- 37 -'!E41,'- 37 -'!H41,B41)</f>
        <v>1547863</v>
      </c>
      <c r="F41" s="292">
        <f>E41/'- 3 -'!D41*100</f>
        <v>2.5042724436565678</v>
      </c>
      <c r="G41" s="286">
        <f>E41/'- 7 -'!E41</f>
        <v>352.90994072047425</v>
      </c>
    </row>
    <row r="42" spans="1:7" ht="14.1" customHeight="1">
      <c r="A42" s="19" t="s">
        <v>140</v>
      </c>
      <c r="B42" s="20">
        <f>'- 26 -'!B42</f>
        <v>39813</v>
      </c>
      <c r="C42" s="70">
        <f>'- 26 -'!C42</f>
        <v>0.19881736303347364</v>
      </c>
      <c r="D42" s="20">
        <f>'- 26 -'!D42</f>
        <v>28.762462071954925</v>
      </c>
      <c r="E42" s="20">
        <f>SUM('- 37 -'!B42,'- 37 -'!E42,'- 37 -'!H42,B42)</f>
        <v>617112</v>
      </c>
      <c r="F42" s="70">
        <f>E42/'- 3 -'!D42*100</f>
        <v>3.0817215617088136</v>
      </c>
      <c r="G42" s="20">
        <f>E42/'- 7 -'!E42</f>
        <v>445.82574772431735</v>
      </c>
    </row>
    <row r="43" spans="1:7" ht="14.1" customHeight="1">
      <c r="A43" s="285" t="s">
        <v>141</v>
      </c>
      <c r="B43" s="286">
        <f>'- 26 -'!B43</f>
        <v>29250</v>
      </c>
      <c r="C43" s="292">
        <f>'- 26 -'!C43</f>
        <v>0.22999063761189042</v>
      </c>
      <c r="D43" s="286">
        <f>'- 26 -'!D43</f>
        <v>30.896799408471534</v>
      </c>
      <c r="E43" s="286">
        <f>SUM('- 37 -'!B43,'- 37 -'!E43,'- 37 -'!H43,B43)</f>
        <v>390888</v>
      </c>
      <c r="F43" s="292">
        <f>E43/'- 3 -'!D43*100</f>
        <v>3.0735241146952696</v>
      </c>
      <c r="G43" s="286">
        <f>E43/'- 7 -'!E43</f>
        <v>412.89532058730327</v>
      </c>
    </row>
    <row r="44" spans="1:7" ht="14.1" customHeight="1">
      <c r="A44" s="19" t="s">
        <v>142</v>
      </c>
      <c r="B44" s="20">
        <f>'- 26 -'!B44</f>
        <v>981</v>
      </c>
      <c r="C44" s="70">
        <f>'- 26 -'!C44</f>
        <v>9.0285575761056332E-3</v>
      </c>
      <c r="D44" s="20">
        <f>'- 26 -'!D44</f>
        <v>1.4405286343612336</v>
      </c>
      <c r="E44" s="20">
        <f>SUM('- 37 -'!B44,'- 37 -'!E44,'- 37 -'!H44,B44)</f>
        <v>333180</v>
      </c>
      <c r="F44" s="70">
        <f>E44/'- 3 -'!D44*100</f>
        <v>3.0663963437378943</v>
      </c>
      <c r="G44" s="20">
        <f>E44/'- 7 -'!E44</f>
        <v>489.25110132158591</v>
      </c>
    </row>
    <row r="45" spans="1:7" ht="14.1" customHeight="1">
      <c r="A45" s="285" t="s">
        <v>143</v>
      </c>
      <c r="B45" s="286">
        <f>'- 26 -'!B45</f>
        <v>74918</v>
      </c>
      <c r="C45" s="292">
        <f>'- 26 -'!C45</f>
        <v>0.40865487808782808</v>
      </c>
      <c r="D45" s="286">
        <f>'- 26 -'!D45</f>
        <v>45.131325301204818</v>
      </c>
      <c r="E45" s="286">
        <f>SUM('- 37 -'!B45,'- 37 -'!E45,'- 37 -'!H45,B45)</f>
        <v>422043</v>
      </c>
      <c r="F45" s="292">
        <f>E45/'- 3 -'!D45*100</f>
        <v>2.302116056392606</v>
      </c>
      <c r="G45" s="286">
        <f>E45/'- 7 -'!E45</f>
        <v>254.24277108433736</v>
      </c>
    </row>
    <row r="46" spans="1:7" ht="14.1" customHeight="1">
      <c r="A46" s="19" t="s">
        <v>144</v>
      </c>
      <c r="B46" s="20">
        <f>'- 26 -'!B46</f>
        <v>1364720</v>
      </c>
      <c r="C46" s="70">
        <f>'- 26 -'!C46</f>
        <v>0.35767246139630104</v>
      </c>
      <c r="D46" s="20">
        <f>'- 26 -'!D46</f>
        <v>45.742249036366687</v>
      </c>
      <c r="E46" s="20">
        <f>SUM('- 37 -'!B46,'- 37 -'!E46,'- 37 -'!H46,B46)</f>
        <v>8174303</v>
      </c>
      <c r="F46" s="70">
        <f>E46/'- 3 -'!D46*100</f>
        <v>2.1423611247795651</v>
      </c>
      <c r="G46" s="20">
        <f>E46/'- 7 -'!E46</f>
        <v>273.98367688955926</v>
      </c>
    </row>
    <row r="47" spans="1:7" ht="5.0999999999999996" customHeight="1">
      <c r="A47" s="21"/>
      <c r="B47" s="22"/>
      <c r="C47"/>
      <c r="D47"/>
      <c r="E47"/>
      <c r="F47"/>
      <c r="G47"/>
    </row>
    <row r="48" spans="1:7" ht="14.1" customHeight="1">
      <c r="A48" s="287" t="s">
        <v>145</v>
      </c>
      <c r="B48" s="288">
        <f>SUM(B11:B46)</f>
        <v>8192362</v>
      </c>
      <c r="C48" s="295">
        <f>'- 26 -'!C48</f>
        <v>0.36977432669360061</v>
      </c>
      <c r="D48" s="288">
        <f>'- 26 -'!D48</f>
        <v>47.080636904301166</v>
      </c>
      <c r="E48" s="288">
        <f>SUM('- 37 -'!B48,'- 37 -'!E48,'- 37 -'!H48,B48)</f>
        <v>57558462</v>
      </c>
      <c r="F48" s="295">
        <f>E48/'- 3 -'!D48*100</f>
        <v>2.5979859693174201</v>
      </c>
      <c r="G48" s="288">
        <f>E48/'- 7 -'!E48</f>
        <v>330.78238610452229</v>
      </c>
    </row>
    <row r="49" spans="1:8" ht="5.0999999999999996" customHeight="1">
      <c r="A49" s="21" t="s">
        <v>7</v>
      </c>
      <c r="B49" s="22"/>
      <c r="C49"/>
      <c r="D49"/>
      <c r="E49"/>
      <c r="F49"/>
      <c r="G49"/>
    </row>
    <row r="50" spans="1:8" ht="14.1" customHeight="1">
      <c r="A50" s="19" t="s">
        <v>146</v>
      </c>
      <c r="B50" s="20">
        <f>'- 26 -'!B50</f>
        <v>0</v>
      </c>
      <c r="C50" s="70">
        <f>'- 26 -'!C50</f>
        <v>0</v>
      </c>
      <c r="D50" s="20">
        <f>'- 26 -'!D50</f>
        <v>0</v>
      </c>
      <c r="E50" s="20">
        <f>SUM('- 37 -'!B50,'- 37 -'!E50,'- 37 -'!H50,B50)</f>
        <v>74110</v>
      </c>
      <c r="F50" s="70">
        <f>E50/'- 3 -'!D50*100</f>
        <v>2.2062634542327602</v>
      </c>
      <c r="G50" s="20">
        <f>E50/'- 7 -'!E50</f>
        <v>433.39181286549706</v>
      </c>
    </row>
    <row r="51" spans="1:8" ht="14.1" customHeight="1">
      <c r="A51" s="285" t="s">
        <v>612</v>
      </c>
      <c r="B51" s="286">
        <f>'- 26 -'!B51</f>
        <v>1129596</v>
      </c>
      <c r="C51" s="292">
        <f>'- 26 -'!C51</f>
        <v>4.2606099407593589</v>
      </c>
      <c r="D51" s="286">
        <f>'- 26 -'!D51</f>
        <v>1111.8070866141732</v>
      </c>
      <c r="E51" s="286">
        <f>SUM('- 37 -'!B51,'- 37 -'!E51,'- 37 -'!H51,B51)</f>
        <v>1413849</v>
      </c>
      <c r="F51" s="292">
        <f>E51/'- 3 -'!D51*100</f>
        <v>5.332755342735525</v>
      </c>
      <c r="G51" s="286">
        <f>E51/'- 7 -'!E51</f>
        <v>1391.5836614173229</v>
      </c>
    </row>
    <row r="52" spans="1:8" ht="50.1" customHeight="1">
      <c r="A52" s="23"/>
      <c r="B52" s="23"/>
      <c r="C52" s="23"/>
      <c r="D52" s="23"/>
      <c r="E52" s="23"/>
      <c r="F52" s="23"/>
      <c r="G52" s="23"/>
      <c r="H52" s="23"/>
    </row>
    <row r="53" spans="1:8" ht="15" customHeight="1">
      <c r="A53" s="133" t="s">
        <v>348</v>
      </c>
    </row>
    <row r="54" spans="1:8" ht="12" customHeight="1">
      <c r="A54" s="133" t="s">
        <v>419</v>
      </c>
      <c r="B54" s="130"/>
      <c r="C54" s="130"/>
      <c r="D54" s="130"/>
    </row>
  </sheetData>
  <mergeCells count="4">
    <mergeCell ref="D8:D9"/>
    <mergeCell ref="G8:G9"/>
    <mergeCell ref="E7:G7"/>
    <mergeCell ref="B6:D7"/>
  </mergeCells>
  <phoneticPr fontId="6" type="noConversion"/>
  <pageMargins left="0.5" right="0.5" top="0.6" bottom="0.2" header="0.3" footer="0.5"/>
  <pageSetup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sheetPr codeName="Sheet35">
    <pageSetUpPr fitToPage="1"/>
  </sheetPr>
  <dimension ref="A1:M55"/>
  <sheetViews>
    <sheetView showGridLines="0" showZeros="0" workbookViewId="0"/>
  </sheetViews>
  <sheetFormatPr defaultColWidth="14.83203125" defaultRowHeight="12"/>
  <cols>
    <col min="1" max="1" width="31.83203125" style="2" customWidth="1"/>
    <col min="2" max="2" width="15.83203125" style="2" customWidth="1"/>
    <col min="3" max="3" width="13.83203125" style="2" customWidth="1"/>
    <col min="4" max="5" width="14.83203125" style="2" customWidth="1"/>
    <col min="6" max="6" width="12.83203125" style="2" customWidth="1"/>
    <col min="7" max="7" width="16.83203125" style="2" customWidth="1"/>
    <col min="8" max="8" width="11.83203125" style="2" customWidth="1"/>
    <col min="9" max="10" width="14.83203125" style="2"/>
    <col min="11" max="11" width="19.5" style="2" customWidth="1"/>
    <col min="12" max="16384" width="14.83203125" style="2"/>
  </cols>
  <sheetData>
    <row r="1" spans="1:13" ht="6.95" customHeight="1">
      <c r="A1" s="7"/>
      <c r="J1" s="497">
        <v>100.00000000000003</v>
      </c>
    </row>
    <row r="2" spans="1:13" ht="15.95" customHeight="1">
      <c r="A2" s="204" t="str">
        <f>"  SUMMARY"&amp;REPLACE(REVYEAR,1,8,"")</f>
        <v xml:space="preserve">  SUMMARY OF OPERATING FUND REVENUE: 2015/2016 ACTUAL</v>
      </c>
      <c r="B2" s="41"/>
      <c r="C2" s="41"/>
      <c r="D2" s="41"/>
      <c r="E2" s="41"/>
      <c r="F2" s="41"/>
      <c r="G2" s="41"/>
      <c r="H2" s="41"/>
    </row>
    <row r="3" spans="1:13" ht="15.95" customHeight="1">
      <c r="A3" s="539"/>
    </row>
    <row r="4" spans="1:13" ht="15.95" customHeight="1">
      <c r="B4" s="8"/>
      <c r="C4" s="69"/>
      <c r="D4" s="69"/>
      <c r="E4" s="8"/>
      <c r="F4" s="8"/>
      <c r="G4" s="8"/>
      <c r="H4" s="8"/>
    </row>
    <row r="5" spans="1:13" ht="15.95" customHeight="1">
      <c r="B5" s="8"/>
      <c r="C5" s="8"/>
      <c r="D5" s="8"/>
      <c r="E5" s="8"/>
      <c r="F5" s="8"/>
      <c r="G5" s="8"/>
      <c r="H5" s="8"/>
    </row>
    <row r="6" spans="1:13" ht="15.95" customHeight="1">
      <c r="B6" s="206" t="s">
        <v>54</v>
      </c>
      <c r="C6" s="173"/>
      <c r="D6" s="173"/>
      <c r="E6" s="173"/>
      <c r="F6" s="173"/>
      <c r="G6" s="173"/>
      <c r="H6" s="174"/>
    </row>
    <row r="7" spans="1:13" ht="15.95" customHeight="1">
      <c r="B7" s="691" t="s">
        <v>58</v>
      </c>
      <c r="C7" s="692"/>
      <c r="D7" s="693"/>
      <c r="E7" s="636" t="s">
        <v>523</v>
      </c>
      <c r="F7" s="304" t="s">
        <v>7</v>
      </c>
      <c r="G7" s="634" t="s">
        <v>522</v>
      </c>
      <c r="H7" s="304" t="s">
        <v>7</v>
      </c>
    </row>
    <row r="8" spans="1:13" ht="15.95" customHeight="1">
      <c r="A8" s="33"/>
      <c r="B8" s="339"/>
      <c r="C8" s="373"/>
      <c r="D8" s="373"/>
      <c r="E8" s="713"/>
      <c r="F8" s="713" t="s">
        <v>61</v>
      </c>
      <c r="G8" s="713"/>
      <c r="H8" s="351" t="s">
        <v>7</v>
      </c>
      <c r="K8" s="512"/>
      <c r="L8" s="512"/>
      <c r="M8" s="512"/>
    </row>
    <row r="9" spans="1:13" ht="15.95" customHeight="1">
      <c r="A9" s="82" t="s">
        <v>42</v>
      </c>
      <c r="B9" s="308" t="s">
        <v>246</v>
      </c>
      <c r="C9" s="308" t="s">
        <v>56</v>
      </c>
      <c r="D9" s="308" t="s">
        <v>57</v>
      </c>
      <c r="E9" s="635"/>
      <c r="F9" s="635"/>
      <c r="G9" s="635"/>
      <c r="H9" s="308" t="s">
        <v>24</v>
      </c>
      <c r="J9" s="498" t="s">
        <v>85</v>
      </c>
      <c r="K9" s="512"/>
      <c r="L9" s="512"/>
      <c r="M9" s="512"/>
    </row>
    <row r="10" spans="1:13" ht="5.0999999999999996" customHeight="1">
      <c r="A10" s="6"/>
      <c r="B10" s="207"/>
      <c r="C10" s="207"/>
      <c r="D10" s="207"/>
      <c r="E10" s="207"/>
      <c r="F10" s="207"/>
      <c r="G10" s="207"/>
      <c r="H10" s="207"/>
      <c r="K10" s="512"/>
      <c r="L10" s="512"/>
      <c r="M10" s="512"/>
    </row>
    <row r="11" spans="1:13" ht="14.1" customHeight="1">
      <c r="A11" s="285" t="s">
        <v>110</v>
      </c>
      <c r="B11" s="292">
        <f>'- 41 -'!I11</f>
        <v>65.871204920064855</v>
      </c>
      <c r="C11" s="292">
        <f>'- 42 -'!C11</f>
        <v>0</v>
      </c>
      <c r="D11" s="292">
        <f>'- 42 -'!E11</f>
        <v>33.409414569023689</v>
      </c>
      <c r="E11" s="292">
        <f>'- 42 -'!G11</f>
        <v>0.15855781328094032</v>
      </c>
      <c r="F11" s="292">
        <f>'- 42 -'!I11</f>
        <v>0</v>
      </c>
      <c r="G11" s="292">
        <f>'- 43 -'!C11</f>
        <v>0.10311560800160149</v>
      </c>
      <c r="H11" s="292">
        <f>'- 43 -'!E11</f>
        <v>0.45770708962891377</v>
      </c>
      <c r="J11" s="131">
        <f>SUM(B11:H11)</f>
        <v>99.999999999999986</v>
      </c>
      <c r="K11" s="497" t="s">
        <v>60</v>
      </c>
      <c r="L11" s="550">
        <f>B48</f>
        <v>61.875479443514827</v>
      </c>
      <c r="M11" s="512"/>
    </row>
    <row r="12" spans="1:13" ht="14.1" customHeight="1">
      <c r="A12" s="19" t="s">
        <v>111</v>
      </c>
      <c r="B12" s="70">
        <f>'- 41 -'!I12</f>
        <v>65.557004207804965</v>
      </c>
      <c r="C12" s="70">
        <f>'- 42 -'!C12</f>
        <v>1.3365299220179778E-2</v>
      </c>
      <c r="D12" s="70">
        <f>'- 42 -'!E12</f>
        <v>27.050337750883514</v>
      </c>
      <c r="E12" s="70">
        <f>'- 42 -'!G12</f>
        <v>2.0731795716138564</v>
      </c>
      <c r="F12" s="70">
        <f>'- 42 -'!I12</f>
        <v>3.725280713739155</v>
      </c>
      <c r="G12" s="70">
        <f>'- 43 -'!C12</f>
        <v>0.90139498746459457</v>
      </c>
      <c r="H12" s="70">
        <f>'- 43 -'!E12</f>
        <v>0.67943746927374016</v>
      </c>
      <c r="J12" s="131">
        <f t="shared" ref="J12:J46" si="0">SUM(B12:H12)</f>
        <v>100</v>
      </c>
      <c r="K12" s="497" t="s">
        <v>56</v>
      </c>
      <c r="L12" s="550">
        <f>C48</f>
        <v>0.26551628482217027</v>
      </c>
      <c r="M12" s="512"/>
    </row>
    <row r="13" spans="1:13" ht="14.1" customHeight="1">
      <c r="A13" s="285" t="s">
        <v>112</v>
      </c>
      <c r="B13" s="292">
        <f>'- 41 -'!I13</f>
        <v>61.299879224326048</v>
      </c>
      <c r="C13" s="292">
        <f>'- 42 -'!C13</f>
        <v>2.1885233239271898E-2</v>
      </c>
      <c r="D13" s="292">
        <f>'- 42 -'!E13</f>
        <v>37.042920985862899</v>
      </c>
      <c r="E13" s="292">
        <f>'- 42 -'!G13</f>
        <v>0.39603223073711397</v>
      </c>
      <c r="F13" s="292">
        <f>'- 42 -'!I13</f>
        <v>0.16284122417988312</v>
      </c>
      <c r="G13" s="292">
        <f>'- 43 -'!C13</f>
        <v>0.9850887431161357</v>
      </c>
      <c r="H13" s="292">
        <f>'- 43 -'!E13</f>
        <v>9.135235853865345E-2</v>
      </c>
      <c r="J13" s="131">
        <f t="shared" si="0"/>
        <v>100.00000000000001</v>
      </c>
      <c r="K13" s="497" t="s">
        <v>57</v>
      </c>
      <c r="L13" s="550">
        <f>D48</f>
        <v>31.845373285313833</v>
      </c>
      <c r="M13" s="512"/>
    </row>
    <row r="14" spans="1:13" ht="14.1" customHeight="1">
      <c r="A14" s="19" t="s">
        <v>359</v>
      </c>
      <c r="B14" s="70">
        <f>'- 41 -'!I14</f>
        <v>72.438956205906194</v>
      </c>
      <c r="C14" s="70">
        <f>'- 42 -'!C14</f>
        <v>0.11753033049295132</v>
      </c>
      <c r="D14" s="70">
        <f>'- 42 -'!E14</f>
        <v>25.027835221407081</v>
      </c>
      <c r="E14" s="70">
        <f>'- 42 -'!G14</f>
        <v>2.0011188294712019</v>
      </c>
      <c r="F14" s="70">
        <f>'- 42 -'!I14</f>
        <v>0</v>
      </c>
      <c r="G14" s="70">
        <f>'- 43 -'!C14</f>
        <v>0.24106578068999676</v>
      </c>
      <c r="H14" s="70">
        <f>'- 43 -'!E14</f>
        <v>0.17349363203257936</v>
      </c>
      <c r="J14" s="131">
        <f t="shared" si="0"/>
        <v>100</v>
      </c>
      <c r="K14" s="497" t="s">
        <v>70</v>
      </c>
      <c r="L14" s="550">
        <f>E48</f>
        <v>0.57343377435032727</v>
      </c>
      <c r="M14" s="512"/>
    </row>
    <row r="15" spans="1:13" ht="14.1" customHeight="1">
      <c r="A15" s="285" t="s">
        <v>113</v>
      </c>
      <c r="B15" s="292">
        <f>'- 41 -'!I15</f>
        <v>62.218472258264292</v>
      </c>
      <c r="C15" s="292">
        <f>'- 42 -'!C15</f>
        <v>0</v>
      </c>
      <c r="D15" s="292">
        <f>'- 42 -'!E15</f>
        <v>34.986809397703524</v>
      </c>
      <c r="E15" s="292">
        <f>'- 42 -'!G15</f>
        <v>0.24183724230610165</v>
      </c>
      <c r="F15" s="292">
        <f>'- 42 -'!I15</f>
        <v>0.49097717423283144</v>
      </c>
      <c r="G15" s="292">
        <f>'- 43 -'!C15</f>
        <v>0.74281509723350092</v>
      </c>
      <c r="H15" s="292">
        <f>'- 43 -'!E15</f>
        <v>1.3190888302597525</v>
      </c>
      <c r="J15" s="131">
        <f t="shared" si="0"/>
        <v>100</v>
      </c>
      <c r="K15" s="497" t="s">
        <v>61</v>
      </c>
      <c r="L15" s="550">
        <f>F48</f>
        <v>4.047820679742105</v>
      </c>
      <c r="M15" s="512"/>
    </row>
    <row r="16" spans="1:13" ht="14.1" customHeight="1">
      <c r="A16" s="19" t="s">
        <v>114</v>
      </c>
      <c r="B16" s="70">
        <f>'- 41 -'!I16</f>
        <v>75.530953444079799</v>
      </c>
      <c r="C16" s="70">
        <f>'- 42 -'!C16</f>
        <v>0</v>
      </c>
      <c r="D16" s="70">
        <f>'- 42 -'!E16</f>
        <v>20.25575152773024</v>
      </c>
      <c r="E16" s="70">
        <f>'- 42 -'!G16</f>
        <v>2.0457904482834657</v>
      </c>
      <c r="F16" s="70">
        <f>'- 42 -'!I16</f>
        <v>0.24967888742562289</v>
      </c>
      <c r="G16" s="70">
        <f>'- 43 -'!C16</f>
        <v>1.7098529471798949</v>
      </c>
      <c r="H16" s="70">
        <f>'- 43 -'!E16</f>
        <v>0.20797274530097851</v>
      </c>
      <c r="J16" s="131">
        <f t="shared" si="0"/>
        <v>100</v>
      </c>
      <c r="K16" s="497" t="s">
        <v>53</v>
      </c>
      <c r="L16" s="550">
        <f>G48</f>
        <v>1.0451242177204101</v>
      </c>
      <c r="M16" s="512"/>
    </row>
    <row r="17" spans="1:13" ht="14.1" customHeight="1">
      <c r="A17" s="285" t="s">
        <v>115</v>
      </c>
      <c r="B17" s="292">
        <f>'- 41 -'!I17</f>
        <v>55.128651737652511</v>
      </c>
      <c r="C17" s="292">
        <f>'- 42 -'!C17</f>
        <v>0</v>
      </c>
      <c r="D17" s="292">
        <f>'- 42 -'!E17</f>
        <v>38.311634748934068</v>
      </c>
      <c r="E17" s="292">
        <f>'- 42 -'!G17</f>
        <v>0.15422123894718373</v>
      </c>
      <c r="F17" s="292">
        <f>'- 42 -'!I17</f>
        <v>4.9819324931280589</v>
      </c>
      <c r="G17" s="292">
        <f>'- 43 -'!C17</f>
        <v>0</v>
      </c>
      <c r="H17" s="292">
        <f>'- 43 -'!E17</f>
        <v>1.4235597813381766</v>
      </c>
      <c r="J17" s="131">
        <f t="shared" si="0"/>
        <v>100</v>
      </c>
      <c r="K17" s="499" t="s">
        <v>24</v>
      </c>
      <c r="L17" s="550">
        <f>H48</f>
        <v>0.34725231453632882</v>
      </c>
      <c r="M17" s="512"/>
    </row>
    <row r="18" spans="1:13" ht="14.1" customHeight="1">
      <c r="A18" s="19" t="s">
        <v>116</v>
      </c>
      <c r="B18" s="70">
        <f>'- 41 -'!I18</f>
        <v>38.650556783969151</v>
      </c>
      <c r="C18" s="70">
        <f>'- 42 -'!C18</f>
        <v>0</v>
      </c>
      <c r="D18" s="70">
        <f>'- 42 -'!E18</f>
        <v>2.2350709297683098</v>
      </c>
      <c r="E18" s="70">
        <f>'- 42 -'!G18</f>
        <v>1.3628193629584753E-2</v>
      </c>
      <c r="F18" s="70">
        <f>'- 42 -'!I18</f>
        <v>55.0168349749828</v>
      </c>
      <c r="G18" s="70">
        <f>'- 43 -'!C18</f>
        <v>3.6620334078094148</v>
      </c>
      <c r="H18" s="70">
        <f>'- 43 -'!E18</f>
        <v>0.42187570984075168</v>
      </c>
      <c r="J18" s="131">
        <f t="shared" si="0"/>
        <v>100.00000000000001</v>
      </c>
      <c r="K18" s="497"/>
      <c r="L18" s="550"/>
      <c r="M18" s="512"/>
    </row>
    <row r="19" spans="1:13" ht="14.1" customHeight="1">
      <c r="A19" s="285" t="s">
        <v>117</v>
      </c>
      <c r="B19" s="292">
        <f>'- 41 -'!I19</f>
        <v>67.147144916574504</v>
      </c>
      <c r="C19" s="292">
        <f>'- 42 -'!C19</f>
        <v>0</v>
      </c>
      <c r="D19" s="292">
        <f>'- 42 -'!E19</f>
        <v>30.750062378904168</v>
      </c>
      <c r="E19" s="292">
        <f>'- 42 -'!G19</f>
        <v>0.83906317126557239</v>
      </c>
      <c r="F19" s="292">
        <f>'- 42 -'!I19</f>
        <v>0</v>
      </c>
      <c r="G19" s="292">
        <f>'- 43 -'!C19</f>
        <v>8.3689931099340836E-2</v>
      </c>
      <c r="H19" s="292">
        <f>'- 43 -'!E19</f>
        <v>1.1800396021564119</v>
      </c>
      <c r="J19" s="131">
        <f t="shared" si="0"/>
        <v>100</v>
      </c>
      <c r="K19" s="497"/>
      <c r="L19" s="550">
        <f>SUM(L11:L17)</f>
        <v>100</v>
      </c>
      <c r="M19" s="512"/>
    </row>
    <row r="20" spans="1:13" ht="14.1" customHeight="1">
      <c r="A20" s="19" t="s">
        <v>118</v>
      </c>
      <c r="B20" s="70">
        <f>'- 41 -'!I20</f>
        <v>70.447899915997368</v>
      </c>
      <c r="C20" s="70">
        <f>'- 42 -'!C20</f>
        <v>0</v>
      </c>
      <c r="D20" s="70">
        <f>'- 42 -'!E20</f>
        <v>28.699578002610217</v>
      </c>
      <c r="E20" s="70">
        <f>'- 42 -'!G20</f>
        <v>0.15153867103549731</v>
      </c>
      <c r="F20" s="70">
        <f>'- 42 -'!I20</f>
        <v>0</v>
      </c>
      <c r="G20" s="70">
        <f>'- 43 -'!C20</f>
        <v>0.51406756773597106</v>
      </c>
      <c r="H20" s="70">
        <f>'- 43 -'!E20</f>
        <v>0.18691584262094996</v>
      </c>
      <c r="J20" s="131">
        <f t="shared" si="0"/>
        <v>100.00000000000001</v>
      </c>
      <c r="K20" s="497"/>
      <c r="L20" s="497"/>
      <c r="M20" s="512"/>
    </row>
    <row r="21" spans="1:13" ht="14.1" customHeight="1">
      <c r="A21" s="285" t="s">
        <v>119</v>
      </c>
      <c r="B21" s="292">
        <f>'- 41 -'!I21</f>
        <v>63.237381524385597</v>
      </c>
      <c r="C21" s="292">
        <f>'- 42 -'!C21</f>
        <v>1.0996564783127398E-2</v>
      </c>
      <c r="D21" s="292">
        <f>'- 42 -'!E21</f>
        <v>35.462560600693948</v>
      </c>
      <c r="E21" s="292">
        <f>'- 42 -'!G21</f>
        <v>0.27828456668421353</v>
      </c>
      <c r="F21" s="292">
        <f>'- 42 -'!I21</f>
        <v>0</v>
      </c>
      <c r="G21" s="292">
        <f>'- 43 -'!C21</f>
        <v>0.59976089069535576</v>
      </c>
      <c r="H21" s="292">
        <f>'- 43 -'!E21</f>
        <v>0.41101585275775704</v>
      </c>
      <c r="J21" s="131">
        <f t="shared" si="0"/>
        <v>100</v>
      </c>
      <c r="K21" s="512"/>
      <c r="L21" s="512"/>
      <c r="M21" s="512"/>
    </row>
    <row r="22" spans="1:13" ht="14.1" customHeight="1">
      <c r="A22" s="19" t="s">
        <v>120</v>
      </c>
      <c r="B22" s="70">
        <f>'- 41 -'!I22</f>
        <v>82.453165177052384</v>
      </c>
      <c r="C22" s="70">
        <f>'- 42 -'!C22</f>
        <v>0</v>
      </c>
      <c r="D22" s="70">
        <f>'- 42 -'!E22</f>
        <v>16.690374047000812</v>
      </c>
      <c r="E22" s="70">
        <f>'- 42 -'!G22</f>
        <v>0.12016849049349509</v>
      </c>
      <c r="F22" s="70">
        <f>'- 42 -'!I22</f>
        <v>9.4688073112021473E-2</v>
      </c>
      <c r="G22" s="70">
        <f>'- 43 -'!C22</f>
        <v>0</v>
      </c>
      <c r="H22" s="70">
        <f>'- 43 -'!E22</f>
        <v>0.64160421234128517</v>
      </c>
      <c r="J22" s="131">
        <f t="shared" si="0"/>
        <v>100.00000000000001</v>
      </c>
      <c r="K22" s="512"/>
      <c r="L22" s="512"/>
      <c r="M22" s="512"/>
    </row>
    <row r="23" spans="1:13" ht="14.1" customHeight="1">
      <c r="A23" s="285" t="s">
        <v>121</v>
      </c>
      <c r="B23" s="292">
        <f>'- 41 -'!I23</f>
        <v>70.148079676463738</v>
      </c>
      <c r="C23" s="292">
        <f>'- 42 -'!C23</f>
        <v>0</v>
      </c>
      <c r="D23" s="292">
        <f>'- 42 -'!E23</f>
        <v>19.994248068390071</v>
      </c>
      <c r="E23" s="292">
        <f>'- 42 -'!G23</f>
        <v>0.60518554195121776</v>
      </c>
      <c r="F23" s="292">
        <f>'- 42 -'!I23</f>
        <v>6.2592319752506453</v>
      </c>
      <c r="G23" s="292">
        <f>'- 43 -'!C23</f>
        <v>0.80664851656625491</v>
      </c>
      <c r="H23" s="292">
        <f>'- 43 -'!E23</f>
        <v>2.1866062213780784</v>
      </c>
      <c r="J23" s="131">
        <f t="shared" si="0"/>
        <v>100.00000000000001</v>
      </c>
      <c r="K23" s="512"/>
      <c r="L23" s="512"/>
      <c r="M23" s="512"/>
    </row>
    <row r="24" spans="1:13" ht="14.1" customHeight="1">
      <c r="A24" s="19" t="s">
        <v>122</v>
      </c>
      <c r="B24" s="70">
        <f>'- 41 -'!I24</f>
        <v>59.985877310119143</v>
      </c>
      <c r="C24" s="70">
        <f>'- 42 -'!C24</f>
        <v>7.0653470826523457E-2</v>
      </c>
      <c r="D24" s="70">
        <f>'- 42 -'!E24</f>
        <v>37.253293597745241</v>
      </c>
      <c r="E24" s="70">
        <f>'- 42 -'!G24</f>
        <v>0.31260210900366808</v>
      </c>
      <c r="F24" s="70">
        <f>'- 42 -'!I24</f>
        <v>0.86552067818144474</v>
      </c>
      <c r="G24" s="70">
        <f>'- 43 -'!C24</f>
        <v>1.0770930568713806</v>
      </c>
      <c r="H24" s="70">
        <f>'- 43 -'!E24</f>
        <v>0.43495977725259616</v>
      </c>
      <c r="J24" s="131">
        <f t="shared" si="0"/>
        <v>99.999999999999986</v>
      </c>
      <c r="K24" s="512"/>
      <c r="L24" s="512"/>
      <c r="M24" s="512"/>
    </row>
    <row r="25" spans="1:13" ht="14.1" customHeight="1">
      <c r="A25" s="285" t="s">
        <v>123</v>
      </c>
      <c r="B25" s="292">
        <f>'- 41 -'!I25</f>
        <v>60.762720200963884</v>
      </c>
      <c r="C25" s="292">
        <f>'- 42 -'!C25</f>
        <v>0.14111450573828882</v>
      </c>
      <c r="D25" s="292">
        <f>'- 42 -'!E25</f>
        <v>36.112934143563116</v>
      </c>
      <c r="E25" s="292">
        <f>'- 42 -'!G25</f>
        <v>0.34025410772864445</v>
      </c>
      <c r="F25" s="292">
        <f>'- 42 -'!I25</f>
        <v>1.2687871402471572E-2</v>
      </c>
      <c r="G25" s="292">
        <f>'- 43 -'!C25</f>
        <v>2.4841173946685644</v>
      </c>
      <c r="H25" s="292">
        <f>'- 43 -'!E25</f>
        <v>0.1461717759350285</v>
      </c>
      <c r="J25" s="131">
        <f t="shared" si="0"/>
        <v>100</v>
      </c>
      <c r="K25" s="512"/>
      <c r="L25" s="512"/>
      <c r="M25" s="512"/>
    </row>
    <row r="26" spans="1:13" ht="14.1" customHeight="1">
      <c r="A26" s="19" t="s">
        <v>124</v>
      </c>
      <c r="B26" s="70">
        <f>'- 41 -'!I26</f>
        <v>67.603126847363342</v>
      </c>
      <c r="C26" s="70">
        <f>'- 42 -'!C26</f>
        <v>0</v>
      </c>
      <c r="D26" s="70">
        <f>'- 42 -'!E26</f>
        <v>27.048711320746715</v>
      </c>
      <c r="E26" s="70">
        <f>'- 42 -'!G26</f>
        <v>1.3102162796785972</v>
      </c>
      <c r="F26" s="70">
        <f>'- 42 -'!I26</f>
        <v>2.4159233184326729</v>
      </c>
      <c r="G26" s="70">
        <f>'- 43 -'!C26</f>
        <v>1.4131411370094284</v>
      </c>
      <c r="H26" s="70">
        <f>'- 43 -'!E26</f>
        <v>0.20888109676924019</v>
      </c>
      <c r="J26" s="131">
        <f t="shared" si="0"/>
        <v>100.00000000000001</v>
      </c>
      <c r="K26" s="512"/>
      <c r="L26" s="512"/>
      <c r="M26" s="512"/>
    </row>
    <row r="27" spans="1:13" ht="14.1" customHeight="1">
      <c r="A27" s="285" t="s">
        <v>125</v>
      </c>
      <c r="B27" s="292">
        <f>'- 41 -'!I27</f>
        <v>77.210340079902153</v>
      </c>
      <c r="C27" s="292">
        <f>'- 42 -'!C27</f>
        <v>6.902070291790291E-2</v>
      </c>
      <c r="D27" s="292">
        <f>'- 42 -'!E27</f>
        <v>20.403859900364409</v>
      </c>
      <c r="E27" s="292">
        <f>'- 42 -'!G27</f>
        <v>0.38547779627940454</v>
      </c>
      <c r="F27" s="292">
        <f>'- 42 -'!I27</f>
        <v>1.0175821556992999</v>
      </c>
      <c r="G27" s="292">
        <f>'- 43 -'!C27</f>
        <v>0.4314915982246732</v>
      </c>
      <c r="H27" s="292">
        <f>'- 43 -'!E27</f>
        <v>0.48222776661216188</v>
      </c>
      <c r="J27" s="131">
        <f t="shared" si="0"/>
        <v>99.999999999999986</v>
      </c>
      <c r="K27" s="512"/>
      <c r="L27" s="512"/>
      <c r="M27" s="512"/>
    </row>
    <row r="28" spans="1:13" ht="14.1" customHeight="1">
      <c r="A28" s="19" t="s">
        <v>126</v>
      </c>
      <c r="B28" s="70">
        <f>'- 41 -'!I28</f>
        <v>49.996945235109443</v>
      </c>
      <c r="C28" s="70">
        <f>'- 42 -'!C28</f>
        <v>0</v>
      </c>
      <c r="D28" s="70">
        <f>'- 42 -'!E28</f>
        <v>23.853595253427248</v>
      </c>
      <c r="E28" s="70">
        <f>'- 42 -'!G28</f>
        <v>0.22856110295269264</v>
      </c>
      <c r="F28" s="70">
        <f>'- 42 -'!I28</f>
        <v>25.795577577335688</v>
      </c>
      <c r="G28" s="70">
        <f>'- 43 -'!C28</f>
        <v>6.0376529601642123E-2</v>
      </c>
      <c r="H28" s="70">
        <f>'- 43 -'!E28</f>
        <v>6.4944301573290175E-2</v>
      </c>
      <c r="J28" s="131">
        <f t="shared" si="0"/>
        <v>100.00000000000001</v>
      </c>
      <c r="K28" s="512"/>
      <c r="L28" s="512"/>
      <c r="M28" s="512"/>
    </row>
    <row r="29" spans="1:13" ht="14.1" customHeight="1">
      <c r="A29" s="285" t="s">
        <v>127</v>
      </c>
      <c r="B29" s="292">
        <f>'- 41 -'!I29</f>
        <v>52.678573067396172</v>
      </c>
      <c r="C29" s="292">
        <f>'- 42 -'!C29</f>
        <v>6.0793350562448903E-2</v>
      </c>
      <c r="D29" s="292">
        <f>'- 42 -'!E29</f>
        <v>44.28217348459598</v>
      </c>
      <c r="E29" s="292">
        <f>'- 42 -'!G29</f>
        <v>0.36880255266295642</v>
      </c>
      <c r="F29" s="292">
        <f>'- 42 -'!I29</f>
        <v>2.48072201790198E-2</v>
      </c>
      <c r="G29" s="292">
        <f>'- 43 -'!C29</f>
        <v>2.0171903386276386</v>
      </c>
      <c r="H29" s="292">
        <f>'- 43 -'!E29</f>
        <v>0.56765998597577683</v>
      </c>
      <c r="J29" s="131">
        <f t="shared" si="0"/>
        <v>99.999999999999986</v>
      </c>
      <c r="K29" s="512"/>
      <c r="L29" s="512"/>
      <c r="M29" s="512"/>
    </row>
    <row r="30" spans="1:13" ht="14.1" customHeight="1">
      <c r="A30" s="19" t="s">
        <v>128</v>
      </c>
      <c r="B30" s="70">
        <f>'- 41 -'!I30</f>
        <v>65.995723847043081</v>
      </c>
      <c r="C30" s="70">
        <f>'- 42 -'!C30</f>
        <v>0</v>
      </c>
      <c r="D30" s="70">
        <f>'- 42 -'!E30</f>
        <v>33.541715216801343</v>
      </c>
      <c r="E30" s="70">
        <f>'- 42 -'!G30</f>
        <v>0.24991047488776161</v>
      </c>
      <c r="F30" s="70">
        <f>'- 42 -'!I30</f>
        <v>0</v>
      </c>
      <c r="G30" s="70">
        <f>'- 43 -'!C30</f>
        <v>1.0791113392643097E-2</v>
      </c>
      <c r="H30" s="70">
        <f>'- 43 -'!E30</f>
        <v>0.20185934787517193</v>
      </c>
      <c r="J30" s="131">
        <f t="shared" si="0"/>
        <v>100</v>
      </c>
      <c r="K30" s="512"/>
      <c r="L30" s="512"/>
      <c r="M30" s="512"/>
    </row>
    <row r="31" spans="1:13" ht="14.1" customHeight="1">
      <c r="A31" s="285" t="s">
        <v>129</v>
      </c>
      <c r="B31" s="292">
        <f>'- 41 -'!I31</f>
        <v>62.71797162057856</v>
      </c>
      <c r="C31" s="292">
        <f>'- 42 -'!C31</f>
        <v>0</v>
      </c>
      <c r="D31" s="292">
        <f>'- 42 -'!E31</f>
        <v>32.999625644984746</v>
      </c>
      <c r="E31" s="292">
        <f>'- 42 -'!G31</f>
        <v>0.42343019306151192</v>
      </c>
      <c r="F31" s="292">
        <f>'- 42 -'!I31</f>
        <v>3.4562999470642946</v>
      </c>
      <c r="G31" s="292">
        <f>'- 43 -'!C31</f>
        <v>2.5349567231396055E-2</v>
      </c>
      <c r="H31" s="292">
        <f>'- 43 -'!E31</f>
        <v>0.37732302707949039</v>
      </c>
      <c r="J31" s="131">
        <f t="shared" si="0"/>
        <v>100</v>
      </c>
      <c r="K31" s="512"/>
      <c r="L31" s="512"/>
      <c r="M31" s="512"/>
    </row>
    <row r="32" spans="1:13" ht="14.1" customHeight="1">
      <c r="A32" s="19" t="s">
        <v>130</v>
      </c>
      <c r="B32" s="70">
        <f>'- 41 -'!I32</f>
        <v>58.533497393759959</v>
      </c>
      <c r="C32" s="70">
        <f>'- 42 -'!C32</f>
        <v>0</v>
      </c>
      <c r="D32" s="70">
        <f>'- 42 -'!E32</f>
        <v>40.727869126329566</v>
      </c>
      <c r="E32" s="70">
        <f>'- 42 -'!G32</f>
        <v>0.30986037900823998</v>
      </c>
      <c r="F32" s="70">
        <f>'- 42 -'!I32</f>
        <v>1.8584864607909705E-2</v>
      </c>
      <c r="G32" s="70">
        <f>'- 43 -'!C32</f>
        <v>1.1468550996226462E-2</v>
      </c>
      <c r="H32" s="70">
        <f>'- 43 -'!E32</f>
        <v>0.39871968529809482</v>
      </c>
      <c r="J32" s="131">
        <f t="shared" si="0"/>
        <v>100</v>
      </c>
      <c r="K32" s="512"/>
      <c r="L32" s="512"/>
      <c r="M32" s="512"/>
    </row>
    <row r="33" spans="1:13" ht="14.1" customHeight="1">
      <c r="A33" s="285" t="s">
        <v>131</v>
      </c>
      <c r="B33" s="292">
        <f>'- 41 -'!I33</f>
        <v>62.135123773298496</v>
      </c>
      <c r="C33" s="292">
        <f>'- 42 -'!C33</f>
        <v>5.9000272032326863E-2</v>
      </c>
      <c r="D33" s="292">
        <f>'- 42 -'!E33</f>
        <v>36.149496641479587</v>
      </c>
      <c r="E33" s="292">
        <f>'- 42 -'!G33</f>
        <v>0.12603882432958979</v>
      </c>
      <c r="F33" s="292">
        <f>'- 42 -'!I33</f>
        <v>0.91238711680848117</v>
      </c>
      <c r="G33" s="292">
        <f>'- 43 -'!C33</f>
        <v>0.45940534494869534</v>
      </c>
      <c r="H33" s="292">
        <f>'- 43 -'!E33</f>
        <v>0.1585480271028247</v>
      </c>
      <c r="J33" s="131">
        <f t="shared" si="0"/>
        <v>99.999999999999986</v>
      </c>
      <c r="K33" s="512"/>
      <c r="L33" s="512"/>
      <c r="M33" s="512"/>
    </row>
    <row r="34" spans="1:13" ht="14.1" customHeight="1">
      <c r="A34" s="19" t="s">
        <v>132</v>
      </c>
      <c r="B34" s="70">
        <f>'- 41 -'!I34</f>
        <v>56.389103326448151</v>
      </c>
      <c r="C34" s="70">
        <f>'- 42 -'!C34</f>
        <v>7.3129003317406988E-2</v>
      </c>
      <c r="D34" s="70">
        <f>'- 42 -'!E34</f>
        <v>39.552563861823394</v>
      </c>
      <c r="E34" s="70">
        <f>'- 42 -'!G34</f>
        <v>3.0113675088846699</v>
      </c>
      <c r="F34" s="70">
        <f>'- 42 -'!I34</f>
        <v>0</v>
      </c>
      <c r="G34" s="70">
        <f>'- 43 -'!C34</f>
        <v>0.53609505727221518</v>
      </c>
      <c r="H34" s="70">
        <f>'- 43 -'!E34</f>
        <v>0.43774124225416761</v>
      </c>
      <c r="J34" s="131">
        <f t="shared" si="0"/>
        <v>100</v>
      </c>
      <c r="K34" s="512"/>
      <c r="L34" s="512"/>
      <c r="M34" s="512"/>
    </row>
    <row r="35" spans="1:13" ht="14.1" customHeight="1">
      <c r="A35" s="285" t="s">
        <v>133</v>
      </c>
      <c r="B35" s="292">
        <f>'- 41 -'!I35</f>
        <v>66.289131215715216</v>
      </c>
      <c r="C35" s="292">
        <f>'- 42 -'!C35</f>
        <v>0.25771713509264438</v>
      </c>
      <c r="D35" s="292">
        <f>'- 42 -'!E35</f>
        <v>31.802895109160861</v>
      </c>
      <c r="E35" s="292">
        <f>'- 42 -'!G35</f>
        <v>0.43981433337866799</v>
      </c>
      <c r="F35" s="292">
        <f>'- 42 -'!I35</f>
        <v>6.1250776795962608E-2</v>
      </c>
      <c r="G35" s="292">
        <f>'- 43 -'!C35</f>
        <v>1.0220723843713282</v>
      </c>
      <c r="H35" s="292">
        <f>'- 43 -'!E35</f>
        <v>0.12711904548531686</v>
      </c>
      <c r="J35" s="131">
        <f t="shared" si="0"/>
        <v>99.999999999999986</v>
      </c>
      <c r="K35" s="512"/>
      <c r="L35" s="512"/>
      <c r="M35" s="512"/>
    </row>
    <row r="36" spans="1:13" ht="14.1" customHeight="1">
      <c r="A36" s="19" t="s">
        <v>134</v>
      </c>
      <c r="B36" s="70">
        <f>'- 41 -'!I36</f>
        <v>58.290703654685203</v>
      </c>
      <c r="C36" s="70">
        <f>'- 42 -'!C36</f>
        <v>0.39335691843724102</v>
      </c>
      <c r="D36" s="70">
        <f>'- 42 -'!E36</f>
        <v>33.910656674265269</v>
      </c>
      <c r="E36" s="70">
        <f>'- 42 -'!G36</f>
        <v>0.47103379139874935</v>
      </c>
      <c r="F36" s="70">
        <f>'- 42 -'!I36</f>
        <v>5.671399567942192</v>
      </c>
      <c r="G36" s="70">
        <f>'- 43 -'!C36</f>
        <v>0.2633244326151668</v>
      </c>
      <c r="H36" s="70">
        <f>'- 43 -'!E36</f>
        <v>0.99952496065618035</v>
      </c>
      <c r="J36" s="131">
        <f t="shared" si="0"/>
        <v>99.999999999999986</v>
      </c>
      <c r="K36" s="512"/>
      <c r="L36" s="512"/>
      <c r="M36" s="512"/>
    </row>
    <row r="37" spans="1:13" ht="14.1" customHeight="1">
      <c r="A37" s="285" t="s">
        <v>135</v>
      </c>
      <c r="B37" s="292">
        <f>'- 41 -'!I37</f>
        <v>72.401367600292758</v>
      </c>
      <c r="C37" s="292">
        <f>'- 42 -'!C37</f>
        <v>3.1701477565044697E-2</v>
      </c>
      <c r="D37" s="292">
        <f>'- 42 -'!E37</f>
        <v>26.659849547219238</v>
      </c>
      <c r="E37" s="292">
        <f>'- 42 -'!G37</f>
        <v>0.60539595866149865</v>
      </c>
      <c r="F37" s="292">
        <f>'- 42 -'!I37</f>
        <v>6.6342004993244413E-2</v>
      </c>
      <c r="G37" s="292">
        <f>'- 43 -'!C37</f>
        <v>0.10451140530508163</v>
      </c>
      <c r="H37" s="292">
        <f>'- 43 -'!E37</f>
        <v>0.13083200596313088</v>
      </c>
      <c r="J37" s="131">
        <f t="shared" si="0"/>
        <v>100</v>
      </c>
      <c r="K37" s="512"/>
      <c r="L37" s="512"/>
      <c r="M37" s="512"/>
    </row>
    <row r="38" spans="1:13" ht="14.1" customHeight="1">
      <c r="A38" s="19" t="s">
        <v>136</v>
      </c>
      <c r="B38" s="70">
        <f>'- 41 -'!I38</f>
        <v>69.129882209297293</v>
      </c>
      <c r="C38" s="70">
        <f>'- 42 -'!C38</f>
        <v>0.68585965811147498</v>
      </c>
      <c r="D38" s="70">
        <f>'- 42 -'!E38</f>
        <v>27.691427733643614</v>
      </c>
      <c r="E38" s="70">
        <f>'- 42 -'!G38</f>
        <v>0.87355821307319759</v>
      </c>
      <c r="F38" s="70">
        <f>'- 42 -'!I38</f>
        <v>0.58386387114629457</v>
      </c>
      <c r="G38" s="70">
        <f>'- 43 -'!C38</f>
        <v>0.83295381805895319</v>
      </c>
      <c r="H38" s="70">
        <f>'- 43 -'!E38</f>
        <v>0.20245449666916859</v>
      </c>
      <c r="J38" s="131">
        <f t="shared" si="0"/>
        <v>99.999999999999972</v>
      </c>
      <c r="K38" s="512"/>
      <c r="L38" s="512"/>
      <c r="M38" s="512"/>
    </row>
    <row r="39" spans="1:13" ht="14.1" customHeight="1">
      <c r="A39" s="285" t="s">
        <v>137</v>
      </c>
      <c r="B39" s="292">
        <f>'- 41 -'!I39</f>
        <v>54.173411442440724</v>
      </c>
      <c r="C39" s="292">
        <f>'- 42 -'!C39</f>
        <v>0</v>
      </c>
      <c r="D39" s="292">
        <f>'- 42 -'!E39</f>
        <v>45.16298771877247</v>
      </c>
      <c r="E39" s="292">
        <f>'- 42 -'!G39</f>
        <v>0.43143931108335182</v>
      </c>
      <c r="F39" s="292">
        <f>'- 42 -'!I39</f>
        <v>0</v>
      </c>
      <c r="G39" s="292">
        <f>'- 43 -'!C39</f>
        <v>0</v>
      </c>
      <c r="H39" s="292">
        <f>'- 43 -'!E39</f>
        <v>0.23216152770345228</v>
      </c>
      <c r="J39" s="131">
        <f t="shared" si="0"/>
        <v>100</v>
      </c>
      <c r="K39" s="512"/>
      <c r="L39" s="512"/>
      <c r="M39" s="512"/>
    </row>
    <row r="40" spans="1:13" ht="14.1" customHeight="1">
      <c r="A40" s="19" t="s">
        <v>138</v>
      </c>
      <c r="B40" s="70">
        <f>'- 41 -'!I40</f>
        <v>56.247760981050895</v>
      </c>
      <c r="C40" s="70">
        <f>'- 42 -'!C40</f>
        <v>0</v>
      </c>
      <c r="D40" s="70">
        <f>'- 42 -'!E40</f>
        <v>39.412790949117387</v>
      </c>
      <c r="E40" s="70">
        <f>'- 42 -'!G40</f>
        <v>0.67884626162564943</v>
      </c>
      <c r="F40" s="70">
        <f>'- 42 -'!I40</f>
        <v>0.17310068941932638</v>
      </c>
      <c r="G40" s="70">
        <f>'- 43 -'!C40</f>
        <v>2.6983700443143626</v>
      </c>
      <c r="H40" s="70">
        <f>'- 43 -'!E40</f>
        <v>0.78913107447238173</v>
      </c>
      <c r="J40" s="131">
        <f t="shared" si="0"/>
        <v>100</v>
      </c>
      <c r="K40" s="512"/>
      <c r="L40" s="512"/>
      <c r="M40" s="512"/>
    </row>
    <row r="41" spans="1:13" ht="14.1" customHeight="1">
      <c r="A41" s="285" t="s">
        <v>139</v>
      </c>
      <c r="B41" s="292">
        <f>'- 41 -'!I41</f>
        <v>59.515887383726977</v>
      </c>
      <c r="C41" s="292">
        <f>'- 42 -'!C41</f>
        <v>0</v>
      </c>
      <c r="D41" s="292">
        <f>'- 42 -'!E41</f>
        <v>39.435610909317226</v>
      </c>
      <c r="E41" s="292">
        <f>'- 42 -'!G41</f>
        <v>0.23926815904096485</v>
      </c>
      <c r="F41" s="292">
        <f>'- 42 -'!I41</f>
        <v>0.52348744463210539</v>
      </c>
      <c r="G41" s="292">
        <f>'- 43 -'!C41</f>
        <v>7.1267008714172325E-2</v>
      </c>
      <c r="H41" s="292">
        <f>'- 43 -'!E41</f>
        <v>0.21447909456855865</v>
      </c>
      <c r="J41" s="131">
        <f t="shared" si="0"/>
        <v>100.00000000000001</v>
      </c>
      <c r="K41" s="512"/>
      <c r="L41" s="512"/>
      <c r="M41" s="512"/>
    </row>
    <row r="42" spans="1:13" ht="14.1" customHeight="1">
      <c r="A42" s="19" t="s">
        <v>140</v>
      </c>
      <c r="B42" s="70">
        <f>'- 41 -'!I42</f>
        <v>71.451692576433416</v>
      </c>
      <c r="C42" s="70">
        <f>'- 42 -'!C42</f>
        <v>9.5780090801605169E-2</v>
      </c>
      <c r="D42" s="70">
        <f>'- 42 -'!E42</f>
        <v>25.571706022502795</v>
      </c>
      <c r="E42" s="70">
        <f>'- 42 -'!G42</f>
        <v>0.15909796039911425</v>
      </c>
      <c r="F42" s="70">
        <f>'- 42 -'!I42</f>
        <v>0.99444021852792375</v>
      </c>
      <c r="G42" s="70">
        <f>'- 43 -'!C42</f>
        <v>1.2406427765509547</v>
      </c>
      <c r="H42" s="70">
        <f>'- 43 -'!E42</f>
        <v>0.48664035478419898</v>
      </c>
      <c r="J42" s="131">
        <f t="shared" si="0"/>
        <v>100.00000000000001</v>
      </c>
      <c r="K42" s="512"/>
      <c r="L42" s="512"/>
      <c r="M42" s="512"/>
    </row>
    <row r="43" spans="1:13" ht="14.1" customHeight="1">
      <c r="A43" s="285" t="s">
        <v>141</v>
      </c>
      <c r="B43" s="292">
        <f>'- 41 -'!I43</f>
        <v>59.97152293694451</v>
      </c>
      <c r="C43" s="292">
        <f>'- 42 -'!C43</f>
        <v>8.0107475240495988E-4</v>
      </c>
      <c r="D43" s="292">
        <f>'- 42 -'!E43</f>
        <v>39.513935305660752</v>
      </c>
      <c r="E43" s="292">
        <f>'- 42 -'!G43</f>
        <v>0.26282881162238925</v>
      </c>
      <c r="F43" s="292">
        <f>'- 42 -'!I43</f>
        <v>0</v>
      </c>
      <c r="G43" s="292">
        <f>'- 43 -'!C43</f>
        <v>0.13720503187857905</v>
      </c>
      <c r="H43" s="292">
        <f>'- 43 -'!E43</f>
        <v>0.11370683914136688</v>
      </c>
      <c r="J43" s="131">
        <f t="shared" si="0"/>
        <v>100</v>
      </c>
      <c r="K43" s="512"/>
      <c r="L43" s="512"/>
      <c r="M43" s="512"/>
    </row>
    <row r="44" spans="1:13" ht="14.1" customHeight="1">
      <c r="A44" s="19" t="s">
        <v>142</v>
      </c>
      <c r="B44" s="70">
        <f>'- 41 -'!I44</f>
        <v>78.948029221175403</v>
      </c>
      <c r="C44" s="70">
        <f>'- 42 -'!C44</f>
        <v>0</v>
      </c>
      <c r="D44" s="70">
        <f>'- 42 -'!E44</f>
        <v>20.64462323460101</v>
      </c>
      <c r="E44" s="70">
        <f>'- 42 -'!G44</f>
        <v>0.24070015708109885</v>
      </c>
      <c r="F44" s="70">
        <f>'- 42 -'!I44</f>
        <v>0</v>
      </c>
      <c r="G44" s="70">
        <f>'- 43 -'!C44</f>
        <v>0.11503351463139548</v>
      </c>
      <c r="H44" s="70">
        <f>'- 43 -'!E44</f>
        <v>5.1613872511089835E-2</v>
      </c>
      <c r="J44" s="131">
        <f t="shared" si="0"/>
        <v>99.999999999999986</v>
      </c>
      <c r="K44" s="512"/>
      <c r="L44" s="512"/>
      <c r="M44" s="512"/>
    </row>
    <row r="45" spans="1:13" ht="14.1" customHeight="1">
      <c r="A45" s="285" t="s">
        <v>143</v>
      </c>
      <c r="B45" s="292">
        <f>'- 41 -'!I45</f>
        <v>66.913732170102108</v>
      </c>
      <c r="C45" s="292">
        <f>'- 42 -'!C45</f>
        <v>9.7826248350090531E-2</v>
      </c>
      <c r="D45" s="292">
        <f>'- 42 -'!E45</f>
        <v>31.416761334848719</v>
      </c>
      <c r="E45" s="292">
        <f>'- 42 -'!G45</f>
        <v>0.34541621481658424</v>
      </c>
      <c r="F45" s="292">
        <f>'- 42 -'!I45</f>
        <v>0</v>
      </c>
      <c r="G45" s="292">
        <f>'- 43 -'!C45</f>
        <v>1.142468037929097</v>
      </c>
      <c r="H45" s="292">
        <f>'- 43 -'!E45</f>
        <v>8.3795993953392781E-2</v>
      </c>
      <c r="J45" s="131">
        <f t="shared" si="0"/>
        <v>99.999999999999972</v>
      </c>
      <c r="K45" s="512"/>
      <c r="L45" s="512"/>
      <c r="M45" s="512"/>
    </row>
    <row r="46" spans="1:13" ht="14.1" customHeight="1">
      <c r="A46" s="19" t="s">
        <v>144</v>
      </c>
      <c r="B46" s="70">
        <f>'- 41 -'!I46</f>
        <v>62.037653361372691</v>
      </c>
      <c r="C46" s="70">
        <f>'- 42 -'!C46</f>
        <v>1.0222755554027541</v>
      </c>
      <c r="D46" s="70">
        <f>'- 42 -'!E46</f>
        <v>35.344350477877029</v>
      </c>
      <c r="E46" s="70">
        <f>'- 42 -'!G46</f>
        <v>0.63186877180253065</v>
      </c>
      <c r="F46" s="70">
        <f>'- 42 -'!I46</f>
        <v>0.56540802319618244</v>
      </c>
      <c r="G46" s="70">
        <f>'- 43 -'!C46</f>
        <v>0.19602342333038819</v>
      </c>
      <c r="H46" s="70">
        <f>'- 43 -'!E46</f>
        <v>0.20242038701843074</v>
      </c>
      <c r="J46" s="131">
        <f t="shared" si="0"/>
        <v>100.00000000000001</v>
      </c>
      <c r="K46" s="512"/>
      <c r="L46" s="512"/>
      <c r="M46" s="512"/>
    </row>
    <row r="47" spans="1:13" ht="5.0999999999999996" customHeight="1">
      <c r="A47" s="21"/>
      <c r="B47"/>
      <c r="C47"/>
      <c r="D47"/>
      <c r="E47"/>
      <c r="F47"/>
      <c r="G47"/>
      <c r="H47"/>
      <c r="J47" s="131"/>
      <c r="K47" s="512"/>
      <c r="L47" s="512"/>
      <c r="M47" s="512"/>
    </row>
    <row r="48" spans="1:13" ht="14.1" customHeight="1">
      <c r="A48" s="287" t="s">
        <v>145</v>
      </c>
      <c r="B48" s="295">
        <f>'- 41 -'!I48</f>
        <v>61.875479443514827</v>
      </c>
      <c r="C48" s="295">
        <f>'- 42 -'!C48</f>
        <v>0.26551628482217027</v>
      </c>
      <c r="D48" s="295">
        <f>'- 42 -'!E48</f>
        <v>31.845373285313833</v>
      </c>
      <c r="E48" s="295">
        <f>'- 42 -'!G48</f>
        <v>0.57343377435032727</v>
      </c>
      <c r="F48" s="295">
        <f>'- 42 -'!I48</f>
        <v>4.047820679742105</v>
      </c>
      <c r="G48" s="295">
        <f>'- 43 -'!C48</f>
        <v>1.0451242177204101</v>
      </c>
      <c r="H48" s="295">
        <f>'- 43 -'!E48</f>
        <v>0.34725231453632882</v>
      </c>
      <c r="J48" s="131">
        <f>SUM(B48:H48)</f>
        <v>100</v>
      </c>
      <c r="K48" s="512"/>
      <c r="L48" s="512"/>
      <c r="M48" s="512"/>
    </row>
    <row r="49" spans="1:13" ht="5.0999999999999996" customHeight="1">
      <c r="A49" s="21" t="s">
        <v>7</v>
      </c>
      <c r="B49"/>
      <c r="C49"/>
      <c r="D49"/>
      <c r="E49"/>
      <c r="F49"/>
      <c r="G49"/>
      <c r="H49"/>
      <c r="J49" s="131"/>
      <c r="K49" s="512"/>
      <c r="L49" s="512"/>
      <c r="M49" s="512"/>
    </row>
    <row r="50" spans="1:13" ht="14.1" customHeight="1">
      <c r="A50" s="19" t="s">
        <v>146</v>
      </c>
      <c r="B50" s="70">
        <f>'- 41 -'!I50</f>
        <v>43.261344704056896</v>
      </c>
      <c r="C50" s="70">
        <f>'- 42 -'!C50</f>
        <v>0</v>
      </c>
      <c r="D50" s="70">
        <f>'- 42 -'!E50</f>
        <v>55.75979545091608</v>
      </c>
      <c r="E50" s="70">
        <f>'- 42 -'!G50</f>
        <v>0</v>
      </c>
      <c r="F50" s="70">
        <f>'- 42 -'!I50</f>
        <v>0</v>
      </c>
      <c r="G50" s="70">
        <f>'- 43 -'!C50</f>
        <v>0</v>
      </c>
      <c r="H50" s="70">
        <f>'- 43 -'!E50</f>
        <v>0.97885984502701662</v>
      </c>
      <c r="J50" s="131">
        <f>SUM(B50:H50)</f>
        <v>100</v>
      </c>
      <c r="K50" s="512"/>
      <c r="L50" s="512"/>
      <c r="M50" s="512"/>
    </row>
    <row r="51" spans="1:13" ht="14.1" customHeight="1">
      <c r="A51" s="285" t="s">
        <v>612</v>
      </c>
      <c r="B51" s="292">
        <f>'- 41 -'!I51</f>
        <v>34.332105210012948</v>
      </c>
      <c r="C51" s="292">
        <f>'- 42 -'!C51</f>
        <v>16.598020417748142</v>
      </c>
      <c r="D51" s="292">
        <f>'- 42 -'!E51</f>
        <v>0</v>
      </c>
      <c r="E51" s="292">
        <f>'- 42 -'!G51</f>
        <v>4.7521232427127602</v>
      </c>
      <c r="F51" s="292">
        <f>'- 42 -'!I51</f>
        <v>0</v>
      </c>
      <c r="G51" s="292">
        <f>'- 43 -'!C51</f>
        <v>43.106092717280262</v>
      </c>
      <c r="H51" s="292">
        <f>'- 43 -'!E51</f>
        <v>1.2116584122458913</v>
      </c>
      <c r="J51" s="131"/>
      <c r="K51" s="512"/>
      <c r="L51" s="512"/>
      <c r="M51" s="512"/>
    </row>
    <row r="52" spans="1:13" ht="50.1" customHeight="1">
      <c r="A52" s="23"/>
      <c r="B52" s="23"/>
      <c r="C52" s="23"/>
      <c r="D52" s="23"/>
      <c r="E52" s="23"/>
      <c r="F52" s="23"/>
      <c r="G52" s="23"/>
      <c r="H52" s="23"/>
    </row>
    <row r="53" spans="1:13" ht="15" customHeight="1">
      <c r="A53" s="619" t="e">
        <f>"(1)  The portion shown here is comprised of operating support only. The total provincial contribution to K-12 public school education, which also
       includes teachers' retirement allowances, capital support and the education property tax credit, is "&amp;ROUND(#REF!*100,1)&amp;"% in "&amp;Data!B5&amp;". See page i for more
       information."</f>
        <v>#REF!</v>
      </c>
      <c r="B53" s="619"/>
      <c r="C53" s="619"/>
      <c r="D53" s="619"/>
      <c r="E53" s="619"/>
      <c r="F53" s="619"/>
      <c r="G53" s="619"/>
      <c r="H53" s="619"/>
    </row>
    <row r="54" spans="1:13">
      <c r="A54" s="620"/>
      <c r="B54" s="620"/>
      <c r="C54" s="620"/>
      <c r="D54" s="620"/>
      <c r="E54" s="620"/>
      <c r="F54" s="620"/>
      <c r="G54" s="620"/>
      <c r="H54" s="620"/>
    </row>
    <row r="55" spans="1:13">
      <c r="A55" s="620"/>
      <c r="B55" s="620"/>
      <c r="C55" s="620"/>
      <c r="D55" s="620"/>
      <c r="E55" s="620"/>
      <c r="F55" s="620"/>
      <c r="G55" s="620"/>
      <c r="H55" s="620"/>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sheetPr codeName="Sheet36">
    <pageSetUpPr fitToPage="1"/>
  </sheetPr>
  <dimension ref="A1:I62"/>
  <sheetViews>
    <sheetView showGridLines="0" showZeros="0" workbookViewId="0"/>
  </sheetViews>
  <sheetFormatPr defaultColWidth="15.83203125" defaultRowHeight="12"/>
  <cols>
    <col min="1" max="1" width="26.83203125" style="2" customWidth="1"/>
    <col min="2" max="2" width="15.5" style="2" customWidth="1"/>
    <col min="3" max="3" width="15.83203125" style="2"/>
    <col min="4" max="4" width="12.5" style="2" customWidth="1"/>
    <col min="5" max="5" width="13" style="2" customWidth="1"/>
    <col min="6" max="6" width="15.5" style="2" customWidth="1"/>
    <col min="7" max="7" width="14.83203125" style="2" customWidth="1"/>
    <col min="8" max="8" width="15" style="2" bestFit="1" customWidth="1"/>
    <col min="9" max="9" width="15.1640625" style="2" customWidth="1"/>
    <col min="10" max="16384" width="15.83203125" style="2"/>
  </cols>
  <sheetData>
    <row r="1" spans="1:9" ht="15.95" customHeight="1">
      <c r="A1" s="213"/>
      <c r="B1" s="219" t="str">
        <f>"ANALYSIS OF OPERATING FUND REVENUE: "&amp;FALLYR&amp;"/"&amp;SPRINGYR&amp;" ACTUAL"</f>
        <v>ANALYSIS OF OPERATING FUND REVENUE: 2015/2016 ACTUAL</v>
      </c>
      <c r="C1" s="41"/>
      <c r="D1" s="41"/>
      <c r="E1" s="41"/>
      <c r="F1" s="41"/>
      <c r="G1" s="41"/>
      <c r="H1" s="215"/>
      <c r="I1" s="215" t="s">
        <v>6</v>
      </c>
    </row>
    <row r="2" spans="1:9" ht="15.95" customHeight="1">
      <c r="A2" s="205"/>
    </row>
    <row r="3" spans="1:9" ht="15.95" customHeight="1">
      <c r="A3" s="540"/>
      <c r="B3" s="721" t="s">
        <v>50</v>
      </c>
      <c r="C3" s="722"/>
      <c r="D3" s="722"/>
      <c r="E3" s="722"/>
      <c r="F3" s="722"/>
      <c r="G3" s="722"/>
      <c r="H3" s="722"/>
      <c r="I3" s="723"/>
    </row>
    <row r="4" spans="1:9" ht="8.1" customHeight="1"/>
    <row r="5" spans="1:9" ht="15.95" customHeight="1">
      <c r="B5" s="718" t="s">
        <v>39</v>
      </c>
      <c r="C5" s="719"/>
      <c r="D5" s="719"/>
      <c r="E5" s="719"/>
      <c r="F5" s="720"/>
    </row>
    <row r="6" spans="1:9" ht="15.95" customHeight="1">
      <c r="B6" s="383"/>
      <c r="C6" s="383"/>
      <c r="D6" s="450"/>
      <c r="E6" s="384"/>
      <c r="F6" s="384"/>
      <c r="G6" s="383"/>
      <c r="H6" s="564"/>
      <c r="I6" s="726" t="s">
        <v>525</v>
      </c>
    </row>
    <row r="7" spans="1:9" ht="15.95" customHeight="1">
      <c r="B7" s="714" t="s">
        <v>530</v>
      </c>
      <c r="C7" s="714" t="s">
        <v>529</v>
      </c>
      <c r="D7" s="714" t="s">
        <v>528</v>
      </c>
      <c r="E7" s="385"/>
      <c r="F7" s="385"/>
      <c r="G7" s="714" t="s">
        <v>526</v>
      </c>
      <c r="H7" s="724" t="s">
        <v>524</v>
      </c>
      <c r="I7" s="727"/>
    </row>
    <row r="8" spans="1:9" ht="15.95" customHeight="1">
      <c r="A8" s="67"/>
      <c r="B8" s="715"/>
      <c r="C8" s="714"/>
      <c r="D8" s="715"/>
      <c r="E8" s="714" t="s">
        <v>527</v>
      </c>
      <c r="F8" s="385"/>
      <c r="G8" s="715"/>
      <c r="H8" s="724"/>
      <c r="I8" s="727"/>
    </row>
    <row r="9" spans="1:9" ht="15.95" customHeight="1">
      <c r="A9" s="35" t="s">
        <v>42</v>
      </c>
      <c r="B9" s="716"/>
      <c r="C9" s="729"/>
      <c r="D9" s="716"/>
      <c r="E9" s="729"/>
      <c r="F9" s="386" t="s">
        <v>31</v>
      </c>
      <c r="G9" s="716"/>
      <c r="H9" s="725"/>
      <c r="I9" s="728"/>
    </row>
    <row r="10" spans="1:9" ht="5.0999999999999996" customHeight="1">
      <c r="A10" s="6"/>
      <c r="B10" s="207"/>
      <c r="C10" s="207"/>
      <c r="D10" s="207"/>
      <c r="E10" s="207"/>
      <c r="F10" s="207"/>
      <c r="G10" s="207"/>
      <c r="H10" s="207"/>
    </row>
    <row r="11" spans="1:9" ht="14.1" customHeight="1">
      <c r="A11" s="285" t="s">
        <v>110</v>
      </c>
      <c r="B11" s="286">
        <f>'- 61 -'!$F11</f>
        <v>9809435</v>
      </c>
      <c r="C11" s="418">
        <v>1685466</v>
      </c>
      <c r="D11" s="418">
        <v>504331</v>
      </c>
      <c r="E11" s="418">
        <v>422414</v>
      </c>
      <c r="F11" s="286">
        <f>SUM(B11:E11)</f>
        <v>12421646</v>
      </c>
      <c r="G11" s="418">
        <v>0</v>
      </c>
      <c r="H11" s="286">
        <f>SUM(F11:G11)</f>
        <v>12421646</v>
      </c>
      <c r="I11" s="292">
        <f>H11/'- 43 -'!$I11*100</f>
        <v>65.871204920064855</v>
      </c>
    </row>
    <row r="12" spans="1:9" ht="14.1" customHeight="1">
      <c r="A12" s="19" t="s">
        <v>111</v>
      </c>
      <c r="B12" s="20">
        <f>'- 61 -'!$F12</f>
        <v>15456058</v>
      </c>
      <c r="C12" s="419">
        <v>2368844</v>
      </c>
      <c r="D12" s="419">
        <v>2713974</v>
      </c>
      <c r="E12" s="419">
        <v>932936</v>
      </c>
      <c r="F12" s="20">
        <f t="shared" ref="F12:F46" si="0">SUM(B12:E12)</f>
        <v>21471812</v>
      </c>
      <c r="G12" s="419">
        <v>532089</v>
      </c>
      <c r="H12" s="20">
        <f t="shared" ref="H12:H46" si="1">SUM(F12:G12)</f>
        <v>22003901</v>
      </c>
      <c r="I12" s="70">
        <f>H12/'- 43 -'!$I12*100</f>
        <v>65.557004207804965</v>
      </c>
    </row>
    <row r="13" spans="1:9" ht="14.1" customHeight="1">
      <c r="A13" s="285" t="s">
        <v>112</v>
      </c>
      <c r="B13" s="286">
        <f>'- 61 -'!$F13</f>
        <v>46187884</v>
      </c>
      <c r="C13" s="418">
        <v>7637405</v>
      </c>
      <c r="D13" s="418">
        <v>1825492</v>
      </c>
      <c r="E13" s="418">
        <v>2200451</v>
      </c>
      <c r="F13" s="286">
        <f t="shared" si="0"/>
        <v>57851232</v>
      </c>
      <c r="G13" s="418">
        <v>0</v>
      </c>
      <c r="H13" s="286">
        <f t="shared" si="1"/>
        <v>57851232</v>
      </c>
      <c r="I13" s="292">
        <f>H13/'- 43 -'!$I13*100</f>
        <v>61.299879224326048</v>
      </c>
    </row>
    <row r="14" spans="1:9" ht="14.1" customHeight="1">
      <c r="A14" s="19" t="s">
        <v>359</v>
      </c>
      <c r="B14" s="20">
        <f>'- 61 -'!$F14</f>
        <v>34374957</v>
      </c>
      <c r="C14" s="419">
        <v>6276338</v>
      </c>
      <c r="D14" s="419">
        <v>1958686</v>
      </c>
      <c r="E14" s="419">
        <v>16175786</v>
      </c>
      <c r="F14" s="20">
        <f t="shared" si="0"/>
        <v>58785767</v>
      </c>
      <c r="G14" s="419">
        <v>949547</v>
      </c>
      <c r="H14" s="20">
        <f t="shared" si="1"/>
        <v>59735314</v>
      </c>
      <c r="I14" s="70">
        <f>H14/'- 43 -'!$I14*100</f>
        <v>72.438956205906194</v>
      </c>
    </row>
    <row r="15" spans="1:9" ht="14.1" customHeight="1">
      <c r="A15" s="285" t="s">
        <v>113</v>
      </c>
      <c r="B15" s="286">
        <f>'- 61 -'!$F15</f>
        <v>8287813</v>
      </c>
      <c r="C15" s="418">
        <v>2653221</v>
      </c>
      <c r="D15" s="418">
        <v>1595317</v>
      </c>
      <c r="E15" s="418">
        <v>516196</v>
      </c>
      <c r="F15" s="286">
        <f t="shared" si="0"/>
        <v>13052547</v>
      </c>
      <c r="G15" s="418">
        <v>0</v>
      </c>
      <c r="H15" s="286">
        <f t="shared" si="1"/>
        <v>13052547</v>
      </c>
      <c r="I15" s="292">
        <f>H15/'- 43 -'!$I15*100</f>
        <v>62.218472258264292</v>
      </c>
    </row>
    <row r="16" spans="1:9" ht="14.1" customHeight="1">
      <c r="A16" s="19" t="s">
        <v>114</v>
      </c>
      <c r="B16" s="20">
        <f>'- 61 -'!$F16</f>
        <v>8449062</v>
      </c>
      <c r="C16" s="419">
        <v>909683</v>
      </c>
      <c r="D16" s="419">
        <v>752713</v>
      </c>
      <c r="E16" s="419">
        <v>490357</v>
      </c>
      <c r="F16" s="20">
        <f t="shared" si="0"/>
        <v>10601815</v>
      </c>
      <c r="G16" s="419">
        <v>92300</v>
      </c>
      <c r="H16" s="20">
        <f t="shared" si="1"/>
        <v>10694115</v>
      </c>
      <c r="I16" s="70">
        <f>H16/'- 43 -'!$I16*100</f>
        <v>75.530953444079799</v>
      </c>
    </row>
    <row r="17" spans="1:9" ht="14.1" customHeight="1">
      <c r="A17" s="285" t="s">
        <v>115</v>
      </c>
      <c r="B17" s="286">
        <f>'- 61 -'!$F17</f>
        <v>7447552</v>
      </c>
      <c r="C17" s="418">
        <v>1424056</v>
      </c>
      <c r="D17" s="418">
        <v>487785</v>
      </c>
      <c r="E17" s="418">
        <v>792605</v>
      </c>
      <c r="F17" s="286">
        <f t="shared" si="0"/>
        <v>10151998</v>
      </c>
      <c r="G17" s="418">
        <v>0</v>
      </c>
      <c r="H17" s="286">
        <f t="shared" si="1"/>
        <v>10151998</v>
      </c>
      <c r="I17" s="292">
        <f>H17/'- 43 -'!$I17*100</f>
        <v>55.128651737652511</v>
      </c>
    </row>
    <row r="18" spans="1:9" ht="14.1" customHeight="1">
      <c r="A18" s="19" t="s">
        <v>116</v>
      </c>
      <c r="B18" s="20">
        <f>'- 61 -'!$F18</f>
        <v>36939219</v>
      </c>
      <c r="C18" s="419">
        <v>523335</v>
      </c>
      <c r="D18" s="419">
        <v>318474</v>
      </c>
      <c r="E18" s="419">
        <v>11885823</v>
      </c>
      <c r="F18" s="20">
        <f t="shared" si="0"/>
        <v>49666851</v>
      </c>
      <c r="G18" s="419">
        <v>1949684</v>
      </c>
      <c r="H18" s="20">
        <f t="shared" si="1"/>
        <v>51616535</v>
      </c>
      <c r="I18" s="70">
        <f>H18/'- 43 -'!$I18*100</f>
        <v>38.650556783969151</v>
      </c>
    </row>
    <row r="19" spans="1:9" ht="14.1" customHeight="1">
      <c r="A19" s="285" t="s">
        <v>117</v>
      </c>
      <c r="B19" s="286">
        <f>'- 61 -'!$F19</f>
        <v>27511125</v>
      </c>
      <c r="C19" s="418">
        <v>3258547</v>
      </c>
      <c r="D19" s="418">
        <v>646173</v>
      </c>
      <c r="E19" s="418">
        <v>1073804</v>
      </c>
      <c r="F19" s="286">
        <f t="shared" si="0"/>
        <v>32489649</v>
      </c>
      <c r="G19" s="418">
        <v>0</v>
      </c>
      <c r="H19" s="286">
        <f t="shared" si="1"/>
        <v>32489649</v>
      </c>
      <c r="I19" s="292">
        <f>H19/'- 43 -'!$I19*100</f>
        <v>67.147144916574504</v>
      </c>
    </row>
    <row r="20" spans="1:9" ht="14.1" customHeight="1">
      <c r="A20" s="19" t="s">
        <v>118</v>
      </c>
      <c r="B20" s="20">
        <f>'- 61 -'!$F20</f>
        <v>48024213</v>
      </c>
      <c r="C20" s="419">
        <v>6232537</v>
      </c>
      <c r="D20" s="419">
        <v>1495976</v>
      </c>
      <c r="E20" s="419">
        <v>2462907</v>
      </c>
      <c r="F20" s="20">
        <f t="shared" si="0"/>
        <v>58215633</v>
      </c>
      <c r="G20" s="419">
        <v>11085</v>
      </c>
      <c r="H20" s="20">
        <f t="shared" si="1"/>
        <v>58226718</v>
      </c>
      <c r="I20" s="70">
        <f>H20/'- 43 -'!$I20*100</f>
        <v>70.447899915997368</v>
      </c>
    </row>
    <row r="21" spans="1:9" ht="14.1" customHeight="1">
      <c r="A21" s="285" t="s">
        <v>119</v>
      </c>
      <c r="B21" s="286">
        <f>'- 61 -'!$F21</f>
        <v>17208408</v>
      </c>
      <c r="C21" s="418">
        <v>3644444</v>
      </c>
      <c r="D21" s="418">
        <v>1289551</v>
      </c>
      <c r="E21" s="418">
        <v>839576</v>
      </c>
      <c r="F21" s="286">
        <f t="shared" si="0"/>
        <v>22981979</v>
      </c>
      <c r="G21" s="418">
        <v>20616</v>
      </c>
      <c r="H21" s="286">
        <f t="shared" si="1"/>
        <v>23002595</v>
      </c>
      <c r="I21" s="292">
        <f>H21/'- 43 -'!$I21*100</f>
        <v>63.237381524385597</v>
      </c>
    </row>
    <row r="22" spans="1:9" ht="14.1" customHeight="1">
      <c r="A22" s="19" t="s">
        <v>120</v>
      </c>
      <c r="B22" s="20">
        <f>'- 61 -'!$F22</f>
        <v>13757005</v>
      </c>
      <c r="C22" s="419">
        <v>1138574</v>
      </c>
      <c r="D22" s="419">
        <v>309407</v>
      </c>
      <c r="E22" s="419">
        <v>880375</v>
      </c>
      <c r="F22" s="20">
        <f t="shared" si="0"/>
        <v>16085361</v>
      </c>
      <c r="G22" s="419">
        <v>625046</v>
      </c>
      <c r="H22" s="20">
        <f t="shared" si="1"/>
        <v>16710407</v>
      </c>
      <c r="I22" s="70">
        <f>H22/'- 43 -'!$I22*100</f>
        <v>82.453165177052384</v>
      </c>
    </row>
    <row r="23" spans="1:9" ht="14.1" customHeight="1">
      <c r="A23" s="285" t="s">
        <v>121</v>
      </c>
      <c r="B23" s="286">
        <f>'- 61 -'!$F23</f>
        <v>9756042</v>
      </c>
      <c r="C23" s="418">
        <v>1075092</v>
      </c>
      <c r="D23" s="418">
        <v>440073</v>
      </c>
      <c r="E23" s="418">
        <v>493220</v>
      </c>
      <c r="F23" s="286">
        <f t="shared" si="0"/>
        <v>11764427</v>
      </c>
      <c r="G23" s="418">
        <v>299430</v>
      </c>
      <c r="H23" s="286">
        <f t="shared" si="1"/>
        <v>12063857</v>
      </c>
      <c r="I23" s="292">
        <f>H23/'- 43 -'!$I23*100</f>
        <v>70.148079676463738</v>
      </c>
    </row>
    <row r="24" spans="1:9" ht="14.1" customHeight="1">
      <c r="A24" s="19" t="s">
        <v>122</v>
      </c>
      <c r="B24" s="20">
        <f>'- 61 -'!$F24</f>
        <v>24121917</v>
      </c>
      <c r="C24" s="419">
        <v>5853681</v>
      </c>
      <c r="D24" s="419">
        <v>2692903</v>
      </c>
      <c r="E24" s="419">
        <v>1309858</v>
      </c>
      <c r="F24" s="20">
        <f t="shared" si="0"/>
        <v>33978359</v>
      </c>
      <c r="G24" s="419">
        <v>495058</v>
      </c>
      <c r="H24" s="20">
        <f t="shared" si="1"/>
        <v>34473417</v>
      </c>
      <c r="I24" s="70">
        <f>H24/'- 43 -'!$I24*100</f>
        <v>59.985877310119143</v>
      </c>
    </row>
    <row r="25" spans="1:9" ht="14.1" customHeight="1">
      <c r="A25" s="285" t="s">
        <v>123</v>
      </c>
      <c r="B25" s="286">
        <f>'- 61 -'!$F25</f>
        <v>71675602</v>
      </c>
      <c r="C25" s="418">
        <v>21940355</v>
      </c>
      <c r="D25" s="418">
        <v>5810842</v>
      </c>
      <c r="E25" s="418">
        <v>5932075</v>
      </c>
      <c r="F25" s="286">
        <f t="shared" si="0"/>
        <v>105358874</v>
      </c>
      <c r="G25" s="418">
        <v>0</v>
      </c>
      <c r="H25" s="286">
        <f t="shared" si="1"/>
        <v>105358874</v>
      </c>
      <c r="I25" s="292">
        <f>H25/'- 43 -'!$I25*100</f>
        <v>60.762720200963884</v>
      </c>
    </row>
    <row r="26" spans="1:9" ht="14.1" customHeight="1">
      <c r="A26" s="19" t="s">
        <v>124</v>
      </c>
      <c r="B26" s="20">
        <f>'- 61 -'!$F26</f>
        <v>22356162</v>
      </c>
      <c r="C26" s="419">
        <v>3555261</v>
      </c>
      <c r="D26" s="419">
        <v>690360</v>
      </c>
      <c r="E26" s="419">
        <v>984666</v>
      </c>
      <c r="F26" s="20">
        <f t="shared" si="0"/>
        <v>27586449</v>
      </c>
      <c r="G26" s="419">
        <v>0</v>
      </c>
      <c r="H26" s="20">
        <f t="shared" si="1"/>
        <v>27586449</v>
      </c>
      <c r="I26" s="70">
        <f>H26/'- 43 -'!$I26*100</f>
        <v>67.603126847363342</v>
      </c>
    </row>
    <row r="27" spans="1:9" ht="14.1" customHeight="1">
      <c r="A27" s="285" t="s">
        <v>125</v>
      </c>
      <c r="B27" s="286">
        <f>'- 61 -'!$F27</f>
        <v>27705455</v>
      </c>
      <c r="C27" s="418">
        <v>1706905</v>
      </c>
      <c r="D27" s="418">
        <v>1056041</v>
      </c>
      <c r="E27" s="418">
        <v>1159493</v>
      </c>
      <c r="F27" s="286">
        <f t="shared" si="0"/>
        <v>31627894</v>
      </c>
      <c r="G27" s="418">
        <v>25562</v>
      </c>
      <c r="H27" s="286">
        <f t="shared" si="1"/>
        <v>31653456</v>
      </c>
      <c r="I27" s="292">
        <f>H27/'- 43 -'!$I27*100</f>
        <v>77.210340079902153</v>
      </c>
    </row>
    <row r="28" spans="1:9" ht="14.1" customHeight="1">
      <c r="A28" s="19" t="s">
        <v>126</v>
      </c>
      <c r="B28" s="20">
        <f>'- 61 -'!$F28</f>
        <v>10784508</v>
      </c>
      <c r="C28" s="419">
        <v>1643903</v>
      </c>
      <c r="D28" s="419">
        <v>790941</v>
      </c>
      <c r="E28" s="419">
        <v>692489</v>
      </c>
      <c r="F28" s="20">
        <f t="shared" si="0"/>
        <v>13911841</v>
      </c>
      <c r="G28" s="419">
        <v>0</v>
      </c>
      <c r="H28" s="20">
        <f t="shared" si="1"/>
        <v>13911841</v>
      </c>
      <c r="I28" s="70">
        <f>H28/'- 43 -'!$I28*100</f>
        <v>49.996945235109443</v>
      </c>
    </row>
    <row r="29" spans="1:9" ht="14.1" customHeight="1">
      <c r="A29" s="285" t="s">
        <v>127</v>
      </c>
      <c r="B29" s="286">
        <f>'- 61 -'!$F29</f>
        <v>54244963</v>
      </c>
      <c r="C29" s="418">
        <v>21038672</v>
      </c>
      <c r="D29" s="418">
        <v>4806264</v>
      </c>
      <c r="E29" s="418">
        <v>3815373</v>
      </c>
      <c r="F29" s="286">
        <f t="shared" si="0"/>
        <v>83905272</v>
      </c>
      <c r="G29" s="418">
        <v>186032</v>
      </c>
      <c r="H29" s="286">
        <f t="shared" si="1"/>
        <v>84091304</v>
      </c>
      <c r="I29" s="292">
        <f>H29/'- 43 -'!$I29*100</f>
        <v>52.678573067396172</v>
      </c>
    </row>
    <row r="30" spans="1:9" ht="14.1" customHeight="1">
      <c r="A30" s="19" t="s">
        <v>128</v>
      </c>
      <c r="B30" s="20">
        <f>'- 61 -'!$F30</f>
        <v>7577278</v>
      </c>
      <c r="C30" s="419">
        <v>1240488</v>
      </c>
      <c r="D30" s="419">
        <v>331570</v>
      </c>
      <c r="E30" s="419">
        <v>317841</v>
      </c>
      <c r="F30" s="20">
        <f t="shared" si="0"/>
        <v>9467177</v>
      </c>
      <c r="G30" s="419">
        <v>0</v>
      </c>
      <c r="H30" s="20">
        <f t="shared" si="1"/>
        <v>9467177</v>
      </c>
      <c r="I30" s="70">
        <f>H30/'- 43 -'!$I30*100</f>
        <v>65.995723847043081</v>
      </c>
    </row>
    <row r="31" spans="1:9" ht="14.1" customHeight="1">
      <c r="A31" s="285" t="s">
        <v>129</v>
      </c>
      <c r="B31" s="286">
        <f>'- 61 -'!$F31</f>
        <v>19133123</v>
      </c>
      <c r="C31" s="418">
        <v>3226278</v>
      </c>
      <c r="D31" s="418">
        <v>520772</v>
      </c>
      <c r="E31" s="418">
        <v>871417</v>
      </c>
      <c r="F31" s="286">
        <f t="shared" si="0"/>
        <v>23751590</v>
      </c>
      <c r="G31" s="418">
        <v>0</v>
      </c>
      <c r="H31" s="286">
        <f t="shared" si="1"/>
        <v>23751590</v>
      </c>
      <c r="I31" s="292">
        <f>H31/'- 43 -'!$I31*100</f>
        <v>62.71797162057856</v>
      </c>
    </row>
    <row r="32" spans="1:9" ht="14.1" customHeight="1">
      <c r="A32" s="19" t="s">
        <v>130</v>
      </c>
      <c r="B32" s="20">
        <f>'- 61 -'!$F32</f>
        <v>12889263</v>
      </c>
      <c r="C32" s="419">
        <v>2420690</v>
      </c>
      <c r="D32" s="419">
        <v>1121361</v>
      </c>
      <c r="E32" s="419">
        <v>616744</v>
      </c>
      <c r="F32" s="20">
        <f t="shared" si="0"/>
        <v>17048058</v>
      </c>
      <c r="G32" s="419">
        <v>274330</v>
      </c>
      <c r="H32" s="20">
        <f t="shared" si="1"/>
        <v>17322388</v>
      </c>
      <c r="I32" s="70">
        <f>H32/'- 43 -'!$I32*100</f>
        <v>58.533497393759959</v>
      </c>
    </row>
    <row r="33" spans="1:9" ht="14.1" customHeight="1">
      <c r="A33" s="285" t="s">
        <v>131</v>
      </c>
      <c r="B33" s="286">
        <f>'- 61 -'!$F33</f>
        <v>14153301</v>
      </c>
      <c r="C33" s="418">
        <v>1913306</v>
      </c>
      <c r="D33" s="418">
        <v>811994</v>
      </c>
      <c r="E33" s="418">
        <v>730468</v>
      </c>
      <c r="F33" s="286">
        <f t="shared" si="0"/>
        <v>17609069</v>
      </c>
      <c r="G33" s="418">
        <v>15109</v>
      </c>
      <c r="H33" s="286">
        <f t="shared" si="1"/>
        <v>17624178</v>
      </c>
      <c r="I33" s="292">
        <f>H33/'- 43 -'!$I33*100</f>
        <v>62.135123773298496</v>
      </c>
    </row>
    <row r="34" spans="1:9" ht="14.1" customHeight="1">
      <c r="A34" s="19" t="s">
        <v>132</v>
      </c>
      <c r="B34" s="20">
        <f>'- 61 -'!$F34</f>
        <v>12640957</v>
      </c>
      <c r="C34" s="419">
        <v>2161289</v>
      </c>
      <c r="D34" s="419">
        <v>697501</v>
      </c>
      <c r="E34" s="419">
        <v>716293</v>
      </c>
      <c r="F34" s="20">
        <f t="shared" si="0"/>
        <v>16216040</v>
      </c>
      <c r="G34" s="419">
        <v>0</v>
      </c>
      <c r="H34" s="20">
        <f t="shared" si="1"/>
        <v>16216040</v>
      </c>
      <c r="I34" s="70">
        <f>H34/'- 43 -'!$I34*100</f>
        <v>56.389103326448151</v>
      </c>
    </row>
    <row r="35" spans="1:9" ht="14.1" customHeight="1">
      <c r="A35" s="285" t="s">
        <v>133</v>
      </c>
      <c r="B35" s="286">
        <f>'- 61 -'!$F35</f>
        <v>89918198</v>
      </c>
      <c r="C35" s="418">
        <v>23267073</v>
      </c>
      <c r="D35" s="418">
        <v>1469403</v>
      </c>
      <c r="E35" s="418">
        <v>5719826</v>
      </c>
      <c r="F35" s="286">
        <f t="shared" si="0"/>
        <v>120374500</v>
      </c>
      <c r="G35" s="418">
        <v>1379503</v>
      </c>
      <c r="H35" s="286">
        <f t="shared" si="1"/>
        <v>121754003</v>
      </c>
      <c r="I35" s="292">
        <f>H35/'- 43 -'!$I35*100</f>
        <v>66.289131215715216</v>
      </c>
    </row>
    <row r="36" spans="1:9" ht="14.1" customHeight="1">
      <c r="A36" s="19" t="s">
        <v>134</v>
      </c>
      <c r="B36" s="20">
        <f>'- 61 -'!$F36</f>
        <v>10199700</v>
      </c>
      <c r="C36" s="419">
        <v>2132064</v>
      </c>
      <c r="D36" s="419">
        <v>761998</v>
      </c>
      <c r="E36" s="419">
        <v>569806</v>
      </c>
      <c r="F36" s="20">
        <f t="shared" si="0"/>
        <v>13663568</v>
      </c>
      <c r="G36" s="419">
        <v>321361</v>
      </c>
      <c r="H36" s="20">
        <f t="shared" si="1"/>
        <v>13984929</v>
      </c>
      <c r="I36" s="70">
        <f>H36/'- 43 -'!$I36*100</f>
        <v>58.290703654685203</v>
      </c>
    </row>
    <row r="37" spans="1:9" ht="14.1" customHeight="1">
      <c r="A37" s="285" t="s">
        <v>135</v>
      </c>
      <c r="B37" s="286">
        <f>'- 61 -'!$F37</f>
        <v>27616478</v>
      </c>
      <c r="C37" s="418">
        <v>4718654</v>
      </c>
      <c r="D37" s="418">
        <v>2023420</v>
      </c>
      <c r="E37" s="418">
        <v>1233691</v>
      </c>
      <c r="F37" s="286">
        <f t="shared" si="0"/>
        <v>35592243</v>
      </c>
      <c r="G37" s="418">
        <v>373801</v>
      </c>
      <c r="H37" s="286">
        <f t="shared" si="1"/>
        <v>35966044</v>
      </c>
      <c r="I37" s="292">
        <f>H37/'- 43 -'!$I37*100</f>
        <v>72.401367600292758</v>
      </c>
    </row>
    <row r="38" spans="1:9" ht="14.1" customHeight="1">
      <c r="A38" s="19" t="s">
        <v>136</v>
      </c>
      <c r="B38" s="20">
        <f>'- 61 -'!$F38</f>
        <v>69278723</v>
      </c>
      <c r="C38" s="419">
        <v>12546695</v>
      </c>
      <c r="D38" s="419">
        <v>5353630</v>
      </c>
      <c r="E38" s="419">
        <v>3331975</v>
      </c>
      <c r="F38" s="20">
        <f t="shared" si="0"/>
        <v>90511023</v>
      </c>
      <c r="G38" s="419">
        <v>1462629</v>
      </c>
      <c r="H38" s="20">
        <f t="shared" si="1"/>
        <v>91973652</v>
      </c>
      <c r="I38" s="70">
        <f>H38/'- 43 -'!$I38*100</f>
        <v>69.129882209297293</v>
      </c>
    </row>
    <row r="39" spans="1:9" ht="14.1" customHeight="1">
      <c r="A39" s="285" t="s">
        <v>137</v>
      </c>
      <c r="B39" s="286">
        <f>'- 61 -'!$F39</f>
        <v>9178089</v>
      </c>
      <c r="C39" s="418">
        <v>1670219</v>
      </c>
      <c r="D39" s="418">
        <v>758456</v>
      </c>
      <c r="E39" s="418">
        <v>520110</v>
      </c>
      <c r="F39" s="286">
        <f t="shared" si="0"/>
        <v>12126874</v>
      </c>
      <c r="G39" s="418">
        <v>159601</v>
      </c>
      <c r="H39" s="286">
        <f t="shared" si="1"/>
        <v>12286475</v>
      </c>
      <c r="I39" s="292">
        <f>H39/'- 43 -'!$I39*100</f>
        <v>54.173411442440724</v>
      </c>
    </row>
    <row r="40" spans="1:9" ht="14.1" customHeight="1">
      <c r="A40" s="19" t="s">
        <v>138</v>
      </c>
      <c r="B40" s="20">
        <f>'- 61 -'!$F40</f>
        <v>38990213</v>
      </c>
      <c r="C40" s="419">
        <v>12911638</v>
      </c>
      <c r="D40" s="419">
        <v>3447139</v>
      </c>
      <c r="E40" s="419">
        <v>2928996</v>
      </c>
      <c r="F40" s="20">
        <f t="shared" si="0"/>
        <v>58277986</v>
      </c>
      <c r="G40" s="419">
        <v>92075</v>
      </c>
      <c r="H40" s="20">
        <f t="shared" si="1"/>
        <v>58370061</v>
      </c>
      <c r="I40" s="70">
        <f>H40/'- 43 -'!$I40*100</f>
        <v>56.247760981050895</v>
      </c>
    </row>
    <row r="41" spans="1:9" ht="14.1" customHeight="1">
      <c r="A41" s="285" t="s">
        <v>139</v>
      </c>
      <c r="B41" s="286">
        <f>'- 61 -'!$F41</f>
        <v>25664653</v>
      </c>
      <c r="C41" s="418">
        <v>6924169</v>
      </c>
      <c r="D41" s="418">
        <v>2930790</v>
      </c>
      <c r="E41" s="418">
        <v>1557173</v>
      </c>
      <c r="F41" s="286">
        <f t="shared" si="0"/>
        <v>37076785</v>
      </c>
      <c r="G41" s="418">
        <v>1279879</v>
      </c>
      <c r="H41" s="286">
        <f t="shared" si="1"/>
        <v>38356664</v>
      </c>
      <c r="I41" s="292">
        <f>H41/'- 43 -'!$I41*100</f>
        <v>59.515887383726977</v>
      </c>
    </row>
    <row r="42" spans="1:9" ht="14.1" customHeight="1">
      <c r="A42" s="19" t="s">
        <v>140</v>
      </c>
      <c r="B42" s="20">
        <f>'- 61 -'!$F42</f>
        <v>11911105</v>
      </c>
      <c r="C42" s="419">
        <v>1572645</v>
      </c>
      <c r="D42" s="419">
        <v>1056497</v>
      </c>
      <c r="E42" s="419">
        <v>540088</v>
      </c>
      <c r="F42" s="20">
        <f t="shared" si="0"/>
        <v>15080335</v>
      </c>
      <c r="G42" s="419">
        <v>41031</v>
      </c>
      <c r="H42" s="20">
        <f t="shared" si="1"/>
        <v>15121366</v>
      </c>
      <c r="I42" s="70">
        <f>H42/'- 43 -'!$I42*100</f>
        <v>71.451692576433416</v>
      </c>
    </row>
    <row r="43" spans="1:9" ht="14.1" customHeight="1">
      <c r="A43" s="285" t="s">
        <v>141</v>
      </c>
      <c r="B43" s="286">
        <f>'- 61 -'!$F43</f>
        <v>6038874</v>
      </c>
      <c r="C43" s="418">
        <v>1276243</v>
      </c>
      <c r="D43" s="418">
        <v>0</v>
      </c>
      <c r="E43" s="418">
        <v>357205</v>
      </c>
      <c r="F43" s="286">
        <f t="shared" si="0"/>
        <v>7672322</v>
      </c>
      <c r="G43" s="418">
        <v>188380</v>
      </c>
      <c r="H43" s="286">
        <f t="shared" si="1"/>
        <v>7860702</v>
      </c>
      <c r="I43" s="292">
        <f>H43/'- 43 -'!$I43*100</f>
        <v>59.97152293694451</v>
      </c>
    </row>
    <row r="44" spans="1:9" ht="14.1" customHeight="1">
      <c r="A44" s="19" t="s">
        <v>142</v>
      </c>
      <c r="B44" s="20">
        <f>'- 61 -'!$F44</f>
        <v>7392433</v>
      </c>
      <c r="C44" s="419">
        <v>702909</v>
      </c>
      <c r="D44" s="419">
        <v>453191</v>
      </c>
      <c r="E44" s="419">
        <v>405683</v>
      </c>
      <c r="F44" s="20">
        <f t="shared" si="0"/>
        <v>8954216</v>
      </c>
      <c r="G44" s="419">
        <v>0</v>
      </c>
      <c r="H44" s="20">
        <f t="shared" si="1"/>
        <v>8954216</v>
      </c>
      <c r="I44" s="70">
        <f>H44/'- 43 -'!$I44*100</f>
        <v>78.948029221175403</v>
      </c>
    </row>
    <row r="45" spans="1:9" ht="14.1" customHeight="1">
      <c r="A45" s="285" t="s">
        <v>143</v>
      </c>
      <c r="B45" s="286">
        <f>'- 61 -'!$F45</f>
        <v>9903746</v>
      </c>
      <c r="C45" s="418">
        <v>1898155</v>
      </c>
      <c r="D45" s="418">
        <v>0</v>
      </c>
      <c r="E45" s="418">
        <v>599441</v>
      </c>
      <c r="F45" s="286">
        <f t="shared" si="0"/>
        <v>12401342</v>
      </c>
      <c r="G45" s="418">
        <v>442237</v>
      </c>
      <c r="H45" s="286">
        <f t="shared" si="1"/>
        <v>12843579</v>
      </c>
      <c r="I45" s="292">
        <f>H45/'- 43 -'!$I45*100</f>
        <v>66.913732170102108</v>
      </c>
    </row>
    <row r="46" spans="1:9" ht="14.1" customHeight="1">
      <c r="A46" s="19" t="s">
        <v>144</v>
      </c>
      <c r="B46" s="20">
        <f>'- 61 -'!$F46</f>
        <v>183348063</v>
      </c>
      <c r="C46" s="419">
        <v>30565744</v>
      </c>
      <c r="D46" s="419">
        <v>9492248</v>
      </c>
      <c r="E46" s="419">
        <v>17459949</v>
      </c>
      <c r="F46" s="20">
        <f t="shared" si="0"/>
        <v>240866004</v>
      </c>
      <c r="G46" s="419">
        <v>1147194</v>
      </c>
      <c r="H46" s="20">
        <f t="shared" si="1"/>
        <v>242013198</v>
      </c>
      <c r="I46" s="70">
        <f>H46/'- 43 -'!$I46*100</f>
        <v>62.037653361372691</v>
      </c>
    </row>
    <row r="47" spans="1:9" ht="5.0999999999999996" customHeight="1">
      <c r="A47" s="21"/>
      <c r="B47" s="22"/>
      <c r="C47" s="22"/>
      <c r="D47" s="22"/>
      <c r="E47" s="22"/>
      <c r="F47" s="22"/>
      <c r="G47" s="22"/>
      <c r="H47" s="22"/>
      <c r="I47"/>
    </row>
    <row r="48" spans="1:9" ht="14.1" customHeight="1">
      <c r="A48" s="287" t="s">
        <v>145</v>
      </c>
      <c r="B48" s="288">
        <f t="shared" ref="B48:H48" si="2">SUM(B11:B46)</f>
        <v>1049931577</v>
      </c>
      <c r="C48" s="422">
        <f>SUM(C11:C46)</f>
        <v>205714578</v>
      </c>
      <c r="D48" s="422">
        <f>SUM(D11:D46)</f>
        <v>61415273</v>
      </c>
      <c r="E48" s="422">
        <f>SUM(E11:E46)</f>
        <v>91537110</v>
      </c>
      <c r="F48" s="288">
        <f t="shared" si="2"/>
        <v>1408598538</v>
      </c>
      <c r="G48" s="422">
        <f>SUM(G11:G46)</f>
        <v>12363579</v>
      </c>
      <c r="H48" s="288">
        <f t="shared" si="2"/>
        <v>1420962117</v>
      </c>
      <c r="I48" s="295">
        <f>H48/'- 43 -'!$I48*100</f>
        <v>61.875479443514827</v>
      </c>
    </row>
    <row r="49" spans="1:9" ht="5.0999999999999996" customHeight="1">
      <c r="A49" s="21" t="s">
        <v>7</v>
      </c>
      <c r="B49" s="22"/>
      <c r="C49" s="22"/>
      <c r="D49" s="22"/>
      <c r="E49" s="22"/>
      <c r="F49" s="22"/>
      <c r="G49" s="22"/>
      <c r="H49" s="22"/>
      <c r="I49"/>
    </row>
    <row r="50" spans="1:9" ht="14.1" customHeight="1">
      <c r="A50" s="19" t="s">
        <v>146</v>
      </c>
      <c r="B50" s="20">
        <f>'- 61 -'!$F50</f>
        <v>947720</v>
      </c>
      <c r="C50" s="419">
        <v>386539</v>
      </c>
      <c r="D50" s="419">
        <v>24000</v>
      </c>
      <c r="E50" s="419">
        <v>93789</v>
      </c>
      <c r="F50" s="20">
        <f>SUM(B50:E50)</f>
        <v>1452048</v>
      </c>
      <c r="G50" s="419">
        <v>0</v>
      </c>
      <c r="H50" s="20">
        <f>SUM(F50:G50)</f>
        <v>1452048</v>
      </c>
      <c r="I50" s="70">
        <f>H50/'- 43 -'!$I50*100</f>
        <v>43.261344704056896</v>
      </c>
    </row>
    <row r="51" spans="1:9" ht="14.1" customHeight="1">
      <c r="A51" s="285" t="s">
        <v>612</v>
      </c>
      <c r="B51" s="286">
        <f>'- 61 -'!$F51</f>
        <v>0</v>
      </c>
      <c r="C51" s="418">
        <v>0</v>
      </c>
      <c r="D51" s="418">
        <v>0</v>
      </c>
      <c r="E51" s="418">
        <v>6549967</v>
      </c>
      <c r="F51" s="286">
        <f>SUM(B51:E51)</f>
        <v>6549967</v>
      </c>
      <c r="G51" s="418">
        <v>3061964</v>
      </c>
      <c r="H51" s="286">
        <f>SUM(F51:G51)</f>
        <v>9611931</v>
      </c>
      <c r="I51" s="292">
        <f>H51/'- 43 -'!$I51*100</f>
        <v>34.332105210012948</v>
      </c>
    </row>
    <row r="52" spans="1:9" ht="50.1" customHeight="1">
      <c r="A52" s="23"/>
      <c r="B52" s="23"/>
      <c r="C52" s="23"/>
      <c r="D52" s="23"/>
      <c r="E52" s="23"/>
      <c r="F52" s="23"/>
      <c r="G52" s="23"/>
      <c r="H52" s="23"/>
      <c r="I52" s="23"/>
    </row>
    <row r="53" spans="1:9" ht="15" customHeight="1">
      <c r="A53" s="38" t="s">
        <v>349</v>
      </c>
      <c r="C53" s="38"/>
      <c r="D53" s="38"/>
      <c r="E53" s="221"/>
      <c r="F53" s="221"/>
      <c r="G53" s="221"/>
      <c r="H53" s="221"/>
    </row>
    <row r="54" spans="1:9" ht="12" customHeight="1">
      <c r="A54" s="620" t="s">
        <v>614</v>
      </c>
      <c r="B54" s="620"/>
      <c r="C54" s="620"/>
      <c r="D54" s="620"/>
      <c r="E54" s="620"/>
      <c r="F54" s="620"/>
      <c r="G54" s="620"/>
      <c r="H54" s="620"/>
      <c r="I54" s="620"/>
    </row>
    <row r="55" spans="1:9" ht="12" customHeight="1">
      <c r="A55" s="620"/>
      <c r="B55" s="620"/>
      <c r="C55" s="620"/>
      <c r="D55" s="620"/>
      <c r="E55" s="620"/>
      <c r="F55" s="620"/>
      <c r="G55" s="620"/>
      <c r="H55" s="620"/>
      <c r="I55" s="620"/>
    </row>
    <row r="56" spans="1:9" ht="12" customHeight="1">
      <c r="A56" s="620"/>
      <c r="B56" s="620"/>
      <c r="C56" s="620"/>
      <c r="D56" s="620"/>
      <c r="E56" s="620"/>
      <c r="F56" s="620"/>
      <c r="G56" s="620"/>
      <c r="H56" s="620"/>
      <c r="I56" s="620"/>
    </row>
    <row r="57" spans="1:9" ht="12" customHeight="1">
      <c r="A57" s="620"/>
      <c r="B57" s="620"/>
      <c r="C57" s="620"/>
      <c r="D57" s="620"/>
      <c r="E57" s="620"/>
      <c r="F57" s="620"/>
      <c r="G57" s="620"/>
      <c r="H57" s="620"/>
      <c r="I57" s="620"/>
    </row>
    <row r="58" spans="1:9" ht="12" customHeight="1">
      <c r="A58" s="717" t="s">
        <v>531</v>
      </c>
      <c r="B58" s="717"/>
      <c r="C58" s="717"/>
      <c r="D58" s="717"/>
      <c r="E58" s="717"/>
      <c r="F58" s="717"/>
      <c r="G58" s="717"/>
      <c r="H58" s="717"/>
      <c r="I58" s="717"/>
    </row>
    <row r="59" spans="1:9" ht="12" customHeight="1">
      <c r="A59" s="717"/>
      <c r="B59" s="717"/>
      <c r="C59" s="717"/>
      <c r="D59" s="717"/>
      <c r="E59" s="717"/>
      <c r="F59" s="717"/>
      <c r="G59" s="717"/>
      <c r="H59" s="717"/>
      <c r="I59" s="717"/>
    </row>
    <row r="60" spans="1:9" ht="12" customHeight="1">
      <c r="A60" s="133" t="s">
        <v>390</v>
      </c>
    </row>
    <row r="61" spans="1:9">
      <c r="A61" s="2" t="s">
        <v>350</v>
      </c>
    </row>
    <row r="62" spans="1:9">
      <c r="A62" s="2" t="e">
        <f>"(6) Total provincial contribution to public education is "&amp;ROUND(#REF!*100,1)&amp;"%. See page i for more details."</f>
        <v>#REF!</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sheetPr codeName="Sheet37">
    <pageSetUpPr fitToPage="1"/>
  </sheetPr>
  <dimension ref="A1:I54"/>
  <sheetViews>
    <sheetView showGridLines="0" showZeros="0" workbookViewId="0"/>
  </sheetViews>
  <sheetFormatPr defaultColWidth="15.83203125" defaultRowHeight="12"/>
  <cols>
    <col min="1" max="1" width="34.83203125" style="2" customWidth="1"/>
    <col min="2" max="2" width="15.83203125" style="2" customWidth="1"/>
    <col min="3" max="3" width="8.83203125" style="2" customWidth="1"/>
    <col min="4" max="4" width="15.83203125" style="2"/>
    <col min="5" max="5" width="8.83203125" style="2" customWidth="1"/>
    <col min="6" max="6" width="15.83203125" style="2"/>
    <col min="7" max="7" width="8.83203125" style="2" customWidth="1"/>
    <col min="8" max="8" width="14.83203125" style="2" customWidth="1"/>
    <col min="9" max="9" width="8.83203125" style="2" customWidth="1"/>
    <col min="10" max="16384" width="15.83203125" style="2"/>
  </cols>
  <sheetData>
    <row r="1" spans="1:9" ht="6.95" customHeight="1">
      <c r="A1" s="7"/>
    </row>
    <row r="2" spans="1:9" ht="15.95" customHeight="1">
      <c r="A2" s="213"/>
      <c r="B2" s="204" t="str">
        <f>REVYEAR</f>
        <v>ANALYSIS OF OPERATING FUND REVENUE: 2015/2016 ACTUAL</v>
      </c>
      <c r="C2" s="41"/>
      <c r="D2" s="41"/>
      <c r="E2" s="41"/>
      <c r="F2" s="41"/>
      <c r="G2" s="217"/>
      <c r="H2" s="218"/>
      <c r="I2" s="215" t="s">
        <v>8</v>
      </c>
    </row>
    <row r="3" spans="1:9" ht="15.95" customHeight="1">
      <c r="A3" s="539"/>
    </row>
    <row r="4" spans="1:9" ht="15.95" customHeight="1">
      <c r="B4" s="8"/>
      <c r="C4" s="8"/>
      <c r="D4" s="8"/>
      <c r="E4" s="8"/>
      <c r="F4" s="8"/>
      <c r="G4" s="8"/>
      <c r="H4" s="8"/>
      <c r="I4" s="43"/>
    </row>
    <row r="5" spans="1:9" ht="15.95" customHeight="1">
      <c r="B5" s="8"/>
      <c r="C5" s="8"/>
      <c r="D5" s="8"/>
      <c r="E5" s="8"/>
      <c r="F5" s="8"/>
      <c r="G5" s="8"/>
      <c r="H5" s="8"/>
      <c r="I5" s="8"/>
    </row>
    <row r="6" spans="1:9" ht="15.95" customHeight="1">
      <c r="B6" s="8"/>
      <c r="C6" s="8"/>
      <c r="D6" s="8"/>
      <c r="E6" s="8"/>
      <c r="F6" s="8"/>
      <c r="G6" s="8"/>
      <c r="H6" s="8"/>
      <c r="I6" s="8"/>
    </row>
    <row r="7" spans="1:9" ht="15.95" customHeight="1">
      <c r="B7" s="670" t="s">
        <v>532</v>
      </c>
      <c r="C7" s="671"/>
      <c r="D7" s="690" t="s">
        <v>533</v>
      </c>
      <c r="E7" s="644"/>
      <c r="F7" s="647" t="s">
        <v>523</v>
      </c>
      <c r="G7" s="644"/>
      <c r="H7" s="312"/>
      <c r="I7" s="311"/>
    </row>
    <row r="8" spans="1:9" ht="15.95" customHeight="1">
      <c r="A8" s="404"/>
      <c r="B8" s="672"/>
      <c r="C8" s="673"/>
      <c r="D8" s="677"/>
      <c r="E8" s="646"/>
      <c r="F8" s="645"/>
      <c r="G8" s="646"/>
      <c r="H8" s="648" t="s">
        <v>61</v>
      </c>
      <c r="I8" s="649"/>
    </row>
    <row r="9" spans="1:9" ht="15.95" customHeight="1">
      <c r="A9" s="35" t="s">
        <v>42</v>
      </c>
      <c r="B9" s="565" t="s">
        <v>62</v>
      </c>
      <c r="C9" s="115" t="s">
        <v>44</v>
      </c>
      <c r="D9" s="206" t="s">
        <v>62</v>
      </c>
      <c r="E9" s="206" t="s">
        <v>44</v>
      </c>
      <c r="F9" s="206" t="s">
        <v>62</v>
      </c>
      <c r="G9" s="206" t="s">
        <v>44</v>
      </c>
      <c r="H9" s="216" t="s">
        <v>62</v>
      </c>
      <c r="I9" s="216" t="s">
        <v>44</v>
      </c>
    </row>
    <row r="10" spans="1:9" ht="5.0999999999999996" customHeight="1">
      <c r="A10" s="6"/>
      <c r="B10" s="207"/>
      <c r="C10" s="207"/>
      <c r="D10" s="207"/>
      <c r="E10" s="207"/>
      <c r="F10" s="207"/>
      <c r="G10" s="207"/>
      <c r="H10" s="207"/>
      <c r="I10" s="207"/>
    </row>
    <row r="11" spans="1:9" ht="14.1" customHeight="1">
      <c r="A11" s="285" t="s">
        <v>110</v>
      </c>
      <c r="B11" s="418">
        <v>0</v>
      </c>
      <c r="C11" s="292">
        <f>B11/'- 43 -'!$I11*100</f>
        <v>0</v>
      </c>
      <c r="D11" s="418">
        <v>6300172</v>
      </c>
      <c r="E11" s="292">
        <f>D11/'- 43 -'!$I11*100</f>
        <v>33.409414569023689</v>
      </c>
      <c r="F11" s="418">
        <v>29900</v>
      </c>
      <c r="G11" s="292">
        <f>F11/'- 43 -'!$I11*100</f>
        <v>0.15855781328094032</v>
      </c>
      <c r="H11" s="418">
        <v>0</v>
      </c>
      <c r="I11" s="292">
        <f>H11/'- 43 -'!$I11*100</f>
        <v>0</v>
      </c>
    </row>
    <row r="12" spans="1:9" ht="14.1" customHeight="1">
      <c r="A12" s="19" t="s">
        <v>111</v>
      </c>
      <c r="B12" s="419">
        <v>4486</v>
      </c>
      <c r="C12" s="70">
        <f>B12/'- 43 -'!$I12*100</f>
        <v>1.3365299220179778E-2</v>
      </c>
      <c r="D12" s="419">
        <v>9079319</v>
      </c>
      <c r="E12" s="70">
        <f>D12/'- 43 -'!$I12*100</f>
        <v>27.050337750883514</v>
      </c>
      <c r="F12" s="419">
        <v>695853</v>
      </c>
      <c r="G12" s="70">
        <f>F12/'- 43 -'!$I12*100</f>
        <v>2.0731795716138564</v>
      </c>
      <c r="H12" s="419">
        <v>1250373</v>
      </c>
      <c r="I12" s="70">
        <f>H12/'- 43 -'!$I12*100</f>
        <v>3.725280713739155</v>
      </c>
    </row>
    <row r="13" spans="1:9" ht="14.1" customHeight="1">
      <c r="A13" s="285" t="s">
        <v>112</v>
      </c>
      <c r="B13" s="418">
        <v>20654</v>
      </c>
      <c r="C13" s="292">
        <f>B13/'- 43 -'!$I13*100</f>
        <v>2.1885233239271898E-2</v>
      </c>
      <c r="D13" s="418">
        <v>34958937</v>
      </c>
      <c r="E13" s="292">
        <f>D13/'- 43 -'!$I13*100</f>
        <v>37.042920985862899</v>
      </c>
      <c r="F13" s="418">
        <v>373752</v>
      </c>
      <c r="G13" s="292">
        <f>F13/'- 43 -'!$I13*100</f>
        <v>0.39603223073711397</v>
      </c>
      <c r="H13" s="418">
        <v>153680</v>
      </c>
      <c r="I13" s="292">
        <f>H13/'- 43 -'!$I13*100</f>
        <v>0.16284122417988312</v>
      </c>
    </row>
    <row r="14" spans="1:9" ht="14.1" customHeight="1">
      <c r="A14" s="19" t="s">
        <v>359</v>
      </c>
      <c r="B14" s="419">
        <v>96919</v>
      </c>
      <c r="C14" s="70">
        <f>B14/'- 43 -'!$I14*100</f>
        <v>0.11753033049295132</v>
      </c>
      <c r="D14" s="419">
        <v>20638696</v>
      </c>
      <c r="E14" s="70">
        <f>D14/'- 43 -'!$I14*100</f>
        <v>25.027835221407081</v>
      </c>
      <c r="F14" s="419">
        <v>1650182</v>
      </c>
      <c r="G14" s="70">
        <f>F14/'- 43 -'!$I14*100</f>
        <v>2.0011188294712019</v>
      </c>
      <c r="H14" s="419">
        <v>0</v>
      </c>
      <c r="I14" s="70">
        <f>H14/'- 43 -'!$I14*100</f>
        <v>0</v>
      </c>
    </row>
    <row r="15" spans="1:9" ht="14.1" customHeight="1">
      <c r="A15" s="285" t="s">
        <v>113</v>
      </c>
      <c r="B15" s="418">
        <v>0</v>
      </c>
      <c r="C15" s="292">
        <f>B15/'- 43 -'!$I15*100</f>
        <v>0</v>
      </c>
      <c r="D15" s="418">
        <v>7339733</v>
      </c>
      <c r="E15" s="292">
        <f>D15/'- 43 -'!$I15*100</f>
        <v>34.986809397703524</v>
      </c>
      <c r="F15" s="418">
        <v>50734</v>
      </c>
      <c r="G15" s="292">
        <f>F15/'- 43 -'!$I15*100</f>
        <v>0.24183724230610165</v>
      </c>
      <c r="H15" s="418">
        <v>103000</v>
      </c>
      <c r="I15" s="292">
        <f>H15/'- 43 -'!$I15*100</f>
        <v>0.49097717423283144</v>
      </c>
    </row>
    <row r="16" spans="1:9" ht="14.1" customHeight="1">
      <c r="A16" s="19" t="s">
        <v>114</v>
      </c>
      <c r="B16" s="419">
        <v>0</v>
      </c>
      <c r="C16" s="70">
        <f>B16/'- 43 -'!$I16*100</f>
        <v>0</v>
      </c>
      <c r="D16" s="419">
        <v>2867928</v>
      </c>
      <c r="E16" s="70">
        <f>D16/'- 43 -'!$I16*100</f>
        <v>20.25575152773024</v>
      </c>
      <c r="F16" s="419">
        <v>289655</v>
      </c>
      <c r="G16" s="70">
        <f>F16/'- 43 -'!$I16*100</f>
        <v>2.0457904482834657</v>
      </c>
      <c r="H16" s="419">
        <v>35351</v>
      </c>
      <c r="I16" s="70">
        <f>H16/'- 43 -'!$I16*100</f>
        <v>0.24967888742562289</v>
      </c>
    </row>
    <row r="17" spans="1:9" ht="14.1" customHeight="1">
      <c r="A17" s="285" t="s">
        <v>115</v>
      </c>
      <c r="B17" s="418">
        <v>0</v>
      </c>
      <c r="C17" s="292">
        <f>B17/'- 43 -'!$I17*100</f>
        <v>0</v>
      </c>
      <c r="D17" s="418">
        <v>7055127</v>
      </c>
      <c r="E17" s="292">
        <f>D17/'- 43 -'!$I17*100</f>
        <v>38.311634748934068</v>
      </c>
      <c r="F17" s="418">
        <v>28400</v>
      </c>
      <c r="G17" s="292">
        <f>F17/'- 43 -'!$I17*100</f>
        <v>0.15422123894718373</v>
      </c>
      <c r="H17" s="418">
        <v>917428</v>
      </c>
      <c r="I17" s="292">
        <f>H17/'- 43 -'!$I17*100</f>
        <v>4.9819324931280589</v>
      </c>
    </row>
    <row r="18" spans="1:9" ht="14.1" customHeight="1">
      <c r="A18" s="19" t="s">
        <v>116</v>
      </c>
      <c r="B18" s="419">
        <v>0</v>
      </c>
      <c r="C18" s="70">
        <f>B18/'- 43 -'!$I18*100</f>
        <v>0</v>
      </c>
      <c r="D18" s="419">
        <v>2984863</v>
      </c>
      <c r="E18" s="70">
        <f>D18/'- 43 -'!$I18*100</f>
        <v>2.2350709297683098</v>
      </c>
      <c r="F18" s="419">
        <v>18200</v>
      </c>
      <c r="G18" s="70">
        <f>F18/'- 43 -'!$I18*100</f>
        <v>1.3628193629584753E-2</v>
      </c>
      <c r="H18" s="419">
        <v>73473156</v>
      </c>
      <c r="I18" s="70">
        <f>H18/'- 43 -'!$I18*100</f>
        <v>55.0168349749828</v>
      </c>
    </row>
    <row r="19" spans="1:9" ht="14.1" customHeight="1">
      <c r="A19" s="285" t="s">
        <v>117</v>
      </c>
      <c r="B19" s="418">
        <v>0</v>
      </c>
      <c r="C19" s="292">
        <f>B19/'- 43 -'!$I19*100</f>
        <v>0</v>
      </c>
      <c r="D19" s="418">
        <v>14878648</v>
      </c>
      <c r="E19" s="292">
        <f>D19/'- 43 -'!$I19*100</f>
        <v>30.750062378904168</v>
      </c>
      <c r="F19" s="418">
        <v>405987</v>
      </c>
      <c r="G19" s="292">
        <f>F19/'- 43 -'!$I19*100</f>
        <v>0.83906317126557239</v>
      </c>
      <c r="H19" s="418">
        <v>0</v>
      </c>
      <c r="I19" s="292">
        <f>H19/'- 43 -'!$I19*100</f>
        <v>0</v>
      </c>
    </row>
    <row r="20" spans="1:9" ht="14.1" customHeight="1">
      <c r="A20" s="19" t="s">
        <v>118</v>
      </c>
      <c r="B20" s="419">
        <v>0</v>
      </c>
      <c r="C20" s="70">
        <f>B20/'- 43 -'!$I20*100</f>
        <v>0</v>
      </c>
      <c r="D20" s="419">
        <v>23720824</v>
      </c>
      <c r="E20" s="70">
        <f>D20/'- 43 -'!$I20*100</f>
        <v>28.699578002610217</v>
      </c>
      <c r="F20" s="419">
        <v>125250</v>
      </c>
      <c r="G20" s="70">
        <f>F20/'- 43 -'!$I20*100</f>
        <v>0.15153867103549731</v>
      </c>
      <c r="H20" s="419">
        <v>0</v>
      </c>
      <c r="I20" s="70">
        <f>H20/'- 43 -'!$I20*100</f>
        <v>0</v>
      </c>
    </row>
    <row r="21" spans="1:9" ht="14.1" customHeight="1">
      <c r="A21" s="285" t="s">
        <v>119</v>
      </c>
      <c r="B21" s="418">
        <v>4000</v>
      </c>
      <c r="C21" s="292">
        <f>B21/'- 43 -'!$I21*100</f>
        <v>1.0996564783127398E-2</v>
      </c>
      <c r="D21" s="418">
        <v>12899505</v>
      </c>
      <c r="E21" s="292">
        <f>D21/'- 43 -'!$I21*100</f>
        <v>35.462560600693948</v>
      </c>
      <c r="F21" s="418">
        <v>101226</v>
      </c>
      <c r="G21" s="292">
        <f>F21/'- 43 -'!$I21*100</f>
        <v>0.27828456668421353</v>
      </c>
      <c r="H21" s="418">
        <v>0</v>
      </c>
      <c r="I21" s="292">
        <f>H21/'- 43 -'!$I21*100</f>
        <v>0</v>
      </c>
    </row>
    <row r="22" spans="1:9" ht="14.1" customHeight="1">
      <c r="A22" s="19" t="s">
        <v>120</v>
      </c>
      <c r="B22" s="419">
        <v>0</v>
      </c>
      <c r="C22" s="70">
        <f>B22/'- 43 -'!$I22*100</f>
        <v>0</v>
      </c>
      <c r="D22" s="419">
        <v>3382562</v>
      </c>
      <c r="E22" s="70">
        <f>D22/'- 43 -'!$I22*100</f>
        <v>16.690374047000812</v>
      </c>
      <c r="F22" s="419">
        <v>24354</v>
      </c>
      <c r="G22" s="70">
        <f>F22/'- 43 -'!$I22*100</f>
        <v>0.12016849049349509</v>
      </c>
      <c r="H22" s="419">
        <v>19190</v>
      </c>
      <c r="I22" s="70">
        <f>H22/'- 43 -'!$I22*100</f>
        <v>9.4688073112021473E-2</v>
      </c>
    </row>
    <row r="23" spans="1:9" ht="14.1" customHeight="1">
      <c r="A23" s="285" t="s">
        <v>121</v>
      </c>
      <c r="B23" s="418">
        <v>0</v>
      </c>
      <c r="C23" s="292">
        <f>B23/'- 43 -'!$I23*100</f>
        <v>0</v>
      </c>
      <c r="D23" s="418">
        <v>3438551</v>
      </c>
      <c r="E23" s="292">
        <f>D23/'- 43 -'!$I23*100</f>
        <v>19.994248068390071</v>
      </c>
      <c r="F23" s="418">
        <v>104078</v>
      </c>
      <c r="G23" s="292">
        <f>F23/'- 43 -'!$I23*100</f>
        <v>0.60518554195121776</v>
      </c>
      <c r="H23" s="418">
        <v>1076444</v>
      </c>
      <c r="I23" s="292">
        <f>H23/'- 43 -'!$I23*100</f>
        <v>6.2592319752506453</v>
      </c>
    </row>
    <row r="24" spans="1:9" ht="14.1" customHeight="1">
      <c r="A24" s="19" t="s">
        <v>122</v>
      </c>
      <c r="B24" s="419">
        <v>40604</v>
      </c>
      <c r="C24" s="70">
        <f>B24/'- 43 -'!$I24*100</f>
        <v>7.0653470826523457E-2</v>
      </c>
      <c r="D24" s="419">
        <v>21409178</v>
      </c>
      <c r="E24" s="70">
        <f>D24/'- 43 -'!$I24*100</f>
        <v>37.253293597745241</v>
      </c>
      <c r="F24" s="419">
        <v>179650</v>
      </c>
      <c r="G24" s="70">
        <f>F24/'- 43 -'!$I24*100</f>
        <v>0.31260210900366808</v>
      </c>
      <c r="H24" s="419">
        <v>497408</v>
      </c>
      <c r="I24" s="70">
        <f>H24/'- 43 -'!$I24*100</f>
        <v>0.86552067818144474</v>
      </c>
    </row>
    <row r="25" spans="1:9" ht="14.1" customHeight="1">
      <c r="A25" s="285" t="s">
        <v>123</v>
      </c>
      <c r="B25" s="418">
        <v>244684</v>
      </c>
      <c r="C25" s="292">
        <f>B25/'- 43 -'!$I25*100</f>
        <v>0.14111450573828882</v>
      </c>
      <c r="D25" s="418">
        <v>62617639</v>
      </c>
      <c r="E25" s="292">
        <f>D25/'- 43 -'!$I25*100</f>
        <v>36.112934143563116</v>
      </c>
      <c r="F25" s="418">
        <v>589980</v>
      </c>
      <c r="G25" s="292">
        <f>F25/'- 43 -'!$I25*100</f>
        <v>0.34025410772864445</v>
      </c>
      <c r="H25" s="418">
        <v>22000</v>
      </c>
      <c r="I25" s="292">
        <f>H25/'- 43 -'!$I25*100</f>
        <v>1.2687871402471572E-2</v>
      </c>
    </row>
    <row r="26" spans="1:9" ht="14.1" customHeight="1">
      <c r="A26" s="19" t="s">
        <v>124</v>
      </c>
      <c r="B26" s="419">
        <v>0</v>
      </c>
      <c r="C26" s="70">
        <f>B26/'- 43 -'!$I26*100</f>
        <v>0</v>
      </c>
      <c r="D26" s="419">
        <v>11037624</v>
      </c>
      <c r="E26" s="70">
        <f>D26/'- 43 -'!$I26*100</f>
        <v>27.048711320746715</v>
      </c>
      <c r="F26" s="419">
        <v>534653</v>
      </c>
      <c r="G26" s="70">
        <f>F26/'- 43 -'!$I26*100</f>
        <v>1.3102162796785972</v>
      </c>
      <c r="H26" s="419">
        <v>985853</v>
      </c>
      <c r="I26" s="70">
        <f>H26/'- 43 -'!$I26*100</f>
        <v>2.4159233184326729</v>
      </c>
    </row>
    <row r="27" spans="1:9" ht="14.1" customHeight="1">
      <c r="A27" s="285" t="s">
        <v>125</v>
      </c>
      <c r="B27" s="418">
        <v>28296</v>
      </c>
      <c r="C27" s="292">
        <f>B27/'- 43 -'!$I27*100</f>
        <v>6.902070291790291E-2</v>
      </c>
      <c r="D27" s="418">
        <v>8364847</v>
      </c>
      <c r="E27" s="292">
        <f>D27/'- 43 -'!$I27*100</f>
        <v>20.403859900364409</v>
      </c>
      <c r="F27" s="418">
        <v>158032</v>
      </c>
      <c r="G27" s="292">
        <f>F27/'- 43 -'!$I27*100</f>
        <v>0.38547779627940454</v>
      </c>
      <c r="H27" s="418">
        <v>417172</v>
      </c>
      <c r="I27" s="292">
        <f>H27/'- 43 -'!$I27*100</f>
        <v>1.0175821556992999</v>
      </c>
    </row>
    <row r="28" spans="1:9" ht="14.1" customHeight="1">
      <c r="A28" s="19" t="s">
        <v>126</v>
      </c>
      <c r="B28" s="419">
        <v>0</v>
      </c>
      <c r="C28" s="70">
        <f>B28/'- 43 -'!$I28*100</f>
        <v>0</v>
      </c>
      <c r="D28" s="419">
        <v>6637354</v>
      </c>
      <c r="E28" s="70">
        <f>D28/'- 43 -'!$I28*100</f>
        <v>23.853595253427248</v>
      </c>
      <c r="F28" s="419">
        <v>63598</v>
      </c>
      <c r="G28" s="70">
        <f>F28/'- 43 -'!$I28*100</f>
        <v>0.22856110295269264</v>
      </c>
      <c r="H28" s="419">
        <v>7177718</v>
      </c>
      <c r="I28" s="70">
        <f>H28/'- 43 -'!$I28*100</f>
        <v>25.795577577335688</v>
      </c>
    </row>
    <row r="29" spans="1:9" ht="14.1" customHeight="1">
      <c r="A29" s="285" t="s">
        <v>127</v>
      </c>
      <c r="B29" s="418">
        <v>97045</v>
      </c>
      <c r="C29" s="292">
        <f>B29/'- 43 -'!$I29*100</f>
        <v>6.0793350562448903E-2</v>
      </c>
      <c r="D29" s="418">
        <v>70688052</v>
      </c>
      <c r="E29" s="292">
        <f>D29/'- 43 -'!$I29*100</f>
        <v>44.28217348459598</v>
      </c>
      <c r="F29" s="418">
        <v>588723</v>
      </c>
      <c r="G29" s="292">
        <f>F29/'- 43 -'!$I29*100</f>
        <v>0.36880255266295642</v>
      </c>
      <c r="H29" s="418">
        <v>39600</v>
      </c>
      <c r="I29" s="292">
        <f>H29/'- 43 -'!$I29*100</f>
        <v>2.48072201790198E-2</v>
      </c>
    </row>
    <row r="30" spans="1:9" ht="14.1" customHeight="1">
      <c r="A30" s="19" t="s">
        <v>128</v>
      </c>
      <c r="B30" s="419">
        <v>0</v>
      </c>
      <c r="C30" s="70">
        <f>B30/'- 43 -'!$I30*100</f>
        <v>0</v>
      </c>
      <c r="D30" s="419">
        <v>4811605</v>
      </c>
      <c r="E30" s="70">
        <f>D30/'- 43 -'!$I30*100</f>
        <v>33.541715216801343</v>
      </c>
      <c r="F30" s="419">
        <v>35850</v>
      </c>
      <c r="G30" s="70">
        <f>F30/'- 43 -'!$I30*100</f>
        <v>0.24991047488776161</v>
      </c>
      <c r="H30" s="419">
        <v>0</v>
      </c>
      <c r="I30" s="70">
        <f>H30/'- 43 -'!$I30*100</f>
        <v>0</v>
      </c>
    </row>
    <row r="31" spans="1:9" ht="14.1" customHeight="1">
      <c r="A31" s="285" t="s">
        <v>129</v>
      </c>
      <c r="B31" s="418">
        <v>0</v>
      </c>
      <c r="C31" s="292">
        <f>B31/'- 43 -'!$I31*100</f>
        <v>0</v>
      </c>
      <c r="D31" s="418">
        <v>12497113</v>
      </c>
      <c r="E31" s="292">
        <f>D31/'- 43 -'!$I31*100</f>
        <v>32.999625644984746</v>
      </c>
      <c r="F31" s="418">
        <v>160355</v>
      </c>
      <c r="G31" s="292">
        <f>F31/'- 43 -'!$I31*100</f>
        <v>0.42343019306151192</v>
      </c>
      <c r="H31" s="418">
        <v>1308917</v>
      </c>
      <c r="I31" s="292">
        <f>H31/'- 43 -'!$I31*100</f>
        <v>3.4562999470642946</v>
      </c>
    </row>
    <row r="32" spans="1:9" ht="14.1" customHeight="1">
      <c r="A32" s="19" t="s">
        <v>130</v>
      </c>
      <c r="B32" s="419">
        <v>0</v>
      </c>
      <c r="C32" s="70">
        <f>B32/'- 43 -'!$I32*100</f>
        <v>0</v>
      </c>
      <c r="D32" s="419">
        <v>12052995</v>
      </c>
      <c r="E32" s="70">
        <f>D32/'- 43 -'!$I32*100</f>
        <v>40.727869126329566</v>
      </c>
      <c r="F32" s="419">
        <v>91700</v>
      </c>
      <c r="G32" s="70">
        <f>F32/'- 43 -'!$I32*100</f>
        <v>0.30986037900823998</v>
      </c>
      <c r="H32" s="419">
        <v>5500</v>
      </c>
      <c r="I32" s="70">
        <f>H32/'- 43 -'!$I32*100</f>
        <v>1.8584864607909705E-2</v>
      </c>
    </row>
    <row r="33" spans="1:9" ht="14.1" customHeight="1">
      <c r="A33" s="285" t="s">
        <v>131</v>
      </c>
      <c r="B33" s="418">
        <v>16735</v>
      </c>
      <c r="C33" s="292">
        <f>B33/'- 43 -'!$I33*100</f>
        <v>5.9000272032326863E-2</v>
      </c>
      <c r="D33" s="418">
        <v>10253543</v>
      </c>
      <c r="E33" s="292">
        <f>D33/'- 43 -'!$I33*100</f>
        <v>36.149496641479587</v>
      </c>
      <c r="F33" s="418">
        <v>35750</v>
      </c>
      <c r="G33" s="292">
        <f>F33/'- 43 -'!$I33*100</f>
        <v>0.12603882432958979</v>
      </c>
      <c r="H33" s="418">
        <v>258792</v>
      </c>
      <c r="I33" s="292">
        <f>H33/'- 43 -'!$I33*100</f>
        <v>0.91238711680848117</v>
      </c>
    </row>
    <row r="34" spans="1:9" ht="14.1" customHeight="1">
      <c r="A34" s="19" t="s">
        <v>132</v>
      </c>
      <c r="B34" s="419">
        <v>21030</v>
      </c>
      <c r="C34" s="70">
        <f>B34/'- 43 -'!$I34*100</f>
        <v>7.3129003317406988E-2</v>
      </c>
      <c r="D34" s="419">
        <v>11374289</v>
      </c>
      <c r="E34" s="70">
        <f>D34/'- 43 -'!$I34*100</f>
        <v>39.552563861823394</v>
      </c>
      <c r="F34" s="419">
        <v>865991</v>
      </c>
      <c r="G34" s="70">
        <f>F34/'- 43 -'!$I34*100</f>
        <v>3.0113675088846699</v>
      </c>
      <c r="H34" s="419">
        <v>0</v>
      </c>
      <c r="I34" s="70">
        <f>H34/'- 43 -'!$I34*100</f>
        <v>0</v>
      </c>
    </row>
    <row r="35" spans="1:9" ht="14.1" customHeight="1">
      <c r="A35" s="285" t="s">
        <v>133</v>
      </c>
      <c r="B35" s="418">
        <v>473352</v>
      </c>
      <c r="C35" s="292">
        <f>B35/'- 43 -'!$I35*100</f>
        <v>0.25771713509264438</v>
      </c>
      <c r="D35" s="418">
        <v>58412740</v>
      </c>
      <c r="E35" s="292">
        <f>D35/'- 43 -'!$I35*100</f>
        <v>31.802895109160861</v>
      </c>
      <c r="F35" s="418">
        <v>807812</v>
      </c>
      <c r="G35" s="292">
        <f>F35/'- 43 -'!$I35*100</f>
        <v>0.43981433337866799</v>
      </c>
      <c r="H35" s="418">
        <v>112500</v>
      </c>
      <c r="I35" s="292">
        <f>H35/'- 43 -'!$I35*100</f>
        <v>6.1250776795962608E-2</v>
      </c>
    </row>
    <row r="36" spans="1:9" ht="14.1" customHeight="1">
      <c r="A36" s="19" t="s">
        <v>134</v>
      </c>
      <c r="B36" s="419">
        <v>94373</v>
      </c>
      <c r="C36" s="70">
        <f>B36/'- 43 -'!$I36*100</f>
        <v>0.39335691843724102</v>
      </c>
      <c r="D36" s="419">
        <v>8135742</v>
      </c>
      <c r="E36" s="70">
        <f>D36/'- 43 -'!$I36*100</f>
        <v>33.910656674265269</v>
      </c>
      <c r="F36" s="419">
        <v>113009</v>
      </c>
      <c r="G36" s="70">
        <f>F36/'- 43 -'!$I36*100</f>
        <v>0.47103379139874935</v>
      </c>
      <c r="H36" s="419">
        <v>1360665</v>
      </c>
      <c r="I36" s="70">
        <f>H36/'- 43 -'!$I36*100</f>
        <v>5.671399567942192</v>
      </c>
    </row>
    <row r="37" spans="1:9" ht="14.1" customHeight="1">
      <c r="A37" s="285" t="s">
        <v>135</v>
      </c>
      <c r="B37" s="418">
        <v>15748</v>
      </c>
      <c r="C37" s="292">
        <f>B37/'- 43 -'!$I37*100</f>
        <v>3.1701477565044697E-2</v>
      </c>
      <c r="D37" s="418">
        <v>13243525</v>
      </c>
      <c r="E37" s="292">
        <f>D37/'- 43 -'!$I37*100</f>
        <v>26.659849547219238</v>
      </c>
      <c r="F37" s="418">
        <v>300736</v>
      </c>
      <c r="G37" s="292">
        <f>F37/'- 43 -'!$I37*100</f>
        <v>0.60539595866149865</v>
      </c>
      <c r="H37" s="418">
        <v>32956</v>
      </c>
      <c r="I37" s="292">
        <f>H37/'- 43 -'!$I37*100</f>
        <v>6.6342004993244413E-2</v>
      </c>
    </row>
    <row r="38" spans="1:9" ht="14.1" customHeight="1">
      <c r="A38" s="19" t="s">
        <v>136</v>
      </c>
      <c r="B38" s="419">
        <v>912500</v>
      </c>
      <c r="C38" s="70">
        <f>B38/'- 43 -'!$I38*100</f>
        <v>0.68585965811147498</v>
      </c>
      <c r="D38" s="419">
        <v>36841980</v>
      </c>
      <c r="E38" s="70">
        <f>D38/'- 43 -'!$I38*100</f>
        <v>27.691427733643614</v>
      </c>
      <c r="F38" s="419">
        <v>1162223</v>
      </c>
      <c r="G38" s="70">
        <f>F38/'- 43 -'!$I38*100</f>
        <v>0.87355821307319759</v>
      </c>
      <c r="H38" s="419">
        <v>776800</v>
      </c>
      <c r="I38" s="70">
        <f>H38/'- 43 -'!$I38*100</f>
        <v>0.58386387114629457</v>
      </c>
    </row>
    <row r="39" spans="1:9" ht="14.1" customHeight="1">
      <c r="A39" s="285" t="s">
        <v>137</v>
      </c>
      <c r="B39" s="418">
        <v>0</v>
      </c>
      <c r="C39" s="292">
        <f>B39/'- 43 -'!$I39*100</f>
        <v>0</v>
      </c>
      <c r="D39" s="418">
        <v>10242920</v>
      </c>
      <c r="E39" s="292">
        <f>D39/'- 43 -'!$I39*100</f>
        <v>45.16298771877247</v>
      </c>
      <c r="F39" s="418">
        <v>97850</v>
      </c>
      <c r="G39" s="292">
        <f>F39/'- 43 -'!$I39*100</f>
        <v>0.43143931108335182</v>
      </c>
      <c r="H39" s="418">
        <v>0</v>
      </c>
      <c r="I39" s="292">
        <f>H39/'- 43 -'!$I39*100</f>
        <v>0</v>
      </c>
    </row>
    <row r="40" spans="1:9" ht="14.1" customHeight="1">
      <c r="A40" s="19" t="s">
        <v>138</v>
      </c>
      <c r="B40" s="419">
        <v>0</v>
      </c>
      <c r="C40" s="70">
        <f>B40/'- 43 -'!$I40*100</f>
        <v>0</v>
      </c>
      <c r="D40" s="419">
        <v>40899886</v>
      </c>
      <c r="E40" s="70">
        <f>D40/'- 43 -'!$I40*100</f>
        <v>39.412790949117387</v>
      </c>
      <c r="F40" s="419">
        <v>704460</v>
      </c>
      <c r="G40" s="70">
        <f>F40/'- 43 -'!$I40*100</f>
        <v>0.67884626162564943</v>
      </c>
      <c r="H40" s="419">
        <v>179632</v>
      </c>
      <c r="I40" s="70">
        <f>H40/'- 43 -'!$I40*100</f>
        <v>0.17310068941932638</v>
      </c>
    </row>
    <row r="41" spans="1:9" ht="14.1" customHeight="1">
      <c r="A41" s="285" t="s">
        <v>139</v>
      </c>
      <c r="B41" s="418">
        <v>0</v>
      </c>
      <c r="C41" s="292">
        <f>B41/'- 43 -'!$I41*100</f>
        <v>0</v>
      </c>
      <c r="D41" s="418">
        <v>25415373</v>
      </c>
      <c r="E41" s="292">
        <f>D41/'- 43 -'!$I41*100</f>
        <v>39.435610909317226</v>
      </c>
      <c r="F41" s="418">
        <v>154203</v>
      </c>
      <c r="G41" s="292">
        <f>F41/'- 43 -'!$I41*100</f>
        <v>0.23926815904096485</v>
      </c>
      <c r="H41" s="418">
        <v>337376</v>
      </c>
      <c r="I41" s="292">
        <f>H41/'- 43 -'!$I41*100</f>
        <v>0.52348744463210539</v>
      </c>
    </row>
    <row r="42" spans="1:9" ht="14.1" customHeight="1">
      <c r="A42" s="19" t="s">
        <v>140</v>
      </c>
      <c r="B42" s="419">
        <v>20270</v>
      </c>
      <c r="C42" s="70">
        <f>B42/'- 43 -'!$I42*100</f>
        <v>9.5780090801605169E-2</v>
      </c>
      <c r="D42" s="419">
        <v>5411756</v>
      </c>
      <c r="E42" s="70">
        <f>D42/'- 43 -'!$I42*100</f>
        <v>25.571706022502795</v>
      </c>
      <c r="F42" s="419">
        <v>33670</v>
      </c>
      <c r="G42" s="70">
        <f>F42/'- 43 -'!$I42*100</f>
        <v>0.15909796039911425</v>
      </c>
      <c r="H42" s="419">
        <v>210454</v>
      </c>
      <c r="I42" s="70">
        <f>H42/'- 43 -'!$I42*100</f>
        <v>0.99444021852792375</v>
      </c>
    </row>
    <row r="43" spans="1:9" ht="14.1" customHeight="1">
      <c r="A43" s="285" t="s">
        <v>141</v>
      </c>
      <c r="B43" s="418">
        <v>105</v>
      </c>
      <c r="C43" s="292">
        <f>B43/'- 43 -'!$I43*100</f>
        <v>8.0107475240495988E-4</v>
      </c>
      <c r="D43" s="418">
        <v>5179246</v>
      </c>
      <c r="E43" s="292">
        <f>D43/'- 43 -'!$I43*100</f>
        <v>39.513935305660752</v>
      </c>
      <c r="F43" s="418">
        <v>34450</v>
      </c>
      <c r="G43" s="292">
        <f>F43/'- 43 -'!$I43*100</f>
        <v>0.26282881162238925</v>
      </c>
      <c r="H43" s="418">
        <v>0</v>
      </c>
      <c r="I43" s="292">
        <f>H43/'- 43 -'!$I43*100</f>
        <v>0</v>
      </c>
    </row>
    <row r="44" spans="1:9" ht="14.1" customHeight="1">
      <c r="A44" s="19" t="s">
        <v>142</v>
      </c>
      <c r="B44" s="419">
        <v>0</v>
      </c>
      <c r="C44" s="70">
        <f>B44/'- 43 -'!$I44*100</f>
        <v>0</v>
      </c>
      <c r="D44" s="419">
        <v>2341495</v>
      </c>
      <c r="E44" s="70">
        <f>D44/'- 43 -'!$I44*100</f>
        <v>20.64462323460101</v>
      </c>
      <c r="F44" s="419">
        <v>27300</v>
      </c>
      <c r="G44" s="70">
        <f>F44/'- 43 -'!$I44*100</f>
        <v>0.24070015708109885</v>
      </c>
      <c r="H44" s="419">
        <v>0</v>
      </c>
      <c r="I44" s="70">
        <f>H44/'- 43 -'!$I44*100</f>
        <v>0</v>
      </c>
    </row>
    <row r="45" spans="1:9" ht="14.1" customHeight="1">
      <c r="A45" s="285" t="s">
        <v>143</v>
      </c>
      <c r="B45" s="418">
        <v>18777</v>
      </c>
      <c r="C45" s="292">
        <f>B45/'- 43 -'!$I45*100</f>
        <v>9.7826248350090531E-2</v>
      </c>
      <c r="D45" s="418">
        <v>6030207</v>
      </c>
      <c r="E45" s="292">
        <f>D45/'- 43 -'!$I45*100</f>
        <v>31.416761334848719</v>
      </c>
      <c r="F45" s="418">
        <v>66300</v>
      </c>
      <c r="G45" s="292">
        <f>F45/'- 43 -'!$I45*100</f>
        <v>0.34541621481658424</v>
      </c>
      <c r="H45" s="418">
        <v>0</v>
      </c>
      <c r="I45" s="292">
        <f>H45/'- 43 -'!$I45*100</f>
        <v>0</v>
      </c>
    </row>
    <row r="46" spans="1:9" ht="14.1" customHeight="1">
      <c r="A46" s="19" t="s">
        <v>144</v>
      </c>
      <c r="B46" s="419">
        <v>3987968</v>
      </c>
      <c r="C46" s="70">
        <f>B46/'- 43 -'!$I46*100</f>
        <v>1.0222755554027541</v>
      </c>
      <c r="D46" s="419">
        <v>137880768</v>
      </c>
      <c r="E46" s="70">
        <f>D46/'- 43 -'!$I46*100</f>
        <v>35.344350477877029</v>
      </c>
      <c r="F46" s="419">
        <v>2464964</v>
      </c>
      <c r="G46" s="70">
        <f>F46/'- 43 -'!$I46*100</f>
        <v>0.63186877180253065</v>
      </c>
      <c r="H46" s="419">
        <v>2205696</v>
      </c>
      <c r="I46" s="70">
        <f>H46/'- 43 -'!$I46*100</f>
        <v>0.56540802319618244</v>
      </c>
    </row>
    <row r="47" spans="1:9" ht="5.0999999999999996" customHeight="1">
      <c r="A47" s="21"/>
      <c r="B47" s="22"/>
      <c r="C47"/>
      <c r="D47" s="22"/>
      <c r="E47"/>
      <c r="F47" s="22"/>
      <c r="G47"/>
      <c r="H47" s="22"/>
      <c r="I47"/>
    </row>
    <row r="48" spans="1:9" ht="14.1" customHeight="1">
      <c r="A48" s="287" t="s">
        <v>145</v>
      </c>
      <c r="B48" s="422">
        <f>SUM(B11:B46)</f>
        <v>6097546</v>
      </c>
      <c r="C48" s="295">
        <f>B48/'- 43 -'!$I48*100</f>
        <v>0.26551628482217027</v>
      </c>
      <c r="D48" s="422">
        <f>SUM(D11:D46)</f>
        <v>731324742</v>
      </c>
      <c r="E48" s="295">
        <f>D48/'- 43 -'!$I48*100</f>
        <v>31.845373285313833</v>
      </c>
      <c r="F48" s="422">
        <f>SUM(F11:F46)</f>
        <v>13168830</v>
      </c>
      <c r="G48" s="295">
        <f>F48/'- 43 -'!$I48*100</f>
        <v>0.57343377435032727</v>
      </c>
      <c r="H48" s="422">
        <f>SUM(H11:H46)</f>
        <v>92957661</v>
      </c>
      <c r="I48" s="295">
        <f>H48/'- 43 -'!$I48*100</f>
        <v>4.047820679742105</v>
      </c>
    </row>
    <row r="49" spans="1:9" ht="5.0999999999999996" customHeight="1">
      <c r="A49" s="21" t="s">
        <v>7</v>
      </c>
      <c r="B49" s="22"/>
      <c r="C49"/>
      <c r="D49" s="22"/>
      <c r="E49"/>
      <c r="F49" s="22"/>
      <c r="G49"/>
      <c r="H49" s="22"/>
      <c r="I49"/>
    </row>
    <row r="50" spans="1:9" ht="14.1" customHeight="1">
      <c r="A50" s="19" t="s">
        <v>146</v>
      </c>
      <c r="B50" s="419">
        <v>0</v>
      </c>
      <c r="C50" s="70">
        <f>B50/'- 43 -'!$I50*100</f>
        <v>0</v>
      </c>
      <c r="D50" s="419">
        <v>1871553</v>
      </c>
      <c r="E50" s="70">
        <f>D50/'- 43 -'!$I50*100</f>
        <v>55.75979545091608</v>
      </c>
      <c r="F50" s="419">
        <v>0</v>
      </c>
      <c r="G50" s="70">
        <f>F50/'- 43 -'!$I50*100</f>
        <v>0</v>
      </c>
      <c r="H50" s="419">
        <v>0</v>
      </c>
      <c r="I50" s="70">
        <f>H50/'- 43 -'!$I50*100</f>
        <v>0</v>
      </c>
    </row>
    <row r="51" spans="1:9" ht="14.1" customHeight="1">
      <c r="A51" s="285" t="s">
        <v>612</v>
      </c>
      <c r="B51" s="418">
        <v>4646934</v>
      </c>
      <c r="C51" s="292">
        <f>B51/'- 43 -'!$I51*100</f>
        <v>16.598020417748142</v>
      </c>
      <c r="D51" s="418">
        <v>0</v>
      </c>
      <c r="E51" s="292">
        <f>D51/'- 43 -'!$I51*100</f>
        <v>0</v>
      </c>
      <c r="F51" s="418">
        <v>1330448</v>
      </c>
      <c r="G51" s="292">
        <f>F51/'- 43 -'!$I51*100</f>
        <v>4.7521232427127602</v>
      </c>
      <c r="H51" s="418">
        <v>0</v>
      </c>
      <c r="I51" s="292">
        <f>H51/'- 43 -'!$I51*100</f>
        <v>0</v>
      </c>
    </row>
    <row r="52" spans="1:9" ht="50.1" customHeight="1">
      <c r="A52" s="23"/>
      <c r="B52" s="23"/>
      <c r="C52" s="23"/>
      <c r="D52" s="23"/>
      <c r="E52" s="23"/>
      <c r="F52" s="23"/>
      <c r="G52" s="23"/>
      <c r="H52" s="23"/>
      <c r="I52" s="23"/>
    </row>
    <row r="53" spans="1:9" ht="15" customHeight="1">
      <c r="A53" s="730" t="str">
        <f>"(1)  Municipal Government revenue is net of  "&amp;TEXT('- 41 -'!C48,"$0,000,000")&amp; " in Education Property Tax Credit (EPTC) revenue paid directly to school divisions. See
       page 41 for EPTC revenue."</f>
        <v>(1)  Municipal Government revenue is net of  $205,714,578 in Education Property Tax Credit (EPTC) revenue paid directly to school divisions. See
       page 41 for EPTC revenue.</v>
      </c>
      <c r="B53" s="730"/>
      <c r="C53" s="730"/>
      <c r="D53" s="730"/>
      <c r="E53" s="730"/>
      <c r="F53" s="730"/>
      <c r="G53" s="730"/>
      <c r="H53" s="730"/>
      <c r="I53" s="730"/>
    </row>
    <row r="54" spans="1:9">
      <c r="A54" s="731"/>
      <c r="B54" s="731"/>
      <c r="C54" s="731"/>
      <c r="D54" s="731"/>
      <c r="E54" s="731"/>
      <c r="F54" s="731"/>
      <c r="G54" s="731"/>
      <c r="H54" s="731"/>
      <c r="I54" s="731"/>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sheetPr codeName="Sheet38">
    <pageSetUpPr fitToPage="1"/>
  </sheetPr>
  <dimension ref="A1:I52"/>
  <sheetViews>
    <sheetView showGridLines="0" showZeros="0" workbookViewId="0"/>
  </sheetViews>
  <sheetFormatPr defaultColWidth="15.83203125" defaultRowHeight="12"/>
  <cols>
    <col min="1" max="1" width="35.83203125" style="2" customWidth="1"/>
    <col min="2" max="2" width="15.83203125" style="2"/>
    <col min="3" max="3" width="8.83203125" style="2" customWidth="1"/>
    <col min="4" max="4" width="13.83203125" style="2" customWidth="1"/>
    <col min="5" max="5" width="8.83203125" style="2" customWidth="1"/>
    <col min="6" max="6" width="15.83203125" style="2"/>
    <col min="7" max="7" width="8.83203125" style="2" customWidth="1"/>
    <col min="8" max="8" width="4.83203125" style="2" customWidth="1"/>
    <col min="9" max="9" width="19.83203125" style="2" customWidth="1"/>
    <col min="10" max="16384" width="15.83203125" style="2"/>
  </cols>
  <sheetData>
    <row r="1" spans="1:9" ht="6.95" customHeight="1">
      <c r="A1" s="7"/>
    </row>
    <row r="2" spans="1:9" ht="15.95" customHeight="1">
      <c r="A2" s="213"/>
      <c r="B2" s="204" t="str">
        <f>REVYEAR</f>
        <v>ANALYSIS OF OPERATING FUND REVENUE: 2015/2016 ACTUAL</v>
      </c>
      <c r="C2" s="41"/>
      <c r="D2" s="41"/>
      <c r="E2" s="41"/>
      <c r="F2" s="41"/>
      <c r="G2" s="214"/>
      <c r="H2" s="42"/>
      <c r="I2" s="215" t="s">
        <v>9</v>
      </c>
    </row>
    <row r="3" spans="1:9" ht="15.95" customHeight="1">
      <c r="A3" s="539"/>
    </row>
    <row r="4" spans="1:9" ht="15.95" customHeight="1">
      <c r="B4" s="43"/>
      <c r="C4" s="8"/>
      <c r="D4" s="8"/>
      <c r="E4" s="8"/>
      <c r="F4" s="8"/>
      <c r="G4" s="8"/>
      <c r="H4" s="8"/>
      <c r="I4" s="8"/>
    </row>
    <row r="5" spans="1:9" ht="15.95" customHeight="1">
      <c r="B5" s="8"/>
      <c r="C5" s="8"/>
      <c r="D5" s="8"/>
      <c r="E5" s="8"/>
      <c r="F5" s="8"/>
      <c r="G5" s="8"/>
      <c r="H5" s="8"/>
      <c r="I5" s="8"/>
    </row>
    <row r="6" spans="1:9" ht="15.95" customHeight="1">
      <c r="B6" s="670" t="s">
        <v>534</v>
      </c>
      <c r="C6" s="671"/>
      <c r="D6" s="312"/>
      <c r="E6" s="312"/>
      <c r="F6" s="643" t="s">
        <v>535</v>
      </c>
      <c r="G6" s="644"/>
      <c r="H6" s="8"/>
      <c r="I6" s="634" t="s">
        <v>536</v>
      </c>
    </row>
    <row r="7" spans="1:9" ht="15.95" customHeight="1">
      <c r="B7" s="684"/>
      <c r="C7" s="685"/>
      <c r="D7" s="374"/>
      <c r="E7" s="374"/>
      <c r="F7" s="688"/>
      <c r="G7" s="687"/>
      <c r="H7" s="8"/>
      <c r="I7" s="732"/>
    </row>
    <row r="8" spans="1:9" ht="15.95" customHeight="1">
      <c r="A8" s="404"/>
      <c r="B8" s="672"/>
      <c r="C8" s="673"/>
      <c r="D8" s="689" t="s">
        <v>24</v>
      </c>
      <c r="E8" s="649"/>
      <c r="F8" s="645"/>
      <c r="G8" s="646"/>
      <c r="H8" s="8"/>
      <c r="I8" s="733"/>
    </row>
    <row r="9" spans="1:9" ht="15.95" customHeight="1">
      <c r="A9" s="35" t="s">
        <v>42</v>
      </c>
      <c r="B9" s="565" t="s">
        <v>62</v>
      </c>
      <c r="C9" s="115" t="s">
        <v>44</v>
      </c>
      <c r="D9" s="216" t="s">
        <v>62</v>
      </c>
      <c r="E9" s="216" t="s">
        <v>44</v>
      </c>
      <c r="F9" s="206" t="s">
        <v>62</v>
      </c>
      <c r="G9" s="216" t="s">
        <v>44</v>
      </c>
      <c r="H9" s="8"/>
      <c r="I9" s="216" t="s">
        <v>62</v>
      </c>
    </row>
    <row r="10" spans="1:9" ht="5.0999999999999996" customHeight="1">
      <c r="A10" s="6"/>
      <c r="B10" s="207"/>
      <c r="C10" s="207"/>
      <c r="D10" s="207"/>
      <c r="E10" s="207"/>
      <c r="F10" s="207"/>
      <c r="G10" s="7"/>
      <c r="H10" s="7"/>
      <c r="I10" s="207"/>
    </row>
    <row r="11" spans="1:9" ht="14.1" customHeight="1">
      <c r="A11" s="285" t="s">
        <v>110</v>
      </c>
      <c r="B11" s="418">
        <v>19445</v>
      </c>
      <c r="C11" s="292">
        <f>B11/I11*100</f>
        <v>0.10311560800160149</v>
      </c>
      <c r="D11" s="418">
        <v>86312</v>
      </c>
      <c r="E11" s="292">
        <f>D11/I11*100</f>
        <v>0.45770708962891377</v>
      </c>
      <c r="F11" s="286">
        <f>SUM('- 42 -'!$B11,'- 42 -'!$D11,'- 42 -'!$F11,'- 42 -'!$H11,B11,D11)</f>
        <v>6435829</v>
      </c>
      <c r="G11" s="292">
        <f>F11/I11*100</f>
        <v>34.128795079935145</v>
      </c>
      <c r="I11" s="286">
        <f>SUM('- 41 -'!$H11,F11)</f>
        <v>18857475</v>
      </c>
    </row>
    <row r="12" spans="1:9" ht="14.1" customHeight="1">
      <c r="A12" s="19" t="s">
        <v>111</v>
      </c>
      <c r="B12" s="419">
        <v>302549</v>
      </c>
      <c r="C12" s="70">
        <f t="shared" ref="C12:C46" si="0">B12/I12*100</f>
        <v>0.90139498746459457</v>
      </c>
      <c r="D12" s="419">
        <v>228050</v>
      </c>
      <c r="E12" s="70">
        <f t="shared" ref="E12:E46" si="1">D12/I12*100</f>
        <v>0.67943746927374016</v>
      </c>
      <c r="F12" s="20">
        <f>SUM('- 42 -'!$B12,'- 42 -'!$D12,'- 42 -'!$F12,'- 42 -'!$H12,B12,D12)</f>
        <v>11560630</v>
      </c>
      <c r="G12" s="70">
        <f t="shared" ref="G12:G46" si="2">F12/I12*100</f>
        <v>34.442995792195042</v>
      </c>
      <c r="I12" s="20">
        <f>SUM('- 41 -'!$H12,F12)</f>
        <v>33564531</v>
      </c>
    </row>
    <row r="13" spans="1:9" ht="14.1" customHeight="1">
      <c r="A13" s="285" t="s">
        <v>112</v>
      </c>
      <c r="B13" s="418">
        <v>929669</v>
      </c>
      <c r="C13" s="292">
        <f t="shared" si="0"/>
        <v>0.9850887431161357</v>
      </c>
      <c r="D13" s="418">
        <v>86213</v>
      </c>
      <c r="E13" s="292">
        <f t="shared" si="1"/>
        <v>9.135235853865345E-2</v>
      </c>
      <c r="F13" s="286">
        <f>SUM('- 42 -'!$B13,'- 42 -'!$D13,'- 42 -'!$F13,'- 42 -'!$H13,B13,D13)</f>
        <v>36522905</v>
      </c>
      <c r="G13" s="292">
        <f t="shared" si="2"/>
        <v>38.700120775673952</v>
      </c>
      <c r="I13" s="286">
        <f>SUM('- 41 -'!$H13,F13)</f>
        <v>94374137</v>
      </c>
    </row>
    <row r="14" spans="1:9" ht="14.1" customHeight="1">
      <c r="A14" s="19" t="s">
        <v>359</v>
      </c>
      <c r="B14" s="419">
        <v>198790</v>
      </c>
      <c r="C14" s="70">
        <f t="shared" si="0"/>
        <v>0.24106578068999676</v>
      </c>
      <c r="D14" s="419">
        <v>143068</v>
      </c>
      <c r="E14" s="70">
        <f t="shared" si="1"/>
        <v>0.17349363203257936</v>
      </c>
      <c r="F14" s="20">
        <f>SUM('- 42 -'!$B14,'- 42 -'!$D14,'- 42 -'!$F14,'- 42 -'!$H14,B14,D14)</f>
        <v>22727655</v>
      </c>
      <c r="G14" s="70">
        <f t="shared" si="2"/>
        <v>27.561043794093809</v>
      </c>
      <c r="I14" s="20">
        <f>SUM('- 41 -'!$H14,F14)</f>
        <v>82462969</v>
      </c>
    </row>
    <row r="15" spans="1:9" ht="14.1" customHeight="1">
      <c r="A15" s="285" t="s">
        <v>113</v>
      </c>
      <c r="B15" s="418">
        <v>155832</v>
      </c>
      <c r="C15" s="292">
        <f t="shared" si="0"/>
        <v>0.74281509723350092</v>
      </c>
      <c r="D15" s="418">
        <v>276726</v>
      </c>
      <c r="E15" s="292">
        <f t="shared" si="1"/>
        <v>1.3190888302597525</v>
      </c>
      <c r="F15" s="286">
        <f>SUM('- 42 -'!$B15,'- 42 -'!$D15,'- 42 -'!$F15,'- 42 -'!$H15,B15,D15)</f>
        <v>7926025</v>
      </c>
      <c r="G15" s="292">
        <f t="shared" si="2"/>
        <v>37.781527741735708</v>
      </c>
      <c r="I15" s="286">
        <f>SUM('- 41 -'!$H15,F15)</f>
        <v>20978572</v>
      </c>
    </row>
    <row r="16" spans="1:9" ht="14.1" customHeight="1">
      <c r="A16" s="19" t="s">
        <v>114</v>
      </c>
      <c r="B16" s="419">
        <v>242091</v>
      </c>
      <c r="C16" s="70">
        <f t="shared" si="0"/>
        <v>1.7098529471798949</v>
      </c>
      <c r="D16" s="419">
        <v>29446</v>
      </c>
      <c r="E16" s="70">
        <f t="shared" si="1"/>
        <v>0.20797274530097851</v>
      </c>
      <c r="F16" s="20">
        <f>SUM('- 42 -'!$B16,'- 42 -'!$D16,'- 42 -'!$F16,'- 42 -'!$H16,B16,D16)</f>
        <v>3464471</v>
      </c>
      <c r="G16" s="70">
        <f t="shared" si="2"/>
        <v>24.469046555920201</v>
      </c>
      <c r="I16" s="20">
        <f>SUM('- 41 -'!$H16,F16)</f>
        <v>14158586</v>
      </c>
    </row>
    <row r="17" spans="1:9" ht="14.1" customHeight="1">
      <c r="A17" s="285" t="s">
        <v>115</v>
      </c>
      <c r="B17" s="418">
        <v>0</v>
      </c>
      <c r="C17" s="292">
        <f t="shared" si="0"/>
        <v>0</v>
      </c>
      <c r="D17" s="418">
        <v>262150</v>
      </c>
      <c r="E17" s="292">
        <f t="shared" si="1"/>
        <v>1.4235597813381766</v>
      </c>
      <c r="F17" s="286">
        <f>SUM('- 42 -'!$B17,'- 42 -'!$D17,'- 42 -'!$F17,'- 42 -'!$H17,B17,D17)</f>
        <v>8263105</v>
      </c>
      <c r="G17" s="292">
        <f t="shared" si="2"/>
        <v>44.871348262347489</v>
      </c>
      <c r="I17" s="286">
        <f>SUM('- 41 -'!$H17,F17)</f>
        <v>18415103</v>
      </c>
    </row>
    <row r="18" spans="1:9" ht="14.1" customHeight="1">
      <c r="A18" s="19" t="s">
        <v>116</v>
      </c>
      <c r="B18" s="419">
        <v>4890524</v>
      </c>
      <c r="C18" s="70">
        <f t="shared" si="0"/>
        <v>3.6620334078094148</v>
      </c>
      <c r="D18" s="419">
        <v>563401</v>
      </c>
      <c r="E18" s="70">
        <f t="shared" si="1"/>
        <v>0.42187570984075168</v>
      </c>
      <c r="F18" s="20">
        <f>SUM('- 42 -'!$B18,'- 42 -'!$D18,'- 42 -'!$F18,'- 42 -'!$H18,B18,D18)</f>
        <v>81930144</v>
      </c>
      <c r="G18" s="70">
        <f t="shared" si="2"/>
        <v>61.349443216030849</v>
      </c>
      <c r="I18" s="20">
        <f>SUM('- 41 -'!$H18,F18)</f>
        <v>133546679</v>
      </c>
    </row>
    <row r="19" spans="1:9" ht="14.1" customHeight="1">
      <c r="A19" s="285" t="s">
        <v>117</v>
      </c>
      <c r="B19" s="418">
        <v>40494</v>
      </c>
      <c r="C19" s="292">
        <f t="shared" si="0"/>
        <v>8.3689931099340836E-2</v>
      </c>
      <c r="D19" s="418">
        <v>570971</v>
      </c>
      <c r="E19" s="292">
        <f t="shared" si="1"/>
        <v>1.1800396021564119</v>
      </c>
      <c r="F19" s="286">
        <f>SUM('- 42 -'!$B19,'- 42 -'!$D19,'- 42 -'!$F19,'- 42 -'!$H19,B19,D19)</f>
        <v>15896100</v>
      </c>
      <c r="G19" s="292">
        <f t="shared" si="2"/>
        <v>32.852855083425489</v>
      </c>
      <c r="I19" s="286">
        <f>SUM('- 41 -'!$H19,F19)</f>
        <v>48385749</v>
      </c>
    </row>
    <row r="20" spans="1:9" ht="14.1" customHeight="1">
      <c r="A20" s="19" t="s">
        <v>118</v>
      </c>
      <c r="B20" s="419">
        <v>424888</v>
      </c>
      <c r="C20" s="70">
        <f t="shared" si="0"/>
        <v>0.51406756773597106</v>
      </c>
      <c r="D20" s="419">
        <v>154490</v>
      </c>
      <c r="E20" s="70">
        <f t="shared" si="1"/>
        <v>0.18691584262094996</v>
      </c>
      <c r="F20" s="20">
        <f>SUM('- 42 -'!$B20,'- 42 -'!$D20,'- 42 -'!$F20,'- 42 -'!$H20,B20,D20)</f>
        <v>24425452</v>
      </c>
      <c r="G20" s="70">
        <f t="shared" si="2"/>
        <v>29.552100084002635</v>
      </c>
      <c r="I20" s="20">
        <f>SUM('- 41 -'!$H20,F20)</f>
        <v>82652170</v>
      </c>
    </row>
    <row r="21" spans="1:9" ht="14.1" customHeight="1">
      <c r="A21" s="285" t="s">
        <v>119</v>
      </c>
      <c r="B21" s="418">
        <v>218163</v>
      </c>
      <c r="C21" s="292">
        <f t="shared" si="0"/>
        <v>0.59976089069535576</v>
      </c>
      <c r="D21" s="418">
        <v>149507</v>
      </c>
      <c r="E21" s="292">
        <f t="shared" si="1"/>
        <v>0.41101585275775704</v>
      </c>
      <c r="F21" s="286">
        <f>SUM('- 42 -'!$B21,'- 42 -'!$D21,'- 42 -'!$F21,'- 42 -'!$H21,B21,D21)</f>
        <v>13372401</v>
      </c>
      <c r="G21" s="292">
        <f t="shared" si="2"/>
        <v>36.762618475614403</v>
      </c>
      <c r="I21" s="286">
        <f>SUM('- 41 -'!$H21,F21)</f>
        <v>36374996</v>
      </c>
    </row>
    <row r="22" spans="1:9" ht="14.1" customHeight="1">
      <c r="A22" s="19" t="s">
        <v>120</v>
      </c>
      <c r="B22" s="419">
        <v>0</v>
      </c>
      <c r="C22" s="70">
        <f t="shared" si="0"/>
        <v>0</v>
      </c>
      <c r="D22" s="419">
        <v>130031</v>
      </c>
      <c r="E22" s="70">
        <f t="shared" si="1"/>
        <v>0.64160421234128517</v>
      </c>
      <c r="F22" s="20">
        <f>SUM('- 42 -'!$B22,'- 42 -'!$D22,'- 42 -'!$F22,'- 42 -'!$H22,B22,D22)</f>
        <v>3556137</v>
      </c>
      <c r="G22" s="70">
        <f t="shared" si="2"/>
        <v>17.546834822947613</v>
      </c>
      <c r="I22" s="20">
        <f>SUM('- 41 -'!$H22,F22)</f>
        <v>20266544</v>
      </c>
    </row>
    <row r="23" spans="1:9" ht="14.1" customHeight="1">
      <c r="A23" s="285" t="s">
        <v>121</v>
      </c>
      <c r="B23" s="418">
        <v>138725</v>
      </c>
      <c r="C23" s="292">
        <f t="shared" si="0"/>
        <v>0.80664851656625491</v>
      </c>
      <c r="D23" s="418">
        <v>376046</v>
      </c>
      <c r="E23" s="292">
        <f t="shared" si="1"/>
        <v>2.1866062213780784</v>
      </c>
      <c r="F23" s="286">
        <f>SUM('- 42 -'!$B23,'- 42 -'!$D23,'- 42 -'!$F23,'- 42 -'!$H23,B23,D23)</f>
        <v>5133844</v>
      </c>
      <c r="G23" s="292">
        <f t="shared" si="2"/>
        <v>29.85192032353627</v>
      </c>
      <c r="I23" s="286">
        <f>SUM('- 41 -'!$H23,F23)</f>
        <v>17197701</v>
      </c>
    </row>
    <row r="24" spans="1:9" ht="14.1" customHeight="1">
      <c r="A24" s="19" t="s">
        <v>122</v>
      </c>
      <c r="B24" s="419">
        <v>618997</v>
      </c>
      <c r="C24" s="70">
        <f t="shared" si="0"/>
        <v>1.0770930568713806</v>
      </c>
      <c r="D24" s="419">
        <v>249968</v>
      </c>
      <c r="E24" s="70">
        <f t="shared" si="1"/>
        <v>0.43495977725259616</v>
      </c>
      <c r="F24" s="20">
        <f>SUM('- 42 -'!$B24,'- 42 -'!$D24,'- 42 -'!$F24,'- 42 -'!$H24,B24,D24)</f>
        <v>22995805</v>
      </c>
      <c r="G24" s="70">
        <f t="shared" si="2"/>
        <v>40.014122689880857</v>
      </c>
      <c r="I24" s="20">
        <f>SUM('- 41 -'!$H24,F24)</f>
        <v>57469222</v>
      </c>
    </row>
    <row r="25" spans="1:9" ht="14.1" customHeight="1">
      <c r="A25" s="285" t="s">
        <v>123</v>
      </c>
      <c r="B25" s="418">
        <v>4307309</v>
      </c>
      <c r="C25" s="292">
        <f t="shared" si="0"/>
        <v>2.4841173946685644</v>
      </c>
      <c r="D25" s="418">
        <v>253453</v>
      </c>
      <c r="E25" s="292">
        <f t="shared" si="1"/>
        <v>0.1461717759350285</v>
      </c>
      <c r="F25" s="286">
        <f>SUM('- 42 -'!$B25,'- 42 -'!$D25,'- 42 -'!$F25,'- 42 -'!$H25,B25,D25)</f>
        <v>68035065</v>
      </c>
      <c r="G25" s="292">
        <f t="shared" si="2"/>
        <v>39.237279799036109</v>
      </c>
      <c r="I25" s="286">
        <f>SUM('- 41 -'!$H25,F25)</f>
        <v>173393939</v>
      </c>
    </row>
    <row r="26" spans="1:9" ht="14.1" customHeight="1">
      <c r="A26" s="19" t="s">
        <v>124</v>
      </c>
      <c r="B26" s="419">
        <v>576653</v>
      </c>
      <c r="C26" s="70">
        <f t="shared" si="0"/>
        <v>1.4131411370094284</v>
      </c>
      <c r="D26" s="419">
        <v>85237</v>
      </c>
      <c r="E26" s="70">
        <f t="shared" si="1"/>
        <v>0.20888109676924019</v>
      </c>
      <c r="F26" s="20">
        <f>SUM('- 42 -'!$B26,'- 42 -'!$D26,'- 42 -'!$F26,'- 42 -'!$H26,B26,D26)</f>
        <v>13220020</v>
      </c>
      <c r="G26" s="70">
        <f t="shared" si="2"/>
        <v>32.396873152636658</v>
      </c>
      <c r="I26" s="20">
        <f>SUM('- 41 -'!$H26,F26)</f>
        <v>40806469</v>
      </c>
    </row>
    <row r="27" spans="1:9" ht="14.1" customHeight="1">
      <c r="A27" s="285" t="s">
        <v>125</v>
      </c>
      <c r="B27" s="418">
        <v>176896</v>
      </c>
      <c r="C27" s="292">
        <f t="shared" si="0"/>
        <v>0.4314915982246732</v>
      </c>
      <c r="D27" s="418">
        <v>197696</v>
      </c>
      <c r="E27" s="292">
        <f t="shared" si="1"/>
        <v>0.48222776661216188</v>
      </c>
      <c r="F27" s="286">
        <f>SUM('- 42 -'!$B27,'- 42 -'!$D27,'- 42 -'!$F27,'- 42 -'!$H27,B27,D27)</f>
        <v>9342939</v>
      </c>
      <c r="G27" s="292">
        <f t="shared" si="2"/>
        <v>22.789659920097851</v>
      </c>
      <c r="I27" s="286">
        <f>SUM('- 41 -'!$H27,F27)</f>
        <v>40996395</v>
      </c>
    </row>
    <row r="28" spans="1:9" ht="14.1" customHeight="1">
      <c r="A28" s="19" t="s">
        <v>126</v>
      </c>
      <c r="B28" s="419">
        <v>16800</v>
      </c>
      <c r="C28" s="70">
        <f t="shared" si="0"/>
        <v>6.0376529601642123E-2</v>
      </c>
      <c r="D28" s="419">
        <v>18071</v>
      </c>
      <c r="E28" s="70">
        <f t="shared" si="1"/>
        <v>6.4944301573290175E-2</v>
      </c>
      <c r="F28" s="20">
        <f>SUM('- 42 -'!$B28,'- 42 -'!$D28,'- 42 -'!$F28,'- 42 -'!$H28,B28,D28)</f>
        <v>13913541</v>
      </c>
      <c r="G28" s="70">
        <f t="shared" si="2"/>
        <v>50.003054764890564</v>
      </c>
      <c r="I28" s="20">
        <f>SUM('- 41 -'!$H28,F28)</f>
        <v>27825382</v>
      </c>
    </row>
    <row r="29" spans="1:9" ht="14.1" customHeight="1">
      <c r="A29" s="285" t="s">
        <v>127</v>
      </c>
      <c r="B29" s="418">
        <v>3220060</v>
      </c>
      <c r="C29" s="292">
        <f t="shared" si="0"/>
        <v>2.0171903386276386</v>
      </c>
      <c r="D29" s="418">
        <v>906161</v>
      </c>
      <c r="E29" s="292">
        <f t="shared" si="1"/>
        <v>0.56765998597577683</v>
      </c>
      <c r="F29" s="286">
        <f>SUM('- 42 -'!$B29,'- 42 -'!$D29,'- 42 -'!$F29,'- 42 -'!$H29,B29,D29)</f>
        <v>75539641</v>
      </c>
      <c r="G29" s="292">
        <f t="shared" si="2"/>
        <v>47.321426932603828</v>
      </c>
      <c r="I29" s="286">
        <f>SUM('- 41 -'!$H29,F29)</f>
        <v>159630945</v>
      </c>
    </row>
    <row r="30" spans="1:9" ht="14.1" customHeight="1">
      <c r="A30" s="19" t="s">
        <v>128</v>
      </c>
      <c r="B30" s="419">
        <v>1548</v>
      </c>
      <c r="C30" s="70">
        <f t="shared" si="0"/>
        <v>1.0791113392643097E-2</v>
      </c>
      <c r="D30" s="419">
        <v>28957</v>
      </c>
      <c r="E30" s="70">
        <f t="shared" si="1"/>
        <v>0.20185934787517193</v>
      </c>
      <c r="F30" s="20">
        <f>SUM('- 42 -'!$B30,'- 42 -'!$D30,'- 42 -'!$F30,'- 42 -'!$H30,B30,D30)</f>
        <v>4877960</v>
      </c>
      <c r="G30" s="70">
        <f t="shared" si="2"/>
        <v>34.004276152956919</v>
      </c>
      <c r="I30" s="20">
        <f>SUM('- 41 -'!$H30,F30)</f>
        <v>14345137</v>
      </c>
    </row>
    <row r="31" spans="1:9" ht="14.1" customHeight="1">
      <c r="A31" s="285" t="s">
        <v>129</v>
      </c>
      <c r="B31" s="418">
        <v>9600</v>
      </c>
      <c r="C31" s="292">
        <f t="shared" si="0"/>
        <v>2.5349567231396055E-2</v>
      </c>
      <c r="D31" s="418">
        <v>142894</v>
      </c>
      <c r="E31" s="292">
        <f t="shared" si="1"/>
        <v>0.37732302707949039</v>
      </c>
      <c r="F31" s="286">
        <f>SUM('- 42 -'!$B31,'- 42 -'!$D31,'- 42 -'!$F31,'- 42 -'!$H31,B31,D31)</f>
        <v>14118879</v>
      </c>
      <c r="G31" s="292">
        <f t="shared" si="2"/>
        <v>37.282028379421448</v>
      </c>
      <c r="I31" s="286">
        <f>SUM('- 41 -'!$H31,F31)</f>
        <v>37870469</v>
      </c>
    </row>
    <row r="32" spans="1:9" ht="14.1" customHeight="1">
      <c r="A32" s="19" t="s">
        <v>130</v>
      </c>
      <c r="B32" s="419">
        <v>3394</v>
      </c>
      <c r="C32" s="70">
        <f t="shared" si="0"/>
        <v>1.1468550996226462E-2</v>
      </c>
      <c r="D32" s="419">
        <v>117997</v>
      </c>
      <c r="E32" s="70">
        <f t="shared" si="1"/>
        <v>0.39871968529809482</v>
      </c>
      <c r="F32" s="20">
        <f>SUM('- 42 -'!$B32,'- 42 -'!$D32,'- 42 -'!$F32,'- 42 -'!$H32,B32,D32)</f>
        <v>12271586</v>
      </c>
      <c r="G32" s="70">
        <f t="shared" si="2"/>
        <v>41.466502606240041</v>
      </c>
      <c r="I32" s="20">
        <f>SUM('- 41 -'!$H32,F32)</f>
        <v>29593974</v>
      </c>
    </row>
    <row r="33" spans="1:9" ht="14.1" customHeight="1">
      <c r="A33" s="285" t="s">
        <v>131</v>
      </c>
      <c r="B33" s="418">
        <v>130307</v>
      </c>
      <c r="C33" s="292">
        <f t="shared" si="0"/>
        <v>0.45940534494869534</v>
      </c>
      <c r="D33" s="418">
        <v>44971</v>
      </c>
      <c r="E33" s="292">
        <f t="shared" si="1"/>
        <v>0.1585480271028247</v>
      </c>
      <c r="F33" s="286">
        <f>SUM('- 42 -'!$B33,'- 42 -'!$D33,'- 42 -'!$F33,'- 42 -'!$H33,B33,D33)</f>
        <v>10740098</v>
      </c>
      <c r="G33" s="292">
        <f t="shared" si="2"/>
        <v>37.864876226701504</v>
      </c>
      <c r="I33" s="286">
        <f>SUM('- 41 -'!$H33,F33)</f>
        <v>28364276</v>
      </c>
    </row>
    <row r="34" spans="1:9" ht="14.1" customHeight="1">
      <c r="A34" s="19" t="s">
        <v>132</v>
      </c>
      <c r="B34" s="419">
        <v>154167</v>
      </c>
      <c r="C34" s="70">
        <f t="shared" si="0"/>
        <v>0.53609505727221518</v>
      </c>
      <c r="D34" s="419">
        <v>125883</v>
      </c>
      <c r="E34" s="70">
        <f t="shared" si="1"/>
        <v>0.43774124225416761</v>
      </c>
      <c r="F34" s="20">
        <f>SUM('- 42 -'!$B34,'- 42 -'!$D34,'- 42 -'!$F34,'- 42 -'!$H34,B34,D34)</f>
        <v>12541360</v>
      </c>
      <c r="G34" s="70">
        <f t="shared" si="2"/>
        <v>43.610896673551849</v>
      </c>
      <c r="I34" s="20">
        <f>SUM('- 41 -'!$H34,F34)</f>
        <v>28757400</v>
      </c>
    </row>
    <row r="35" spans="1:9" ht="14.1" customHeight="1">
      <c r="A35" s="285" t="s">
        <v>133</v>
      </c>
      <c r="B35" s="418">
        <v>1877252</v>
      </c>
      <c r="C35" s="292">
        <f t="shared" si="0"/>
        <v>1.0220723843713282</v>
      </c>
      <c r="D35" s="418">
        <v>233481</v>
      </c>
      <c r="E35" s="292">
        <f t="shared" si="1"/>
        <v>0.12711904548531686</v>
      </c>
      <c r="F35" s="286">
        <f>SUM('- 42 -'!$B35,'- 42 -'!$D35,'- 42 -'!$F35,'- 42 -'!$H35,B35,D35)</f>
        <v>61917137</v>
      </c>
      <c r="G35" s="292">
        <f t="shared" si="2"/>
        <v>33.710868784284784</v>
      </c>
      <c r="I35" s="286">
        <f>SUM('- 41 -'!$H35,F35)</f>
        <v>183671140</v>
      </c>
    </row>
    <row r="36" spans="1:9" ht="14.1" customHeight="1">
      <c r="A36" s="19" t="s">
        <v>134</v>
      </c>
      <c r="B36" s="419">
        <v>63176</v>
      </c>
      <c r="C36" s="70">
        <f t="shared" si="0"/>
        <v>0.2633244326151668</v>
      </c>
      <c r="D36" s="419">
        <v>239803</v>
      </c>
      <c r="E36" s="70">
        <f t="shared" si="1"/>
        <v>0.99952496065618035</v>
      </c>
      <c r="F36" s="20">
        <f>SUM('- 42 -'!$B36,'- 42 -'!$D36,'- 42 -'!$F36,'- 42 -'!$H36,B36,D36)</f>
        <v>10006768</v>
      </c>
      <c r="G36" s="70">
        <f t="shared" si="2"/>
        <v>41.709296345314797</v>
      </c>
      <c r="I36" s="20">
        <f>SUM('- 41 -'!$H36,F36)</f>
        <v>23991697</v>
      </c>
    </row>
    <row r="37" spans="1:9" ht="14.1" customHeight="1">
      <c r="A37" s="285" t="s">
        <v>135</v>
      </c>
      <c r="B37" s="418">
        <v>51917</v>
      </c>
      <c r="C37" s="292">
        <f t="shared" si="0"/>
        <v>0.10451140530508163</v>
      </c>
      <c r="D37" s="418">
        <v>64992</v>
      </c>
      <c r="E37" s="292">
        <f t="shared" si="1"/>
        <v>0.13083200596313088</v>
      </c>
      <c r="F37" s="286">
        <f>SUM('- 42 -'!$B37,'- 42 -'!$D37,'- 42 -'!$F37,'- 42 -'!$H37,B37,D37)</f>
        <v>13709874</v>
      </c>
      <c r="G37" s="292">
        <f t="shared" si="2"/>
        <v>27.598632399707242</v>
      </c>
      <c r="I37" s="286">
        <f>SUM('- 41 -'!$H37,F37)</f>
        <v>49675918</v>
      </c>
    </row>
    <row r="38" spans="1:9" ht="14.1" customHeight="1">
      <c r="A38" s="19" t="s">
        <v>136</v>
      </c>
      <c r="B38" s="419">
        <v>1108201</v>
      </c>
      <c r="C38" s="70">
        <f t="shared" si="0"/>
        <v>0.83295381805895319</v>
      </c>
      <c r="D38" s="419">
        <v>269355</v>
      </c>
      <c r="E38" s="70">
        <f t="shared" si="1"/>
        <v>0.20245449666916859</v>
      </c>
      <c r="F38" s="20">
        <f>SUM('- 42 -'!$B38,'- 42 -'!$D38,'- 42 -'!$F38,'- 42 -'!$H38,B38,D38)</f>
        <v>41071059</v>
      </c>
      <c r="G38" s="70">
        <f t="shared" si="2"/>
        <v>30.870117790702707</v>
      </c>
      <c r="I38" s="20">
        <f>SUM('- 41 -'!$H38,F38)</f>
        <v>133044711</v>
      </c>
    </row>
    <row r="39" spans="1:9" ht="14.1" customHeight="1">
      <c r="A39" s="285" t="s">
        <v>137</v>
      </c>
      <c r="B39" s="418">
        <v>0</v>
      </c>
      <c r="C39" s="292">
        <f t="shared" si="0"/>
        <v>0</v>
      </c>
      <c r="D39" s="418">
        <v>52654</v>
      </c>
      <c r="E39" s="292">
        <f t="shared" si="1"/>
        <v>0.23216152770345228</v>
      </c>
      <c r="F39" s="286">
        <f>SUM('- 42 -'!$B39,'- 42 -'!$D39,'- 42 -'!$F39,'- 42 -'!$H39,B39,D39)</f>
        <v>10393424</v>
      </c>
      <c r="G39" s="292">
        <f t="shared" si="2"/>
        <v>45.826588557559269</v>
      </c>
      <c r="I39" s="286">
        <f>SUM('- 41 -'!$H39,F39)</f>
        <v>22679899</v>
      </c>
    </row>
    <row r="40" spans="1:9" ht="14.1" customHeight="1">
      <c r="A40" s="19" t="s">
        <v>138</v>
      </c>
      <c r="B40" s="419">
        <v>2800183</v>
      </c>
      <c r="C40" s="70">
        <f t="shared" si="0"/>
        <v>2.6983700443143626</v>
      </c>
      <c r="D40" s="419">
        <v>818906</v>
      </c>
      <c r="E40" s="70">
        <f t="shared" si="1"/>
        <v>0.78913107447238173</v>
      </c>
      <c r="F40" s="20">
        <f>SUM('- 42 -'!$B40,'- 42 -'!$D40,'- 42 -'!$F40,'- 42 -'!$H40,B40,D40)</f>
        <v>45403067</v>
      </c>
      <c r="G40" s="70">
        <f t="shared" si="2"/>
        <v>43.752239018949105</v>
      </c>
      <c r="I40" s="20">
        <f>SUM('- 41 -'!$H40,F40)</f>
        <v>103773128</v>
      </c>
    </row>
    <row r="41" spans="1:9" ht="14.1" customHeight="1">
      <c r="A41" s="285" t="s">
        <v>139</v>
      </c>
      <c r="B41" s="418">
        <v>45930</v>
      </c>
      <c r="C41" s="292">
        <f t="shared" si="0"/>
        <v>7.1267008714172325E-2</v>
      </c>
      <c r="D41" s="418">
        <v>138227</v>
      </c>
      <c r="E41" s="292">
        <f t="shared" si="1"/>
        <v>0.21447909456855865</v>
      </c>
      <c r="F41" s="286">
        <f>SUM('- 42 -'!$B41,'- 42 -'!$D41,'- 42 -'!$F41,'- 42 -'!$H41,B41,D41)</f>
        <v>26091109</v>
      </c>
      <c r="G41" s="292">
        <f t="shared" si="2"/>
        <v>40.484112616273023</v>
      </c>
      <c r="I41" s="286">
        <f>SUM('- 41 -'!$H41,F41)</f>
        <v>64447773</v>
      </c>
    </row>
    <row r="42" spans="1:9" ht="14.1" customHeight="1">
      <c r="A42" s="19" t="s">
        <v>140</v>
      </c>
      <c r="B42" s="419">
        <v>262558</v>
      </c>
      <c r="C42" s="70">
        <f t="shared" si="0"/>
        <v>1.2406427765509547</v>
      </c>
      <c r="D42" s="419">
        <v>102988</v>
      </c>
      <c r="E42" s="70">
        <f t="shared" si="1"/>
        <v>0.48664035478419898</v>
      </c>
      <c r="F42" s="20">
        <f>SUM('- 42 -'!$B42,'- 42 -'!$D42,'- 42 -'!$F42,'- 42 -'!$H42,B42,D42)</f>
        <v>6041696</v>
      </c>
      <c r="G42" s="70">
        <f t="shared" si="2"/>
        <v>28.548307423566587</v>
      </c>
      <c r="I42" s="20">
        <f>SUM('- 41 -'!$H42,F42)</f>
        <v>21163062</v>
      </c>
    </row>
    <row r="43" spans="1:9" ht="14.1" customHeight="1">
      <c r="A43" s="285" t="s">
        <v>141</v>
      </c>
      <c r="B43" s="418">
        <v>17984</v>
      </c>
      <c r="C43" s="292">
        <f t="shared" si="0"/>
        <v>0.13720503187857905</v>
      </c>
      <c r="D43" s="418">
        <v>14904</v>
      </c>
      <c r="E43" s="292">
        <f t="shared" si="1"/>
        <v>0.11370683914136688</v>
      </c>
      <c r="F43" s="286">
        <f>SUM('- 42 -'!$B43,'- 42 -'!$D43,'- 42 -'!$F43,'- 42 -'!$H43,B43,D43)</f>
        <v>5246689</v>
      </c>
      <c r="G43" s="292">
        <f t="shared" si="2"/>
        <v>40.028477063055497</v>
      </c>
      <c r="I43" s="286">
        <f>SUM('- 41 -'!$H43,F43)</f>
        <v>13107391</v>
      </c>
    </row>
    <row r="44" spans="1:9" ht="14.1" customHeight="1">
      <c r="A44" s="19" t="s">
        <v>142</v>
      </c>
      <c r="B44" s="419">
        <v>13047</v>
      </c>
      <c r="C44" s="70">
        <f t="shared" si="0"/>
        <v>0.11503351463139548</v>
      </c>
      <c r="D44" s="419">
        <v>5854</v>
      </c>
      <c r="E44" s="70">
        <f t="shared" si="1"/>
        <v>5.1613872511089835E-2</v>
      </c>
      <c r="F44" s="20">
        <f>SUM('- 42 -'!$B44,'- 42 -'!$D44,'- 42 -'!$F44,'- 42 -'!$H44,B44,D44)</f>
        <v>2387696</v>
      </c>
      <c r="G44" s="70">
        <f t="shared" si="2"/>
        <v>21.051970778824593</v>
      </c>
      <c r="I44" s="20">
        <f>SUM('- 41 -'!$H44,F44)</f>
        <v>11341912</v>
      </c>
    </row>
    <row r="45" spans="1:9" ht="14.1" customHeight="1">
      <c r="A45" s="285" t="s">
        <v>143</v>
      </c>
      <c r="B45" s="418">
        <v>219288</v>
      </c>
      <c r="C45" s="292">
        <f t="shared" si="0"/>
        <v>1.142468037929097</v>
      </c>
      <c r="D45" s="418">
        <v>16084</v>
      </c>
      <c r="E45" s="292">
        <f t="shared" si="1"/>
        <v>8.3795993953392781E-2</v>
      </c>
      <c r="F45" s="286">
        <f>SUM('- 42 -'!$B45,'- 42 -'!$D45,'- 42 -'!$F45,'- 42 -'!$H45,B45,D45)</f>
        <v>6350656</v>
      </c>
      <c r="G45" s="292">
        <f t="shared" si="2"/>
        <v>33.086267829897878</v>
      </c>
      <c r="I45" s="286">
        <f>SUM('- 41 -'!$H45,F45)</f>
        <v>19194235</v>
      </c>
    </row>
    <row r="46" spans="1:9" ht="14.1" customHeight="1">
      <c r="A46" s="19" t="s">
        <v>144</v>
      </c>
      <c r="B46" s="419">
        <v>764701</v>
      </c>
      <c r="C46" s="70">
        <f t="shared" si="0"/>
        <v>0.19602342333038819</v>
      </c>
      <c r="D46" s="419">
        <v>789656</v>
      </c>
      <c r="E46" s="70">
        <f t="shared" si="1"/>
        <v>0.20242038701843074</v>
      </c>
      <c r="F46" s="20">
        <f>SUM('- 42 -'!$B46,'- 42 -'!$D46,'- 42 -'!$F46,'- 42 -'!$H46,B46,D46)</f>
        <v>148093753</v>
      </c>
      <c r="G46" s="70">
        <f t="shared" si="2"/>
        <v>37.962346638627317</v>
      </c>
      <c r="I46" s="20">
        <f>SUM('- 41 -'!$H46,F46)</f>
        <v>390106951</v>
      </c>
    </row>
    <row r="47" spans="1:9" ht="5.0999999999999996" customHeight="1">
      <c r="A47" s="21"/>
      <c r="B47" s="22"/>
      <c r="C47"/>
      <c r="D47" s="22"/>
      <c r="E47"/>
      <c r="F47" s="22"/>
      <c r="G47"/>
      <c r="I47" s="22"/>
    </row>
    <row r="48" spans="1:9" ht="14.1" customHeight="1">
      <c r="A48" s="287" t="s">
        <v>145</v>
      </c>
      <c r="B48" s="422">
        <f>SUM(B11:B46)</f>
        <v>24001138</v>
      </c>
      <c r="C48" s="295">
        <f>B48/I48*100</f>
        <v>1.0451242177204101</v>
      </c>
      <c r="D48" s="422">
        <f>SUM(D11:D46)</f>
        <v>7974603</v>
      </c>
      <c r="E48" s="295">
        <f>D48/I48*100</f>
        <v>0.34725231453632882</v>
      </c>
      <c r="F48" s="288">
        <f>SUM(F11:F46)</f>
        <v>875524520</v>
      </c>
      <c r="G48" s="295">
        <f>F48/I48*100</f>
        <v>38.124520556485173</v>
      </c>
      <c r="I48" s="288">
        <f>SUM(I11:I46)</f>
        <v>2296486637</v>
      </c>
    </row>
    <row r="49" spans="1:9" ht="5.0999999999999996" customHeight="1">
      <c r="A49" s="21" t="s">
        <v>7</v>
      </c>
      <c r="B49" s="22"/>
      <c r="C49"/>
      <c r="D49" s="22"/>
      <c r="E49"/>
      <c r="F49" s="22"/>
      <c r="G49"/>
      <c r="I49" s="22"/>
    </row>
    <row r="50" spans="1:9" ht="14.1" customHeight="1">
      <c r="A50" s="19" t="s">
        <v>146</v>
      </c>
      <c r="B50" s="419">
        <v>0</v>
      </c>
      <c r="C50" s="70">
        <f>B50/I50*100</f>
        <v>0</v>
      </c>
      <c r="D50" s="419">
        <v>32855</v>
      </c>
      <c r="E50" s="70">
        <f>D50/I50*100</f>
        <v>0.97885984502701662</v>
      </c>
      <c r="F50" s="20">
        <f>SUM('- 42 -'!$B50,'- 42 -'!$D50,'- 42 -'!$F50,'- 42 -'!$H50,B50,D50)</f>
        <v>1904408</v>
      </c>
      <c r="G50" s="70">
        <f>F50/I50*100</f>
        <v>56.738655295943097</v>
      </c>
      <c r="I50" s="20">
        <f>SUM('- 41 -'!$H50,F50)</f>
        <v>3356456</v>
      </c>
    </row>
    <row r="51" spans="1:9" ht="14.1" customHeight="1">
      <c r="A51" s="285" t="s">
        <v>612</v>
      </c>
      <c r="B51" s="418">
        <v>12068377</v>
      </c>
      <c r="C51" s="292">
        <f>B51/I51*100</f>
        <v>43.106092717280262</v>
      </c>
      <c r="D51" s="418">
        <v>339227</v>
      </c>
      <c r="E51" s="292">
        <f>D51/I51*100</f>
        <v>1.2116584122458913</v>
      </c>
      <c r="F51" s="286">
        <f>SUM('- 42 -'!$B51,'- 42 -'!$D51,'- 42 -'!$F51,'- 42 -'!$H51,B51,D51)</f>
        <v>18384986</v>
      </c>
      <c r="G51" s="292">
        <f>F51/I51*100</f>
        <v>65.667894789987059</v>
      </c>
      <c r="I51" s="286">
        <f>SUM('- 41 -'!$H51,F51)</f>
        <v>27996917</v>
      </c>
    </row>
    <row r="52" spans="1:9" ht="50.1" customHeight="1"/>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sheetPr codeName="Sheet23"/>
  <dimension ref="A1:E58"/>
  <sheetViews>
    <sheetView showGridLines="0" showZeros="0" workbookViewId="0"/>
  </sheetViews>
  <sheetFormatPr defaultColWidth="15.83203125" defaultRowHeight="12"/>
  <cols>
    <col min="1" max="1" width="37.33203125" style="2" customWidth="1"/>
    <col min="2" max="2" width="23.6640625" style="2" customWidth="1"/>
    <col min="3" max="3" width="25.1640625" style="2" customWidth="1"/>
    <col min="4" max="4" width="22.6640625" style="2" customWidth="1"/>
    <col min="5" max="5" width="17.1640625" style="2" customWidth="1"/>
    <col min="6" max="16384" width="15.83203125" style="2"/>
  </cols>
  <sheetData>
    <row r="1" spans="1:5" ht="6.95" customHeight="1">
      <c r="A1" s="7"/>
    </row>
    <row r="2" spans="1:5" ht="14.1" customHeight="1">
      <c r="A2" s="63"/>
      <c r="B2" s="448" t="s">
        <v>223</v>
      </c>
      <c r="C2" s="208"/>
      <c r="D2" s="208"/>
      <c r="E2" s="209"/>
    </row>
    <row r="3" spans="1:5" ht="14.1" customHeight="1">
      <c r="A3" s="544"/>
      <c r="B3" s="23"/>
      <c r="C3" s="449" t="str">
        <f>"FOR THE YEAR ENDED JUNE 30, "&amp;SPRINGYR</f>
        <v>FOR THE YEAR ENDED JUNE 30, 2016</v>
      </c>
      <c r="D3" s="211"/>
      <c r="E3" s="212"/>
    </row>
    <row r="7" spans="1:5" ht="13.5">
      <c r="B7" s="691" t="s">
        <v>384</v>
      </c>
      <c r="C7" s="692"/>
      <c r="D7" s="734"/>
      <c r="E7" s="639" t="str">
        <f>"% OF "&amp;FALLYR&amp;"/"&amp;SPRINGYR&amp;" OPERATING"</f>
        <v>% OF 2015/2016 OPERATING</v>
      </c>
    </row>
    <row r="8" spans="1:5">
      <c r="A8" s="67"/>
      <c r="B8" s="339"/>
      <c r="C8" s="376"/>
      <c r="D8" s="376"/>
      <c r="E8" s="735"/>
    </row>
    <row r="9" spans="1:5" ht="14.25">
      <c r="A9" s="35" t="s">
        <v>42</v>
      </c>
      <c r="B9" s="446" t="s">
        <v>380</v>
      </c>
      <c r="C9" s="446" t="s">
        <v>276</v>
      </c>
      <c r="D9" s="507" t="s">
        <v>31</v>
      </c>
      <c r="E9" s="426" t="s">
        <v>381</v>
      </c>
    </row>
    <row r="10" spans="1:5" ht="5.0999999999999996" customHeight="1">
      <c r="A10" s="6"/>
      <c r="B10" s="7"/>
      <c r="C10" s="7"/>
      <c r="D10" s="7"/>
      <c r="E10" s="7"/>
    </row>
    <row r="11" spans="1:5" ht="14.1" customHeight="1">
      <c r="A11" s="285" t="s">
        <v>110</v>
      </c>
      <c r="B11" s="418">
        <v>45580</v>
      </c>
      <c r="C11" s="418">
        <v>673880</v>
      </c>
      <c r="D11" s="286">
        <f>+B11+C11</f>
        <v>719460</v>
      </c>
      <c r="E11" s="292">
        <f>D11/'- 3 -'!$B11*100</f>
        <v>3.9999848776042213</v>
      </c>
    </row>
    <row r="12" spans="1:5" ht="14.1" customHeight="1">
      <c r="A12" s="19" t="s">
        <v>111</v>
      </c>
      <c r="B12" s="419">
        <v>520103</v>
      </c>
      <c r="C12" s="419">
        <v>74768</v>
      </c>
      <c r="D12" s="20">
        <f t="shared" ref="D12:D46" si="0">+B12+C12</f>
        <v>594871</v>
      </c>
      <c r="E12" s="70">
        <f>D12/'- 3 -'!$B12*100</f>
        <v>1.8204569229944374</v>
      </c>
    </row>
    <row r="13" spans="1:5" ht="14.1" customHeight="1">
      <c r="A13" s="285" t="s">
        <v>112</v>
      </c>
      <c r="B13" s="418">
        <v>524900</v>
      </c>
      <c r="C13" s="418">
        <v>3088583</v>
      </c>
      <c r="D13" s="286">
        <f t="shared" si="0"/>
        <v>3613483</v>
      </c>
      <c r="E13" s="292">
        <f>D13/'- 3 -'!$B13*100</f>
        <v>3.9767300931779701</v>
      </c>
    </row>
    <row r="14" spans="1:5" ht="14.1" customHeight="1">
      <c r="A14" s="19" t="s">
        <v>359</v>
      </c>
      <c r="B14" s="419">
        <v>875108</v>
      </c>
      <c r="C14" s="419">
        <v>2218398</v>
      </c>
      <c r="D14" s="20">
        <f t="shared" si="0"/>
        <v>3093506</v>
      </c>
      <c r="E14" s="70">
        <f>D14/'- 3 -'!$B14*100</f>
        <v>3.7923843797905423</v>
      </c>
    </row>
    <row r="15" spans="1:5" ht="14.1" customHeight="1">
      <c r="A15" s="285" t="s">
        <v>113</v>
      </c>
      <c r="B15" s="418">
        <v>526426</v>
      </c>
      <c r="C15" s="418">
        <v>642377</v>
      </c>
      <c r="D15" s="286">
        <f t="shared" si="0"/>
        <v>1168803</v>
      </c>
      <c r="E15" s="292">
        <f>D15/'- 3 -'!$B15*100</f>
        <v>5.8681772197021234</v>
      </c>
    </row>
    <row r="16" spans="1:5" ht="14.1" customHeight="1">
      <c r="A16" s="19" t="s">
        <v>114</v>
      </c>
      <c r="B16" s="419">
        <v>148234</v>
      </c>
      <c r="C16" s="419">
        <v>358695</v>
      </c>
      <c r="D16" s="20">
        <f t="shared" si="0"/>
        <v>506929</v>
      </c>
      <c r="E16" s="70">
        <f>D16/'- 3 -'!$B16*100</f>
        <v>3.6157960376880056</v>
      </c>
    </row>
    <row r="17" spans="1:5" ht="14.1" customHeight="1">
      <c r="A17" s="285" t="s">
        <v>115</v>
      </c>
      <c r="B17" s="418">
        <v>15394</v>
      </c>
      <c r="C17" s="418">
        <v>679494</v>
      </c>
      <c r="D17" s="286">
        <f t="shared" si="0"/>
        <v>694888</v>
      </c>
      <c r="E17" s="292">
        <f>D17/'- 3 -'!$B17*100</f>
        <v>3.9837665446119046</v>
      </c>
    </row>
    <row r="18" spans="1:5" ht="14.1" customHeight="1">
      <c r="A18" s="19" t="s">
        <v>116</v>
      </c>
      <c r="B18" s="419">
        <v>0</v>
      </c>
      <c r="C18" s="419">
        <v>5315396</v>
      </c>
      <c r="D18" s="20">
        <f t="shared" si="0"/>
        <v>5315396</v>
      </c>
      <c r="E18" s="70">
        <f>D18/'- 3 -'!$B18*100</f>
        <v>4.0357143602834817</v>
      </c>
    </row>
    <row r="19" spans="1:5" ht="14.1" customHeight="1">
      <c r="A19" s="285" t="s">
        <v>117</v>
      </c>
      <c r="B19" s="418">
        <v>255830</v>
      </c>
      <c r="C19" s="418">
        <v>1549003</v>
      </c>
      <c r="D19" s="286">
        <f t="shared" si="0"/>
        <v>1804833</v>
      </c>
      <c r="E19" s="292">
        <f>D19/'- 3 -'!$B19*100</f>
        <v>3.9979509989710693</v>
      </c>
    </row>
    <row r="20" spans="1:5" ht="14.1" customHeight="1">
      <c r="A20" s="19" t="s">
        <v>118</v>
      </c>
      <c r="B20" s="419">
        <v>0</v>
      </c>
      <c r="C20" s="419">
        <v>3184347</v>
      </c>
      <c r="D20" s="20">
        <f t="shared" si="0"/>
        <v>3184347</v>
      </c>
      <c r="E20" s="70">
        <f>D20/'- 3 -'!$B20*100</f>
        <v>3.9950141534049743</v>
      </c>
    </row>
    <row r="21" spans="1:5" ht="14.1" customHeight="1">
      <c r="A21" s="285" t="s">
        <v>119</v>
      </c>
      <c r="B21" s="418">
        <v>0</v>
      </c>
      <c r="C21" s="418">
        <v>1118372</v>
      </c>
      <c r="D21" s="286">
        <f t="shared" si="0"/>
        <v>1118372</v>
      </c>
      <c r="E21" s="292">
        <f>D21/'- 3 -'!$B21*100</f>
        <v>3.1527026828553435</v>
      </c>
    </row>
    <row r="22" spans="1:5" ht="14.1" customHeight="1">
      <c r="A22" s="19" t="s">
        <v>120</v>
      </c>
      <c r="B22" s="419">
        <v>500000</v>
      </c>
      <c r="C22" s="419">
        <v>922490</v>
      </c>
      <c r="D22" s="20">
        <f t="shared" si="0"/>
        <v>1422490</v>
      </c>
      <c r="E22" s="70">
        <f>D22/'- 3 -'!$B22*100</f>
        <v>7.1072400376903708</v>
      </c>
    </row>
    <row r="23" spans="1:5" ht="14.1" customHeight="1">
      <c r="A23" s="285" t="s">
        <v>121</v>
      </c>
      <c r="B23" s="418">
        <v>0</v>
      </c>
      <c r="C23" s="418">
        <v>1050171</v>
      </c>
      <c r="D23" s="286">
        <f t="shared" si="0"/>
        <v>1050171</v>
      </c>
      <c r="E23" s="292">
        <f>D23/'- 3 -'!$B23*100</f>
        <v>6.4829404199965035</v>
      </c>
    </row>
    <row r="24" spans="1:5" ht="14.1" customHeight="1">
      <c r="A24" s="19" t="s">
        <v>122</v>
      </c>
      <c r="B24" s="419">
        <v>276000</v>
      </c>
      <c r="C24" s="419">
        <v>2169805</v>
      </c>
      <c r="D24" s="20">
        <f t="shared" si="0"/>
        <v>2445805</v>
      </c>
      <c r="E24" s="70">
        <f>D24/'- 3 -'!$B24*100</f>
        <v>4.3761620074837264</v>
      </c>
    </row>
    <row r="25" spans="1:5" ht="14.1" customHeight="1">
      <c r="A25" s="285" t="s">
        <v>123</v>
      </c>
      <c r="B25" s="418">
        <v>618559</v>
      </c>
      <c r="C25" s="418">
        <v>5769664</v>
      </c>
      <c r="D25" s="286">
        <f t="shared" si="0"/>
        <v>6388223</v>
      </c>
      <c r="E25" s="292">
        <f>D25/'- 3 -'!$B25*100</f>
        <v>3.7773571216058164</v>
      </c>
    </row>
    <row r="26" spans="1:5" ht="14.1" customHeight="1">
      <c r="A26" s="19" t="s">
        <v>124</v>
      </c>
      <c r="B26" s="419">
        <v>0</v>
      </c>
      <c r="C26" s="419">
        <v>1418374</v>
      </c>
      <c r="D26" s="20">
        <f t="shared" si="0"/>
        <v>1418374</v>
      </c>
      <c r="E26" s="70">
        <f>D26/'- 3 -'!$B26*100</f>
        <v>3.5784559179206652</v>
      </c>
    </row>
    <row r="27" spans="1:5" ht="14.1" customHeight="1">
      <c r="A27" s="285" t="s">
        <v>125</v>
      </c>
      <c r="B27" s="418">
        <v>76187</v>
      </c>
      <c r="C27" s="418">
        <v>1609258</v>
      </c>
      <c r="D27" s="286">
        <f t="shared" si="0"/>
        <v>1685445</v>
      </c>
      <c r="E27" s="292">
        <f>D27/'- 3 -'!$B27*100</f>
        <v>4.0115633904702852</v>
      </c>
    </row>
    <row r="28" spans="1:5" ht="14.1" customHeight="1">
      <c r="A28" s="19" t="s">
        <v>126</v>
      </c>
      <c r="B28" s="419">
        <v>76711</v>
      </c>
      <c r="C28" s="419">
        <v>508319</v>
      </c>
      <c r="D28" s="20">
        <f t="shared" si="0"/>
        <v>585030</v>
      </c>
      <c r="E28" s="70">
        <f>D28/'- 3 -'!$B28*100</f>
        <v>2.0924597305314743</v>
      </c>
    </row>
    <row r="29" spans="1:5" ht="14.1" customHeight="1">
      <c r="A29" s="285" t="s">
        <v>127</v>
      </c>
      <c r="B29" s="418">
        <v>2843553</v>
      </c>
      <c r="C29" s="418">
        <v>3227674</v>
      </c>
      <c r="D29" s="286">
        <f t="shared" si="0"/>
        <v>6071227</v>
      </c>
      <c r="E29" s="292">
        <f>D29/'- 3 -'!$B29*100</f>
        <v>3.987574915790506</v>
      </c>
    </row>
    <row r="30" spans="1:5" ht="14.1" customHeight="1">
      <c r="A30" s="19" t="s">
        <v>128</v>
      </c>
      <c r="B30" s="419">
        <v>60205</v>
      </c>
      <c r="C30" s="419">
        <v>468842</v>
      </c>
      <c r="D30" s="20">
        <f t="shared" si="0"/>
        <v>529047</v>
      </c>
      <c r="E30" s="70">
        <f>D30/'- 3 -'!$B30*100</f>
        <v>3.7970559855951489</v>
      </c>
    </row>
    <row r="31" spans="1:5" ht="14.1" customHeight="1">
      <c r="A31" s="285" t="s">
        <v>129</v>
      </c>
      <c r="B31" s="418">
        <v>0</v>
      </c>
      <c r="C31" s="418">
        <v>1427769</v>
      </c>
      <c r="D31" s="286">
        <f t="shared" si="0"/>
        <v>1427769</v>
      </c>
      <c r="E31" s="292">
        <f>D31/'- 3 -'!$B31*100</f>
        <v>3.9843553588580396</v>
      </c>
    </row>
    <row r="32" spans="1:5" ht="14.1" customHeight="1">
      <c r="A32" s="19" t="s">
        <v>130</v>
      </c>
      <c r="B32" s="419">
        <v>0</v>
      </c>
      <c r="C32" s="419">
        <v>1962431</v>
      </c>
      <c r="D32" s="20">
        <f t="shared" si="0"/>
        <v>1962431</v>
      </c>
      <c r="E32" s="70">
        <f>D32/'- 3 -'!$B32*100</f>
        <v>6.9701375312428535</v>
      </c>
    </row>
    <row r="33" spans="1:5" ht="14.1" customHeight="1">
      <c r="A33" s="285" t="s">
        <v>131</v>
      </c>
      <c r="B33" s="418">
        <v>0</v>
      </c>
      <c r="C33" s="418">
        <v>1127236</v>
      </c>
      <c r="D33" s="286">
        <f t="shared" si="0"/>
        <v>1127236</v>
      </c>
      <c r="E33" s="292">
        <f>D33/'- 3 -'!$B33*100</f>
        <v>4.2428532864275645</v>
      </c>
    </row>
    <row r="34" spans="1:5" ht="14.1" customHeight="1">
      <c r="A34" s="19" t="s">
        <v>132</v>
      </c>
      <c r="B34" s="419">
        <v>616238</v>
      </c>
      <c r="C34" s="419">
        <v>255940</v>
      </c>
      <c r="D34" s="20">
        <f t="shared" si="0"/>
        <v>872178</v>
      </c>
      <c r="E34" s="70">
        <f>D34/'- 3 -'!$B34*100</f>
        <v>3.0790810352878579</v>
      </c>
    </row>
    <row r="35" spans="1:5" ht="14.1" customHeight="1">
      <c r="A35" s="285" t="s">
        <v>133</v>
      </c>
      <c r="B35" s="418">
        <v>2062906</v>
      </c>
      <c r="C35" s="418">
        <v>2938012</v>
      </c>
      <c r="D35" s="286">
        <f t="shared" si="0"/>
        <v>5000918</v>
      </c>
      <c r="E35" s="292">
        <f>D35/'- 3 -'!$B35*100</f>
        <v>2.7610139388990795</v>
      </c>
    </row>
    <row r="36" spans="1:5" ht="14.1" customHeight="1">
      <c r="A36" s="19" t="s">
        <v>134</v>
      </c>
      <c r="B36" s="419">
        <v>0</v>
      </c>
      <c r="C36" s="419">
        <v>753951</v>
      </c>
      <c r="D36" s="20">
        <f t="shared" si="0"/>
        <v>753951</v>
      </c>
      <c r="E36" s="70">
        <f>D36/'- 3 -'!$B36*100</f>
        <v>3.3156888230496686</v>
      </c>
    </row>
    <row r="37" spans="1:5" ht="14.1" customHeight="1">
      <c r="A37" s="285" t="s">
        <v>135</v>
      </c>
      <c r="B37" s="418">
        <v>316783</v>
      </c>
      <c r="C37" s="418">
        <v>1515659</v>
      </c>
      <c r="D37" s="286">
        <f t="shared" si="0"/>
        <v>1832442</v>
      </c>
      <c r="E37" s="292">
        <f>D37/'- 3 -'!$B37*100</f>
        <v>3.7962461902453746</v>
      </c>
    </row>
    <row r="38" spans="1:5" ht="14.1" customHeight="1">
      <c r="A38" s="19" t="s">
        <v>136</v>
      </c>
      <c r="B38" s="419">
        <v>3786212</v>
      </c>
      <c r="C38" s="419">
        <v>779124</v>
      </c>
      <c r="D38" s="20">
        <f t="shared" si="0"/>
        <v>4565336</v>
      </c>
      <c r="E38" s="70">
        <f>D38/'- 3 -'!$B38*100</f>
        <v>3.5641919150715182</v>
      </c>
    </row>
    <row r="39" spans="1:5" ht="14.1" customHeight="1">
      <c r="A39" s="285" t="s">
        <v>137</v>
      </c>
      <c r="B39" s="418">
        <v>0</v>
      </c>
      <c r="C39" s="418">
        <v>831989</v>
      </c>
      <c r="D39" s="286">
        <f t="shared" si="0"/>
        <v>831989</v>
      </c>
      <c r="E39" s="292">
        <f>D39/'- 3 -'!$B39*100</f>
        <v>3.9897647753205234</v>
      </c>
    </row>
    <row r="40" spans="1:5" ht="14.1" customHeight="1">
      <c r="A40" s="19" t="s">
        <v>138</v>
      </c>
      <c r="B40" s="419">
        <v>843290</v>
      </c>
      <c r="C40" s="419">
        <v>2900807</v>
      </c>
      <c r="D40" s="20">
        <f t="shared" si="0"/>
        <v>3744097</v>
      </c>
      <c r="E40" s="70">
        <f>D40/'- 3 -'!$B40*100</f>
        <v>3.6589909202303574</v>
      </c>
    </row>
    <row r="41" spans="1:5" ht="14.1" customHeight="1">
      <c r="A41" s="285" t="s">
        <v>139</v>
      </c>
      <c r="B41" s="418">
        <v>0</v>
      </c>
      <c r="C41" s="418">
        <v>1962330</v>
      </c>
      <c r="D41" s="286">
        <f t="shared" si="0"/>
        <v>1962330</v>
      </c>
      <c r="E41" s="292">
        <f>D41/'- 3 -'!$B41*100</f>
        <v>3.1322336423821526</v>
      </c>
    </row>
    <row r="42" spans="1:5" ht="14.1" customHeight="1">
      <c r="A42" s="19" t="s">
        <v>140</v>
      </c>
      <c r="B42" s="419">
        <v>0</v>
      </c>
      <c r="C42" s="419">
        <v>636757</v>
      </c>
      <c r="D42" s="20">
        <f t="shared" si="0"/>
        <v>636757</v>
      </c>
      <c r="E42" s="70">
        <f>D42/'- 3 -'!$B42*100</f>
        <v>3.1703252257378689</v>
      </c>
    </row>
    <row r="43" spans="1:5" ht="14.1" customHeight="1">
      <c r="A43" s="285" t="s">
        <v>141</v>
      </c>
      <c r="B43" s="418">
        <v>212548</v>
      </c>
      <c r="C43" s="418">
        <v>467611</v>
      </c>
      <c r="D43" s="286">
        <f t="shared" si="0"/>
        <v>680159</v>
      </c>
      <c r="E43" s="292">
        <f>D43/'- 3 -'!$B43*100</f>
        <v>5.335972767168343</v>
      </c>
    </row>
    <row r="44" spans="1:5" ht="14.1" customHeight="1">
      <c r="A44" s="19" t="s">
        <v>142</v>
      </c>
      <c r="B44" s="419">
        <v>0</v>
      </c>
      <c r="C44" s="419">
        <v>380360</v>
      </c>
      <c r="D44" s="20">
        <f t="shared" si="0"/>
        <v>380360</v>
      </c>
      <c r="E44" s="70">
        <f>D44/'- 3 -'!$B44*100</f>
        <v>3.4451035573529221</v>
      </c>
    </row>
    <row r="45" spans="1:5" ht="14.1" customHeight="1">
      <c r="A45" s="285" t="s">
        <v>143</v>
      </c>
      <c r="B45" s="418">
        <v>0</v>
      </c>
      <c r="C45" s="418">
        <v>741491</v>
      </c>
      <c r="D45" s="286">
        <f t="shared" si="0"/>
        <v>741491</v>
      </c>
      <c r="E45" s="292">
        <f>D45/'- 3 -'!$B45*100</f>
        <v>3.9720448217084661</v>
      </c>
    </row>
    <row r="46" spans="1:5" ht="14.1" customHeight="1">
      <c r="A46" s="19" t="s">
        <v>144</v>
      </c>
      <c r="B46" s="419">
        <v>2584456</v>
      </c>
      <c r="C46" s="419">
        <v>7578428</v>
      </c>
      <c r="D46" s="20">
        <f t="shared" si="0"/>
        <v>10162884</v>
      </c>
      <c r="E46" s="70">
        <f>D46/'- 3 -'!$B46*100</f>
        <v>2.6465646704989765</v>
      </c>
    </row>
    <row r="47" spans="1:5" ht="5.0999999999999996" customHeight="1">
      <c r="A47" s="21"/>
      <c r="B47" s="22"/>
      <c r="C47" s="22"/>
      <c r="D47" s="22"/>
      <c r="E47"/>
    </row>
    <row r="48" spans="1:5" ht="14.1" customHeight="1">
      <c r="A48" s="287" t="s">
        <v>145</v>
      </c>
      <c r="B48" s="422">
        <f>SUM(B11:B46)</f>
        <v>17785223</v>
      </c>
      <c r="C48" s="422">
        <f>SUM(C11:C46)</f>
        <v>62307805</v>
      </c>
      <c r="D48" s="288">
        <f>SUM(D11:D46)</f>
        <v>80093028</v>
      </c>
      <c r="E48" s="295">
        <f>D48/'- 3 -'!$B48*100</f>
        <v>3.5835607940030587</v>
      </c>
    </row>
    <row r="49" spans="1:5" ht="5.0999999999999996" customHeight="1">
      <c r="A49" s="21" t="s">
        <v>7</v>
      </c>
      <c r="B49" s="22"/>
      <c r="C49" s="22"/>
      <c r="D49" s="22"/>
      <c r="E49"/>
    </row>
    <row r="50" spans="1:5" ht="14.1" customHeight="1">
      <c r="A50" s="19" t="s">
        <v>146</v>
      </c>
      <c r="B50" s="419">
        <v>0</v>
      </c>
      <c r="C50" s="419">
        <v>81820</v>
      </c>
      <c r="D50" s="20">
        <f t="shared" ref="D50:D51" si="1">+B50+C50</f>
        <v>81820</v>
      </c>
      <c r="E50" s="70">
        <f>D50/'- 3 -'!$B50*100</f>
        <v>2.4357910649753669</v>
      </c>
    </row>
    <row r="51" spans="1:5" ht="14.1" customHeight="1">
      <c r="A51" s="285" t="s">
        <v>612</v>
      </c>
      <c r="B51" s="418">
        <v>2360117</v>
      </c>
      <c r="C51" s="418">
        <v>0</v>
      </c>
      <c r="D51" s="286">
        <f t="shared" si="1"/>
        <v>2360117</v>
      </c>
      <c r="E51" s="292">
        <f>D51/'- 3 -'!$B51*100</f>
        <v>8.775301220520678</v>
      </c>
    </row>
    <row r="52" spans="1:5" ht="50.1" customHeight="1">
      <c r="A52" s="23"/>
      <c r="B52" s="23"/>
      <c r="C52" s="23"/>
      <c r="D52" s="23"/>
      <c r="E52" s="23"/>
    </row>
    <row r="53" spans="1:5">
      <c r="A53" s="38" t="s">
        <v>382</v>
      </c>
      <c r="B53" s="184"/>
      <c r="C53" s="184"/>
      <c r="D53" s="184"/>
      <c r="E53" s="184"/>
    </row>
    <row r="54" spans="1:5">
      <c r="A54" s="620" t="s">
        <v>538</v>
      </c>
      <c r="B54" s="620"/>
      <c r="C54" s="620"/>
      <c r="D54" s="620"/>
      <c r="E54" s="620"/>
    </row>
    <row r="55" spans="1:5" ht="12" customHeight="1">
      <c r="A55" s="620"/>
      <c r="B55" s="620"/>
      <c r="C55" s="620"/>
      <c r="D55" s="620"/>
      <c r="E55" s="620"/>
    </row>
    <row r="56" spans="1:5" ht="12" customHeight="1">
      <c r="A56" s="620" t="s">
        <v>537</v>
      </c>
      <c r="B56" s="620"/>
      <c r="C56" s="620"/>
      <c r="D56" s="620"/>
      <c r="E56" s="620"/>
    </row>
    <row r="57" spans="1:5" ht="12" customHeight="1">
      <c r="A57" s="620"/>
      <c r="B57" s="620"/>
      <c r="C57" s="620"/>
      <c r="D57" s="620"/>
      <c r="E57" s="620"/>
    </row>
    <row r="58" spans="1:5" ht="15">
      <c r="A58" s="527"/>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sheetPr codeName="Sheet3">
    <pageSetUpPr fitToPage="1"/>
  </sheetPr>
  <dimension ref="A1:J54"/>
  <sheetViews>
    <sheetView showGridLines="0" showZeros="0" workbookViewId="0"/>
  </sheetViews>
  <sheetFormatPr defaultColWidth="12.83203125" defaultRowHeight="12"/>
  <cols>
    <col min="1" max="1" width="29.83203125" style="2" customWidth="1"/>
    <col min="2" max="8" width="14.83203125" style="2" customWidth="1"/>
    <col min="9" max="16384" width="12.83203125" style="2"/>
  </cols>
  <sheetData>
    <row r="1" spans="1:8" ht="6.95" customHeight="1">
      <c r="A1" s="7"/>
      <c r="B1" s="89"/>
      <c r="C1" s="89"/>
      <c r="D1" s="89"/>
      <c r="E1" s="89"/>
      <c r="F1" s="89"/>
      <c r="G1" s="89"/>
      <c r="H1" s="89"/>
    </row>
    <row r="2" spans="1:8" ht="15.95" customHeight="1">
      <c r="A2" s="63"/>
      <c r="B2" s="90" t="s">
        <v>81</v>
      </c>
      <c r="C2" s="91"/>
      <c r="D2" s="91"/>
      <c r="E2" s="91"/>
      <c r="F2" s="91"/>
      <c r="G2" s="91"/>
      <c r="H2" s="92" t="s">
        <v>82</v>
      </c>
    </row>
    <row r="3" spans="1:8" ht="15.95" customHeight="1">
      <c r="A3" s="544"/>
      <c r="B3" s="93" t="str">
        <f>"ACTUAL SEPTEMBER 30, "&amp;FALLYR</f>
        <v>ACTUAL SEPTEMBER 30, 2015</v>
      </c>
      <c r="C3" s="94"/>
      <c r="D3" s="95"/>
      <c r="E3" s="94"/>
      <c r="F3" s="95"/>
      <c r="G3" s="94"/>
      <c r="H3" s="96"/>
    </row>
    <row r="4" spans="1:8" ht="15.95" customHeight="1">
      <c r="B4" s="89"/>
      <c r="C4" s="89"/>
      <c r="D4" s="89"/>
      <c r="E4" s="89"/>
      <c r="F4" s="89"/>
      <c r="G4" s="97"/>
      <c r="H4" s="89"/>
    </row>
    <row r="5" spans="1:8" ht="15.95" customHeight="1">
      <c r="B5" s="89"/>
      <c r="C5" s="89"/>
      <c r="D5" s="89"/>
      <c r="E5" s="89"/>
      <c r="F5" s="89"/>
      <c r="G5" s="89"/>
      <c r="H5" s="89"/>
    </row>
    <row r="6" spans="1:8" ht="15.95" customHeight="1">
      <c r="B6" s="289" t="s">
        <v>26</v>
      </c>
      <c r="C6" s="290"/>
      <c r="D6" s="290"/>
      <c r="E6" s="290"/>
      <c r="F6" s="290"/>
      <c r="G6" s="290"/>
      <c r="H6" s="291"/>
    </row>
    <row r="7" spans="1:8" ht="15.95" customHeight="1">
      <c r="B7" s="98" t="s">
        <v>236</v>
      </c>
      <c r="C7" s="99"/>
      <c r="D7" s="99"/>
      <c r="E7" s="100" t="s">
        <v>237</v>
      </c>
      <c r="F7" s="99"/>
      <c r="G7" s="99"/>
      <c r="H7" s="101"/>
    </row>
    <row r="8" spans="1:8" ht="15.95" customHeight="1">
      <c r="A8" s="102"/>
      <c r="B8" s="609" t="s">
        <v>20</v>
      </c>
      <c r="C8" s="103" t="s">
        <v>7</v>
      </c>
      <c r="D8" s="611" t="s">
        <v>22</v>
      </c>
      <c r="E8" s="613" t="s">
        <v>20</v>
      </c>
      <c r="F8" s="103" t="s">
        <v>7</v>
      </c>
      <c r="G8" s="615" t="s">
        <v>22</v>
      </c>
      <c r="H8" s="615" t="s">
        <v>456</v>
      </c>
    </row>
    <row r="9" spans="1:8" ht="15.95" customHeight="1">
      <c r="A9" s="104" t="s">
        <v>42</v>
      </c>
      <c r="B9" s="610"/>
      <c r="C9" s="105" t="s">
        <v>21</v>
      </c>
      <c r="D9" s="612"/>
      <c r="E9" s="614"/>
      <c r="F9" s="105" t="s">
        <v>21</v>
      </c>
      <c r="G9" s="616"/>
      <c r="H9" s="616"/>
    </row>
    <row r="10" spans="1:8" ht="5.0999999999999996" customHeight="1">
      <c r="A10" s="6"/>
      <c r="B10" s="85"/>
      <c r="C10" s="85"/>
      <c r="D10" s="85"/>
      <c r="E10" s="85"/>
      <c r="F10" s="85"/>
      <c r="G10" s="85"/>
      <c r="H10" s="85"/>
    </row>
    <row r="11" spans="1:8" ht="14.1" customHeight="1">
      <c r="A11" s="285" t="s">
        <v>110</v>
      </c>
      <c r="B11" s="292">
        <v>1676</v>
      </c>
      <c r="C11" s="292">
        <v>0</v>
      </c>
      <c r="D11" s="293">
        <v>0</v>
      </c>
      <c r="E11" s="294">
        <v>0</v>
      </c>
      <c r="F11" s="292">
        <v>0</v>
      </c>
      <c r="G11" s="292">
        <v>0</v>
      </c>
      <c r="H11" s="292">
        <v>0</v>
      </c>
    </row>
    <row r="12" spans="1:8" ht="14.1" customHeight="1">
      <c r="A12" s="19" t="s">
        <v>111</v>
      </c>
      <c r="B12" s="70">
        <v>1963.4</v>
      </c>
      <c r="C12" s="70">
        <v>0</v>
      </c>
      <c r="D12" s="106">
        <v>0</v>
      </c>
      <c r="E12" s="107">
        <v>0</v>
      </c>
      <c r="F12" s="70">
        <v>0</v>
      </c>
      <c r="G12" s="70">
        <v>0</v>
      </c>
      <c r="H12" s="70">
        <v>0</v>
      </c>
    </row>
    <row r="13" spans="1:8" ht="14.1" customHeight="1">
      <c r="A13" s="285" t="s">
        <v>112</v>
      </c>
      <c r="B13" s="292">
        <v>6075.1</v>
      </c>
      <c r="C13" s="292">
        <v>0</v>
      </c>
      <c r="D13" s="293">
        <v>340</v>
      </c>
      <c r="E13" s="294">
        <v>1031.5</v>
      </c>
      <c r="F13" s="292">
        <v>0</v>
      </c>
      <c r="G13" s="292">
        <v>417.5</v>
      </c>
      <c r="H13" s="292">
        <v>0</v>
      </c>
    </row>
    <row r="14" spans="1:8" ht="14.1" customHeight="1">
      <c r="A14" s="19" t="s">
        <v>359</v>
      </c>
      <c r="B14" s="70">
        <v>0</v>
      </c>
      <c r="C14" s="70">
        <v>5343</v>
      </c>
      <c r="D14" s="106">
        <v>0</v>
      </c>
      <c r="E14" s="107">
        <v>0</v>
      </c>
      <c r="F14" s="70">
        <v>0</v>
      </c>
      <c r="G14" s="70">
        <v>0</v>
      </c>
      <c r="H14" s="70">
        <v>0</v>
      </c>
    </row>
    <row r="15" spans="1:8" ht="14.1" customHeight="1">
      <c r="A15" s="285" t="s">
        <v>113</v>
      </c>
      <c r="B15" s="292">
        <v>1390</v>
      </c>
      <c r="C15" s="292">
        <v>0</v>
      </c>
      <c r="D15" s="293">
        <v>0</v>
      </c>
      <c r="E15" s="294">
        <v>0</v>
      </c>
      <c r="F15" s="292">
        <v>0</v>
      </c>
      <c r="G15" s="292">
        <v>0</v>
      </c>
      <c r="H15" s="292">
        <v>0</v>
      </c>
    </row>
    <row r="16" spans="1:8" ht="14.1" customHeight="1">
      <c r="A16" s="19" t="s">
        <v>114</v>
      </c>
      <c r="B16" s="70">
        <v>522</v>
      </c>
      <c r="C16" s="70">
        <v>0</v>
      </c>
      <c r="D16" s="106">
        <v>0</v>
      </c>
      <c r="E16" s="107">
        <v>316.5</v>
      </c>
      <c r="F16" s="70">
        <v>0</v>
      </c>
      <c r="G16" s="70">
        <v>86.5</v>
      </c>
      <c r="H16" s="70">
        <v>0</v>
      </c>
    </row>
    <row r="17" spans="1:8" ht="14.1" customHeight="1">
      <c r="A17" s="285" t="s">
        <v>115</v>
      </c>
      <c r="B17" s="292">
        <v>1319.3</v>
      </c>
      <c r="C17" s="292">
        <v>0</v>
      </c>
      <c r="D17" s="293">
        <v>0</v>
      </c>
      <c r="E17" s="294">
        <v>0</v>
      </c>
      <c r="F17" s="292">
        <v>0</v>
      </c>
      <c r="G17" s="292">
        <v>0</v>
      </c>
      <c r="H17" s="292">
        <v>0</v>
      </c>
    </row>
    <row r="18" spans="1:8" ht="14.1" customHeight="1">
      <c r="A18" s="19" t="s">
        <v>116</v>
      </c>
      <c r="B18" s="70">
        <v>6133</v>
      </c>
      <c r="C18" s="70">
        <v>0</v>
      </c>
      <c r="D18" s="106">
        <v>0</v>
      </c>
      <c r="E18" s="107">
        <v>0</v>
      </c>
      <c r="F18" s="70">
        <v>0</v>
      </c>
      <c r="G18" s="70">
        <v>0</v>
      </c>
      <c r="H18" s="70">
        <v>0</v>
      </c>
    </row>
    <row r="19" spans="1:8" ht="14.1" customHeight="1">
      <c r="A19" s="285" t="s">
        <v>117</v>
      </c>
      <c r="B19" s="292">
        <v>4117.5</v>
      </c>
      <c r="C19" s="292">
        <v>0</v>
      </c>
      <c r="D19" s="293">
        <v>0</v>
      </c>
      <c r="E19" s="294">
        <v>0</v>
      </c>
      <c r="F19" s="292">
        <v>0</v>
      </c>
      <c r="G19" s="292">
        <v>0</v>
      </c>
      <c r="H19" s="292">
        <v>0</v>
      </c>
    </row>
    <row r="20" spans="1:8" ht="14.1" customHeight="1">
      <c r="A20" s="19" t="s">
        <v>118</v>
      </c>
      <c r="B20" s="70">
        <v>7121.3</v>
      </c>
      <c r="C20" s="70">
        <v>0</v>
      </c>
      <c r="D20" s="106">
        <v>0</v>
      </c>
      <c r="E20" s="107">
        <v>0</v>
      </c>
      <c r="F20" s="70">
        <v>0</v>
      </c>
      <c r="G20" s="70">
        <v>0</v>
      </c>
      <c r="H20" s="70">
        <v>0</v>
      </c>
    </row>
    <row r="21" spans="1:8" ht="14.1" customHeight="1">
      <c r="A21" s="285" t="s">
        <v>119</v>
      </c>
      <c r="B21" s="292">
        <v>1958.1</v>
      </c>
      <c r="C21" s="292">
        <v>0</v>
      </c>
      <c r="D21" s="293">
        <v>0</v>
      </c>
      <c r="E21" s="294">
        <v>489</v>
      </c>
      <c r="F21" s="292">
        <v>0</v>
      </c>
      <c r="G21" s="292">
        <v>239</v>
      </c>
      <c r="H21" s="292">
        <v>0</v>
      </c>
    </row>
    <row r="22" spans="1:8" ht="14.1" customHeight="1">
      <c r="A22" s="19" t="s">
        <v>120</v>
      </c>
      <c r="B22" s="70">
        <v>886.4</v>
      </c>
      <c r="C22" s="70">
        <v>0</v>
      </c>
      <c r="D22" s="106">
        <v>0</v>
      </c>
      <c r="E22" s="107">
        <v>485</v>
      </c>
      <c r="F22" s="70">
        <v>0</v>
      </c>
      <c r="G22" s="70">
        <v>160.5</v>
      </c>
      <c r="H22" s="70">
        <v>0</v>
      </c>
    </row>
    <row r="23" spans="1:8" ht="14.1" customHeight="1">
      <c r="A23" s="285" t="s">
        <v>121</v>
      </c>
      <c r="B23" s="292">
        <v>1089.5</v>
      </c>
      <c r="C23" s="292">
        <v>0</v>
      </c>
      <c r="D23" s="293">
        <v>0</v>
      </c>
      <c r="E23" s="294">
        <v>0</v>
      </c>
      <c r="F23" s="292">
        <v>0</v>
      </c>
      <c r="G23" s="292">
        <v>0</v>
      </c>
      <c r="H23" s="292">
        <v>0</v>
      </c>
    </row>
    <row r="24" spans="1:8" ht="14.1" customHeight="1">
      <c r="A24" s="19" t="s">
        <v>122</v>
      </c>
      <c r="B24" s="70">
        <v>2857.5</v>
      </c>
      <c r="C24" s="70">
        <v>0</v>
      </c>
      <c r="D24" s="106">
        <v>235</v>
      </c>
      <c r="E24" s="107">
        <v>463</v>
      </c>
      <c r="F24" s="70">
        <v>0</v>
      </c>
      <c r="G24" s="70">
        <v>104</v>
      </c>
      <c r="H24" s="70">
        <v>73.5</v>
      </c>
    </row>
    <row r="25" spans="1:8" ht="14.1" customHeight="1">
      <c r="A25" s="285" t="s">
        <v>123</v>
      </c>
      <c r="B25" s="292">
        <v>9691.7000000000007</v>
      </c>
      <c r="C25" s="292">
        <v>0</v>
      </c>
      <c r="D25" s="293">
        <v>4380.7</v>
      </c>
      <c r="E25" s="294">
        <v>0</v>
      </c>
      <c r="F25" s="292">
        <v>0</v>
      </c>
      <c r="G25" s="292">
        <v>0</v>
      </c>
      <c r="H25" s="292">
        <v>0</v>
      </c>
    </row>
    <row r="26" spans="1:8" ht="14.1" customHeight="1">
      <c r="A26" s="19" t="s">
        <v>124</v>
      </c>
      <c r="B26" s="70">
        <v>2390.5</v>
      </c>
      <c r="C26" s="70">
        <v>0</v>
      </c>
      <c r="D26" s="106">
        <v>210</v>
      </c>
      <c r="E26" s="107">
        <v>226</v>
      </c>
      <c r="F26" s="70">
        <v>0</v>
      </c>
      <c r="G26" s="70">
        <v>40</v>
      </c>
      <c r="H26" s="70">
        <v>74</v>
      </c>
    </row>
    <row r="27" spans="1:8" ht="14.1" customHeight="1">
      <c r="A27" s="285" t="s">
        <v>125</v>
      </c>
      <c r="B27" s="292">
        <v>2451</v>
      </c>
      <c r="C27" s="292">
        <v>0</v>
      </c>
      <c r="D27" s="293">
        <v>0</v>
      </c>
      <c r="E27" s="294">
        <v>109.5</v>
      </c>
      <c r="F27" s="292">
        <v>0</v>
      </c>
      <c r="G27" s="292">
        <v>224</v>
      </c>
      <c r="H27" s="292">
        <v>0</v>
      </c>
    </row>
    <row r="28" spans="1:8" ht="14.1" customHeight="1">
      <c r="A28" s="19" t="s">
        <v>126</v>
      </c>
      <c r="B28" s="70">
        <v>1989.5</v>
      </c>
      <c r="C28" s="70">
        <v>0</v>
      </c>
      <c r="D28" s="106">
        <v>0</v>
      </c>
      <c r="E28" s="107">
        <v>0</v>
      </c>
      <c r="F28" s="70">
        <v>0</v>
      </c>
      <c r="G28" s="70">
        <v>0</v>
      </c>
      <c r="H28" s="70">
        <v>0</v>
      </c>
    </row>
    <row r="29" spans="1:8" ht="14.1" customHeight="1">
      <c r="A29" s="285" t="s">
        <v>127</v>
      </c>
      <c r="B29" s="292">
        <v>7989.3</v>
      </c>
      <c r="C29" s="292">
        <v>0</v>
      </c>
      <c r="D29" s="293">
        <v>1261</v>
      </c>
      <c r="E29" s="294">
        <v>2112.5</v>
      </c>
      <c r="F29" s="292">
        <v>0</v>
      </c>
      <c r="G29" s="292">
        <v>1330.5</v>
      </c>
      <c r="H29" s="292">
        <v>0</v>
      </c>
    </row>
    <row r="30" spans="1:8" ht="14.1" customHeight="1">
      <c r="A30" s="19" t="s">
        <v>128</v>
      </c>
      <c r="B30" s="70">
        <v>976.3</v>
      </c>
      <c r="C30" s="70">
        <v>0</v>
      </c>
      <c r="D30" s="106">
        <v>0</v>
      </c>
      <c r="E30" s="107">
        <v>0</v>
      </c>
      <c r="F30" s="70">
        <v>0</v>
      </c>
      <c r="G30" s="70">
        <v>0</v>
      </c>
      <c r="H30" s="70">
        <v>0</v>
      </c>
    </row>
    <row r="31" spans="1:8" ht="14.1" customHeight="1">
      <c r="A31" s="285" t="s">
        <v>129</v>
      </c>
      <c r="B31" s="292">
        <v>2416.9</v>
      </c>
      <c r="C31" s="292">
        <v>0</v>
      </c>
      <c r="D31" s="293">
        <v>0</v>
      </c>
      <c r="E31" s="294">
        <v>445</v>
      </c>
      <c r="F31" s="292">
        <v>0</v>
      </c>
      <c r="G31" s="292">
        <v>274</v>
      </c>
      <c r="H31" s="292">
        <v>0</v>
      </c>
    </row>
    <row r="32" spans="1:8" ht="14.1" customHeight="1">
      <c r="A32" s="19" t="s">
        <v>130</v>
      </c>
      <c r="B32" s="70">
        <v>1704.91</v>
      </c>
      <c r="C32" s="70">
        <v>0</v>
      </c>
      <c r="D32" s="106">
        <v>114</v>
      </c>
      <c r="E32" s="107">
        <v>127</v>
      </c>
      <c r="F32" s="70">
        <v>0</v>
      </c>
      <c r="G32" s="70">
        <v>54</v>
      </c>
      <c r="H32" s="70">
        <v>0</v>
      </c>
    </row>
    <row r="33" spans="1:10" ht="14.1" customHeight="1">
      <c r="A33" s="285" t="s">
        <v>131</v>
      </c>
      <c r="B33" s="292">
        <v>1631.7</v>
      </c>
      <c r="C33" s="292">
        <v>0</v>
      </c>
      <c r="D33" s="293">
        <v>0</v>
      </c>
      <c r="E33" s="294">
        <v>163</v>
      </c>
      <c r="F33" s="292">
        <v>89</v>
      </c>
      <c r="G33" s="292">
        <v>93</v>
      </c>
      <c r="H33" s="292">
        <v>0</v>
      </c>
    </row>
    <row r="34" spans="1:10" ht="14.1" customHeight="1">
      <c r="A34" s="19" t="s">
        <v>132</v>
      </c>
      <c r="B34" s="70">
        <v>1552.36</v>
      </c>
      <c r="C34" s="70">
        <v>0</v>
      </c>
      <c r="D34" s="106">
        <v>213.47</v>
      </c>
      <c r="E34" s="107">
        <v>69.5</v>
      </c>
      <c r="F34" s="70">
        <v>125</v>
      </c>
      <c r="G34" s="70">
        <v>0</v>
      </c>
      <c r="H34" s="70">
        <v>0</v>
      </c>
    </row>
    <row r="35" spans="1:10" ht="14.1" customHeight="1">
      <c r="A35" s="285" t="s">
        <v>133</v>
      </c>
      <c r="B35" s="292">
        <v>9224</v>
      </c>
      <c r="C35" s="292">
        <v>0</v>
      </c>
      <c r="D35" s="293">
        <v>1179</v>
      </c>
      <c r="E35" s="294">
        <v>2424.5</v>
      </c>
      <c r="F35" s="292">
        <v>0</v>
      </c>
      <c r="G35" s="292">
        <v>1626.5</v>
      </c>
      <c r="H35" s="292">
        <v>352.5</v>
      </c>
    </row>
    <row r="36" spans="1:10" ht="14.1" customHeight="1">
      <c r="A36" s="19" t="s">
        <v>134</v>
      </c>
      <c r="B36" s="70">
        <v>1627.6</v>
      </c>
      <c r="C36" s="70">
        <v>0</v>
      </c>
      <c r="D36" s="106">
        <v>0</v>
      </c>
      <c r="E36" s="107">
        <v>0</v>
      </c>
      <c r="F36" s="70">
        <v>0</v>
      </c>
      <c r="G36" s="70">
        <v>0</v>
      </c>
      <c r="H36" s="70">
        <v>0</v>
      </c>
    </row>
    <row r="37" spans="1:10" ht="14.1" customHeight="1">
      <c r="A37" s="285" t="s">
        <v>135</v>
      </c>
      <c r="B37" s="292">
        <v>2098</v>
      </c>
      <c r="C37" s="292">
        <v>0</v>
      </c>
      <c r="D37" s="293">
        <v>728.5</v>
      </c>
      <c r="E37" s="294">
        <v>757</v>
      </c>
      <c r="F37" s="292">
        <v>0</v>
      </c>
      <c r="G37" s="292">
        <v>520</v>
      </c>
      <c r="H37" s="292">
        <v>0</v>
      </c>
    </row>
    <row r="38" spans="1:10" ht="14.1" customHeight="1">
      <c r="A38" s="19" t="s">
        <v>136</v>
      </c>
      <c r="B38" s="70">
        <v>6145.2</v>
      </c>
      <c r="C38" s="70">
        <v>0</v>
      </c>
      <c r="D38" s="106">
        <v>310</v>
      </c>
      <c r="E38" s="107">
        <v>2736.9</v>
      </c>
      <c r="F38" s="70">
        <v>0</v>
      </c>
      <c r="G38" s="70">
        <v>1306</v>
      </c>
      <c r="H38" s="70">
        <v>122</v>
      </c>
    </row>
    <row r="39" spans="1:10" ht="14.1" customHeight="1">
      <c r="A39" s="285" t="s">
        <v>137</v>
      </c>
      <c r="B39" s="292">
        <v>1537.9</v>
      </c>
      <c r="C39" s="292">
        <v>0</v>
      </c>
      <c r="D39" s="293">
        <v>0</v>
      </c>
      <c r="E39" s="294">
        <v>0</v>
      </c>
      <c r="F39" s="292">
        <v>0</v>
      </c>
      <c r="G39" s="292">
        <v>0</v>
      </c>
      <c r="H39" s="292">
        <v>0</v>
      </c>
    </row>
    <row r="40" spans="1:10" ht="14.1" customHeight="1">
      <c r="A40" s="19" t="s">
        <v>138</v>
      </c>
      <c r="B40" s="70">
        <v>5341.5</v>
      </c>
      <c r="C40" s="70">
        <v>0</v>
      </c>
      <c r="D40" s="106">
        <v>895</v>
      </c>
      <c r="E40" s="107">
        <v>862.8</v>
      </c>
      <c r="F40" s="70">
        <v>0</v>
      </c>
      <c r="G40" s="70">
        <v>578</v>
      </c>
      <c r="H40" s="70">
        <v>0</v>
      </c>
    </row>
    <row r="41" spans="1:10" ht="14.1" customHeight="1">
      <c r="A41" s="285" t="s">
        <v>139</v>
      </c>
      <c r="B41" s="292">
        <v>2094</v>
      </c>
      <c r="C41" s="292">
        <v>0</v>
      </c>
      <c r="D41" s="293">
        <v>0</v>
      </c>
      <c r="E41" s="294">
        <v>1554</v>
      </c>
      <c r="F41" s="292">
        <v>0</v>
      </c>
      <c r="G41" s="292">
        <v>671.5</v>
      </c>
      <c r="H41" s="292">
        <v>66.5</v>
      </c>
    </row>
    <row r="42" spans="1:10" ht="14.1" customHeight="1">
      <c r="A42" s="19" t="s">
        <v>140</v>
      </c>
      <c r="B42" s="70">
        <v>1005.1</v>
      </c>
      <c r="C42" s="70">
        <v>0</v>
      </c>
      <c r="D42" s="106">
        <v>0</v>
      </c>
      <c r="E42" s="107">
        <v>156</v>
      </c>
      <c r="F42" s="70">
        <v>0</v>
      </c>
      <c r="G42" s="70">
        <v>82.5</v>
      </c>
      <c r="H42" s="70">
        <v>0</v>
      </c>
    </row>
    <row r="43" spans="1:10" ht="14.1" customHeight="1">
      <c r="A43" s="285" t="s">
        <v>141</v>
      </c>
      <c r="B43" s="292">
        <v>917.8</v>
      </c>
      <c r="C43" s="292">
        <v>0</v>
      </c>
      <c r="D43" s="293">
        <v>0</v>
      </c>
      <c r="E43" s="294">
        <v>0</v>
      </c>
      <c r="F43" s="292">
        <v>0</v>
      </c>
      <c r="G43" s="292">
        <v>0</v>
      </c>
      <c r="H43" s="292">
        <v>0</v>
      </c>
    </row>
    <row r="44" spans="1:10" ht="14.1" customHeight="1">
      <c r="A44" s="19" t="s">
        <v>142</v>
      </c>
      <c r="B44" s="70">
        <v>647</v>
      </c>
      <c r="C44" s="70">
        <v>34</v>
      </c>
      <c r="D44" s="106">
        <v>0</v>
      </c>
      <c r="E44" s="107">
        <v>0</v>
      </c>
      <c r="F44" s="70">
        <v>0</v>
      </c>
      <c r="G44" s="70">
        <v>0</v>
      </c>
      <c r="H44" s="70">
        <v>0</v>
      </c>
    </row>
    <row r="45" spans="1:10" ht="14.1" customHeight="1">
      <c r="A45" s="285" t="s">
        <v>143</v>
      </c>
      <c r="B45" s="292">
        <v>724</v>
      </c>
      <c r="C45" s="292">
        <v>0</v>
      </c>
      <c r="D45" s="293">
        <v>0</v>
      </c>
      <c r="E45" s="294">
        <v>663</v>
      </c>
      <c r="F45" s="292">
        <v>0</v>
      </c>
      <c r="G45" s="292">
        <v>226</v>
      </c>
      <c r="H45" s="292">
        <v>0</v>
      </c>
    </row>
    <row r="46" spans="1:10" ht="14.1" customHeight="1">
      <c r="A46" s="19" t="s">
        <v>144</v>
      </c>
      <c r="B46" s="70">
        <v>21972.2</v>
      </c>
      <c r="C46" s="70">
        <v>0</v>
      </c>
      <c r="D46" s="106">
        <v>1237</v>
      </c>
      <c r="E46" s="107">
        <v>3115</v>
      </c>
      <c r="F46" s="70">
        <v>0</v>
      </c>
      <c r="G46" s="70">
        <v>2377</v>
      </c>
      <c r="H46" s="70">
        <v>240</v>
      </c>
    </row>
    <row r="47" spans="1:10" ht="5.0999999999999996" customHeight="1">
      <c r="A47"/>
      <c r="B47"/>
      <c r="C47"/>
      <c r="D47"/>
      <c r="E47"/>
      <c r="F47"/>
      <c r="G47"/>
      <c r="H47"/>
      <c r="I47"/>
      <c r="J47"/>
    </row>
    <row r="48" spans="1:10" ht="14.1" customHeight="1">
      <c r="A48" s="287" t="s">
        <v>145</v>
      </c>
      <c r="B48" s="295">
        <f t="shared" ref="B48:H48" si="0">SUM(B11:B46)</f>
        <v>123237.57</v>
      </c>
      <c r="C48" s="295">
        <f t="shared" si="0"/>
        <v>5377</v>
      </c>
      <c r="D48" s="296">
        <f t="shared" si="0"/>
        <v>11103.67</v>
      </c>
      <c r="E48" s="297">
        <f t="shared" si="0"/>
        <v>18306.699999999997</v>
      </c>
      <c r="F48" s="295">
        <f t="shared" si="0"/>
        <v>214</v>
      </c>
      <c r="G48" s="295">
        <f t="shared" si="0"/>
        <v>10410.5</v>
      </c>
      <c r="H48" s="295">
        <f t="shared" si="0"/>
        <v>928.5</v>
      </c>
    </row>
    <row r="49" spans="1:8" ht="5.0999999999999996" customHeight="1">
      <c r="A49" s="21" t="s">
        <v>7</v>
      </c>
      <c r="B49" s="71"/>
      <c r="C49" s="71"/>
      <c r="D49" s="71"/>
      <c r="E49" s="71"/>
      <c r="F49" s="71"/>
      <c r="G49" s="71"/>
      <c r="H49" s="71"/>
    </row>
    <row r="50" spans="1:8" ht="14.1" customHeight="1">
      <c r="A50" s="19" t="s">
        <v>146</v>
      </c>
      <c r="B50" s="70">
        <v>171</v>
      </c>
      <c r="C50" s="70">
        <v>0</v>
      </c>
      <c r="D50" s="106">
        <v>0</v>
      </c>
      <c r="E50" s="107">
        <v>0</v>
      </c>
      <c r="F50" s="70">
        <v>0</v>
      </c>
      <c r="G50" s="70">
        <v>0</v>
      </c>
      <c r="H50" s="70">
        <v>0</v>
      </c>
    </row>
    <row r="51" spans="1:8" ht="14.1" customHeight="1">
      <c r="A51" s="285" t="s">
        <v>612</v>
      </c>
      <c r="B51" s="292">
        <v>118.5</v>
      </c>
      <c r="C51" s="292">
        <v>0</v>
      </c>
      <c r="D51" s="293">
        <v>0</v>
      </c>
      <c r="E51" s="294">
        <v>0</v>
      </c>
      <c r="F51" s="292">
        <v>0</v>
      </c>
      <c r="G51" s="292">
        <v>0</v>
      </c>
      <c r="H51" s="292">
        <v>0</v>
      </c>
    </row>
    <row r="52" spans="1:8" ht="50.1" customHeight="1">
      <c r="A52" s="23"/>
      <c r="B52" s="108"/>
      <c r="C52" s="108"/>
      <c r="D52" s="108"/>
      <c r="E52" s="108"/>
      <c r="F52" s="108"/>
      <c r="G52" s="108"/>
      <c r="H52" s="108"/>
    </row>
    <row r="53" spans="1:8" ht="15" customHeight="1">
      <c r="A53" s="85" t="s">
        <v>337</v>
      </c>
      <c r="C53" s="85"/>
      <c r="D53" s="85"/>
      <c r="E53" s="85"/>
      <c r="F53" s="85"/>
      <c r="G53" s="85"/>
      <c r="H53" s="85"/>
    </row>
    <row r="54" spans="1:8" ht="12" customHeight="1">
      <c r="A54" s="85" t="s">
        <v>338</v>
      </c>
      <c r="C54" s="85"/>
      <c r="D54" s="85"/>
      <c r="E54" s="85"/>
      <c r="F54" s="85"/>
      <c r="G54" s="85"/>
      <c r="H54" s="85"/>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sheetPr codeName="Sheet40">
    <pageSetUpPr fitToPage="1"/>
  </sheetPr>
  <dimension ref="A1:F56"/>
  <sheetViews>
    <sheetView showGridLines="0" showZeros="0" workbookViewId="0"/>
  </sheetViews>
  <sheetFormatPr defaultColWidth="19.83203125" defaultRowHeight="12"/>
  <cols>
    <col min="1" max="1" width="34.83203125" style="2" customWidth="1"/>
    <col min="2" max="2" width="19.83203125" style="2" customWidth="1"/>
    <col min="3" max="4" width="19.33203125" style="2" customWidth="1"/>
    <col min="5" max="16384" width="19.83203125" style="2"/>
  </cols>
  <sheetData>
    <row r="1" spans="1:6" ht="6.95" customHeight="1">
      <c r="A1" s="7"/>
    </row>
    <row r="2" spans="1:6" ht="15.95" customHeight="1">
      <c r="A2" s="134"/>
      <c r="B2" s="736" t="str">
        <f>'- 46 -'!B2:C3</f>
        <v>CAPITAL FUND 2015/2016 ACTUAL</v>
      </c>
      <c r="C2" s="736"/>
      <c r="D2" s="736"/>
      <c r="E2" s="736"/>
      <c r="F2" s="231" t="s">
        <v>253</v>
      </c>
    </row>
    <row r="3" spans="1:6" ht="15.95" customHeight="1">
      <c r="A3" s="543"/>
      <c r="B3" s="737" t="s">
        <v>148</v>
      </c>
      <c r="C3" s="737"/>
      <c r="D3" s="737"/>
      <c r="E3" s="737"/>
      <c r="F3" s="226"/>
    </row>
    <row r="4" spans="1:6" ht="15.95" customHeight="1">
      <c r="B4" s="8"/>
      <c r="C4" s="8"/>
      <c r="D4" s="8"/>
      <c r="E4" s="8"/>
    </row>
    <row r="5" spans="1:6" ht="15.95" customHeight="1">
      <c r="B5" s="8"/>
      <c r="C5" s="8"/>
      <c r="D5" s="8"/>
      <c r="E5" s="8"/>
    </row>
    <row r="6" spans="1:6" ht="15.95" customHeight="1">
      <c r="B6" s="406" t="s">
        <v>1</v>
      </c>
      <c r="C6" s="173"/>
      <c r="D6" s="445"/>
      <c r="E6" s="174"/>
    </row>
    <row r="7" spans="1:6" ht="15.95" customHeight="1">
      <c r="B7" s="407"/>
      <c r="C7" s="407"/>
      <c r="D7" s="740" t="s">
        <v>540</v>
      </c>
      <c r="E7" s="407"/>
    </row>
    <row r="8" spans="1:6" ht="15.95" customHeight="1">
      <c r="A8" s="404"/>
      <c r="B8" s="408"/>
      <c r="C8" s="738" t="s">
        <v>539</v>
      </c>
      <c r="D8" s="738"/>
      <c r="E8" s="738" t="s">
        <v>542</v>
      </c>
    </row>
    <row r="9" spans="1:6" ht="15.95" customHeight="1">
      <c r="A9" s="405" t="s">
        <v>42</v>
      </c>
      <c r="B9" s="432" t="s">
        <v>273</v>
      </c>
      <c r="C9" s="739"/>
      <c r="D9" s="739"/>
      <c r="E9" s="739"/>
    </row>
    <row r="10" spans="1:6" ht="5.0999999999999996" customHeight="1">
      <c r="A10" s="6"/>
      <c r="B10" s="207"/>
      <c r="C10" s="207"/>
      <c r="D10" s="207"/>
      <c r="E10" s="207"/>
    </row>
    <row r="11" spans="1:6" ht="14.1" customHeight="1">
      <c r="A11" s="285" t="s">
        <v>110</v>
      </c>
      <c r="B11" s="286">
        <v>1139728</v>
      </c>
      <c r="C11" s="286">
        <v>870308</v>
      </c>
      <c r="D11" s="286">
        <v>2752</v>
      </c>
      <c r="E11" s="286">
        <f t="shared" ref="E11:E46" si="0">SUM(B11:D11)</f>
        <v>2012788</v>
      </c>
    </row>
    <row r="12" spans="1:6" ht="14.1" customHeight="1">
      <c r="A12" s="19" t="s">
        <v>111</v>
      </c>
      <c r="B12" s="20">
        <v>1837890</v>
      </c>
      <c r="C12" s="20">
        <v>466987</v>
      </c>
      <c r="D12" s="20">
        <v>0</v>
      </c>
      <c r="E12" s="20">
        <f t="shared" si="0"/>
        <v>2304877</v>
      </c>
    </row>
    <row r="13" spans="1:6" ht="14.1" customHeight="1">
      <c r="A13" s="285" t="s">
        <v>112</v>
      </c>
      <c r="B13" s="286">
        <v>2337152</v>
      </c>
      <c r="C13" s="286">
        <v>1286367</v>
      </c>
      <c r="D13" s="286">
        <v>32174</v>
      </c>
      <c r="E13" s="286">
        <f t="shared" si="0"/>
        <v>3655693</v>
      </c>
    </row>
    <row r="14" spans="1:6" ht="14.1" customHeight="1">
      <c r="A14" s="19" t="s">
        <v>359</v>
      </c>
      <c r="B14" s="20">
        <v>2788916</v>
      </c>
      <c r="C14" s="20">
        <v>2195328</v>
      </c>
      <c r="D14" s="20">
        <v>120411</v>
      </c>
      <c r="E14" s="20">
        <f t="shared" si="0"/>
        <v>5104655</v>
      </c>
    </row>
    <row r="15" spans="1:6" ht="14.1" customHeight="1">
      <c r="A15" s="285" t="s">
        <v>113</v>
      </c>
      <c r="B15" s="286">
        <v>1485862</v>
      </c>
      <c r="C15" s="286">
        <v>811026</v>
      </c>
      <c r="D15" s="286">
        <v>0</v>
      </c>
      <c r="E15" s="286">
        <f t="shared" si="0"/>
        <v>2296888</v>
      </c>
    </row>
    <row r="16" spans="1:6" ht="14.1" customHeight="1">
      <c r="A16" s="19" t="s">
        <v>114</v>
      </c>
      <c r="B16" s="20">
        <v>314747</v>
      </c>
      <c r="C16" s="20">
        <v>130309</v>
      </c>
      <c r="D16" s="20">
        <v>0</v>
      </c>
      <c r="E16" s="20">
        <f t="shared" si="0"/>
        <v>445056</v>
      </c>
    </row>
    <row r="17" spans="1:5" ht="14.1" customHeight="1">
      <c r="A17" s="285" t="s">
        <v>115</v>
      </c>
      <c r="B17" s="286">
        <v>1083865</v>
      </c>
      <c r="C17" s="286">
        <v>491780</v>
      </c>
      <c r="D17" s="286">
        <v>0</v>
      </c>
      <c r="E17" s="286">
        <f t="shared" si="0"/>
        <v>1575645</v>
      </c>
    </row>
    <row r="18" spans="1:5" ht="14.1" customHeight="1">
      <c r="A18" s="19" t="s">
        <v>116</v>
      </c>
      <c r="B18" s="20">
        <v>3899866</v>
      </c>
      <c r="C18" s="20">
        <v>2390295</v>
      </c>
      <c r="D18" s="20">
        <v>0</v>
      </c>
      <c r="E18" s="20">
        <f t="shared" si="0"/>
        <v>6290161</v>
      </c>
    </row>
    <row r="19" spans="1:5" ht="14.1" customHeight="1">
      <c r="A19" s="285" t="s">
        <v>117</v>
      </c>
      <c r="B19" s="286">
        <v>3824128</v>
      </c>
      <c r="C19" s="286">
        <v>3079341</v>
      </c>
      <c r="D19" s="286">
        <v>0</v>
      </c>
      <c r="E19" s="286">
        <f t="shared" si="0"/>
        <v>6903469</v>
      </c>
    </row>
    <row r="20" spans="1:5" ht="14.1" customHeight="1">
      <c r="A20" s="19" t="s">
        <v>118</v>
      </c>
      <c r="B20" s="20">
        <v>4724011</v>
      </c>
      <c r="C20" s="20">
        <v>4050933</v>
      </c>
      <c r="D20" s="20">
        <v>-19402</v>
      </c>
      <c r="E20" s="20">
        <f t="shared" si="0"/>
        <v>8755542</v>
      </c>
    </row>
    <row r="21" spans="1:5" ht="14.1" customHeight="1">
      <c r="A21" s="285" t="s">
        <v>119</v>
      </c>
      <c r="B21" s="286">
        <v>1442081</v>
      </c>
      <c r="C21" s="286">
        <v>854677</v>
      </c>
      <c r="D21" s="286">
        <v>0</v>
      </c>
      <c r="E21" s="286">
        <f t="shared" si="0"/>
        <v>2296758</v>
      </c>
    </row>
    <row r="22" spans="1:5" ht="14.1" customHeight="1">
      <c r="A22" s="19" t="s">
        <v>120</v>
      </c>
      <c r="B22" s="20">
        <v>561971</v>
      </c>
      <c r="C22" s="20">
        <v>776326</v>
      </c>
      <c r="D22" s="20">
        <v>17027</v>
      </c>
      <c r="E22" s="20">
        <f t="shared" si="0"/>
        <v>1355324</v>
      </c>
    </row>
    <row r="23" spans="1:5" ht="14.1" customHeight="1">
      <c r="A23" s="285" t="s">
        <v>121</v>
      </c>
      <c r="B23" s="286">
        <v>887679</v>
      </c>
      <c r="C23" s="286">
        <v>573885</v>
      </c>
      <c r="D23" s="286">
        <v>0</v>
      </c>
      <c r="E23" s="286">
        <f t="shared" si="0"/>
        <v>1461564</v>
      </c>
    </row>
    <row r="24" spans="1:5" ht="14.1" customHeight="1">
      <c r="A24" s="19" t="s">
        <v>122</v>
      </c>
      <c r="B24" s="20">
        <v>2649543</v>
      </c>
      <c r="C24" s="20">
        <v>1307341</v>
      </c>
      <c r="D24" s="20">
        <v>0</v>
      </c>
      <c r="E24" s="20">
        <f t="shared" si="0"/>
        <v>3956884</v>
      </c>
    </row>
    <row r="25" spans="1:5" ht="14.1" customHeight="1">
      <c r="A25" s="285" t="s">
        <v>123</v>
      </c>
      <c r="B25" s="286">
        <v>3995796</v>
      </c>
      <c r="C25" s="286">
        <v>1371605</v>
      </c>
      <c r="D25" s="286">
        <v>0</v>
      </c>
      <c r="E25" s="286">
        <f t="shared" si="0"/>
        <v>5367401</v>
      </c>
    </row>
    <row r="26" spans="1:5" ht="14.1" customHeight="1">
      <c r="A26" s="19" t="s">
        <v>124</v>
      </c>
      <c r="B26" s="20">
        <v>1894204</v>
      </c>
      <c r="C26" s="20">
        <v>947373</v>
      </c>
      <c r="D26" s="20">
        <v>0</v>
      </c>
      <c r="E26" s="20">
        <f t="shared" si="0"/>
        <v>2841577</v>
      </c>
    </row>
    <row r="27" spans="1:5" ht="14.1" customHeight="1">
      <c r="A27" s="285" t="s">
        <v>125</v>
      </c>
      <c r="B27" s="286">
        <v>868972</v>
      </c>
      <c r="C27" s="286">
        <v>289442</v>
      </c>
      <c r="D27" s="286">
        <v>0</v>
      </c>
      <c r="E27" s="286">
        <f t="shared" si="0"/>
        <v>1158414</v>
      </c>
    </row>
    <row r="28" spans="1:5" ht="14.1" customHeight="1">
      <c r="A28" s="19" t="s">
        <v>126</v>
      </c>
      <c r="B28" s="20">
        <v>928283</v>
      </c>
      <c r="C28" s="20">
        <v>453191</v>
      </c>
      <c r="D28" s="20">
        <v>0</v>
      </c>
      <c r="E28" s="20">
        <f t="shared" si="0"/>
        <v>1381474</v>
      </c>
    </row>
    <row r="29" spans="1:5" ht="14.1" customHeight="1">
      <c r="A29" s="285" t="s">
        <v>127</v>
      </c>
      <c r="B29" s="286">
        <v>3697965</v>
      </c>
      <c r="C29" s="286">
        <v>2233318</v>
      </c>
      <c r="D29" s="286">
        <v>521885</v>
      </c>
      <c r="E29" s="286">
        <f t="shared" si="0"/>
        <v>6453168</v>
      </c>
    </row>
    <row r="30" spans="1:5" ht="14.1" customHeight="1">
      <c r="A30" s="19" t="s">
        <v>128</v>
      </c>
      <c r="B30" s="20">
        <v>563558</v>
      </c>
      <c r="C30" s="20">
        <v>167759</v>
      </c>
      <c r="D30" s="20">
        <v>0</v>
      </c>
      <c r="E30" s="20">
        <f t="shared" si="0"/>
        <v>731317</v>
      </c>
    </row>
    <row r="31" spans="1:5" ht="14.1" customHeight="1">
      <c r="A31" s="285" t="s">
        <v>129</v>
      </c>
      <c r="B31" s="286">
        <v>1371220</v>
      </c>
      <c r="C31" s="286">
        <v>455624</v>
      </c>
      <c r="D31" s="286">
        <v>0</v>
      </c>
      <c r="E31" s="286">
        <f t="shared" si="0"/>
        <v>1826844</v>
      </c>
    </row>
    <row r="32" spans="1:5" ht="14.1" customHeight="1">
      <c r="A32" s="19" t="s">
        <v>130</v>
      </c>
      <c r="B32" s="20">
        <v>1083686</v>
      </c>
      <c r="C32" s="20">
        <v>476071</v>
      </c>
      <c r="D32" s="20">
        <v>0</v>
      </c>
      <c r="E32" s="20">
        <f t="shared" si="0"/>
        <v>1559757</v>
      </c>
    </row>
    <row r="33" spans="1:5" ht="14.1" customHeight="1">
      <c r="A33" s="285" t="s">
        <v>131</v>
      </c>
      <c r="B33" s="286">
        <v>1398644</v>
      </c>
      <c r="C33" s="286">
        <v>366825</v>
      </c>
      <c r="D33" s="286">
        <v>0</v>
      </c>
      <c r="E33" s="286">
        <f t="shared" si="0"/>
        <v>1765469</v>
      </c>
    </row>
    <row r="34" spans="1:5" ht="14.1" customHeight="1">
      <c r="A34" s="19" t="s">
        <v>132</v>
      </c>
      <c r="B34" s="20">
        <v>1384847</v>
      </c>
      <c r="C34" s="20">
        <v>575676</v>
      </c>
      <c r="D34" s="20">
        <v>0</v>
      </c>
      <c r="E34" s="20">
        <f t="shared" si="0"/>
        <v>1960523</v>
      </c>
    </row>
    <row r="35" spans="1:5" ht="14.1" customHeight="1">
      <c r="A35" s="285" t="s">
        <v>133</v>
      </c>
      <c r="B35" s="286">
        <v>6124962</v>
      </c>
      <c r="C35" s="286">
        <v>2064905</v>
      </c>
      <c r="D35" s="286">
        <v>475367</v>
      </c>
      <c r="E35" s="286">
        <f t="shared" si="0"/>
        <v>8665234</v>
      </c>
    </row>
    <row r="36" spans="1:5" ht="14.1" customHeight="1">
      <c r="A36" s="19" t="s">
        <v>134</v>
      </c>
      <c r="B36" s="20">
        <v>1060425</v>
      </c>
      <c r="C36" s="20">
        <v>309726</v>
      </c>
      <c r="D36" s="20">
        <v>0</v>
      </c>
      <c r="E36" s="20">
        <f t="shared" si="0"/>
        <v>1370151</v>
      </c>
    </row>
    <row r="37" spans="1:5" ht="14.1" customHeight="1">
      <c r="A37" s="285" t="s">
        <v>135</v>
      </c>
      <c r="B37" s="286">
        <v>2151267</v>
      </c>
      <c r="C37" s="286">
        <v>1268291</v>
      </c>
      <c r="D37" s="286">
        <v>0</v>
      </c>
      <c r="E37" s="286">
        <f t="shared" si="0"/>
        <v>3419558</v>
      </c>
    </row>
    <row r="38" spans="1:5" ht="14.1" customHeight="1">
      <c r="A38" s="19" t="s">
        <v>136</v>
      </c>
      <c r="B38" s="20">
        <v>5313578</v>
      </c>
      <c r="C38" s="20">
        <v>3791229</v>
      </c>
      <c r="D38" s="20">
        <v>126868</v>
      </c>
      <c r="E38" s="20">
        <f t="shared" si="0"/>
        <v>9231675</v>
      </c>
    </row>
    <row r="39" spans="1:5" ht="14.1" customHeight="1">
      <c r="A39" s="285" t="s">
        <v>137</v>
      </c>
      <c r="B39" s="286">
        <v>1404811</v>
      </c>
      <c r="C39" s="286">
        <v>814548</v>
      </c>
      <c r="D39" s="286">
        <v>0</v>
      </c>
      <c r="E39" s="286">
        <f t="shared" si="0"/>
        <v>2219359</v>
      </c>
    </row>
    <row r="40" spans="1:5" ht="14.1" customHeight="1">
      <c r="A40" s="19" t="s">
        <v>138</v>
      </c>
      <c r="B40" s="20">
        <v>3297462</v>
      </c>
      <c r="C40" s="20">
        <v>1001644</v>
      </c>
      <c r="D40" s="20">
        <v>38083</v>
      </c>
      <c r="E40" s="20">
        <f t="shared" si="0"/>
        <v>4337189</v>
      </c>
    </row>
    <row r="41" spans="1:5" ht="14.1" customHeight="1">
      <c r="A41" s="285" t="s">
        <v>139</v>
      </c>
      <c r="B41" s="286">
        <v>2989716</v>
      </c>
      <c r="C41" s="286">
        <v>1088236</v>
      </c>
      <c r="D41" s="286">
        <v>17495</v>
      </c>
      <c r="E41" s="286">
        <f t="shared" si="0"/>
        <v>4095447</v>
      </c>
    </row>
    <row r="42" spans="1:5" ht="14.1" customHeight="1">
      <c r="A42" s="19" t="s">
        <v>140</v>
      </c>
      <c r="B42" s="20">
        <v>1222068</v>
      </c>
      <c r="C42" s="20">
        <v>547814</v>
      </c>
      <c r="D42" s="20">
        <v>44297</v>
      </c>
      <c r="E42" s="20">
        <f t="shared" si="0"/>
        <v>1814179</v>
      </c>
    </row>
    <row r="43" spans="1:5" ht="14.1" customHeight="1">
      <c r="A43" s="285" t="s">
        <v>141</v>
      </c>
      <c r="B43" s="286">
        <v>523960</v>
      </c>
      <c r="C43" s="286">
        <v>228322</v>
      </c>
      <c r="D43" s="286">
        <v>0</v>
      </c>
      <c r="E43" s="286">
        <f t="shared" si="0"/>
        <v>752282</v>
      </c>
    </row>
    <row r="44" spans="1:5" ht="14.1" customHeight="1">
      <c r="A44" s="19" t="s">
        <v>142</v>
      </c>
      <c r="B44" s="20">
        <v>508677</v>
      </c>
      <c r="C44" s="20">
        <v>176905</v>
      </c>
      <c r="D44" s="20">
        <v>0</v>
      </c>
      <c r="E44" s="20">
        <f t="shared" si="0"/>
        <v>685582</v>
      </c>
    </row>
    <row r="45" spans="1:5" ht="14.1" customHeight="1">
      <c r="A45" s="285" t="s">
        <v>143</v>
      </c>
      <c r="B45" s="286">
        <v>839789</v>
      </c>
      <c r="C45" s="286">
        <v>336606</v>
      </c>
      <c r="D45" s="286">
        <v>1203</v>
      </c>
      <c r="E45" s="286">
        <f t="shared" si="0"/>
        <v>1177598</v>
      </c>
    </row>
    <row r="46" spans="1:5" ht="14.1" customHeight="1">
      <c r="A46" s="19" t="s">
        <v>144</v>
      </c>
      <c r="B46" s="20">
        <v>9297491</v>
      </c>
      <c r="C46" s="20">
        <v>5170018</v>
      </c>
      <c r="D46" s="20">
        <v>4174</v>
      </c>
      <c r="E46" s="20">
        <f t="shared" si="0"/>
        <v>14471683</v>
      </c>
    </row>
    <row r="47" spans="1:5" ht="5.0999999999999996" customHeight="1">
      <c r="A47" s="21"/>
      <c r="B47" s="22"/>
      <c r="C47" s="22"/>
      <c r="D47" s="22"/>
      <c r="E47" s="22"/>
    </row>
    <row r="48" spans="1:5" ht="14.1" customHeight="1">
      <c r="A48" s="287" t="s">
        <v>145</v>
      </c>
      <c r="B48" s="288">
        <f>SUM(B11:B46)</f>
        <v>80898820</v>
      </c>
      <c r="C48" s="288">
        <f>SUM(C11:C46)</f>
        <v>43420031</v>
      </c>
      <c r="D48" s="288">
        <f>SUM(D11:D46)</f>
        <v>1382334</v>
      </c>
      <c r="E48" s="288">
        <f>SUM(E11:E46)</f>
        <v>125701185</v>
      </c>
    </row>
    <row r="49" spans="1:6" ht="5.0999999999999996" customHeight="1">
      <c r="A49" s="21" t="s">
        <v>7</v>
      </c>
      <c r="B49" s="22"/>
      <c r="C49" s="22"/>
      <c r="D49" s="22"/>
      <c r="E49" s="22"/>
    </row>
    <row r="50" spans="1:6" ht="14.1" customHeight="1">
      <c r="A50" s="19" t="s">
        <v>146</v>
      </c>
      <c r="B50" s="20">
        <v>88155</v>
      </c>
      <c r="C50" s="20">
        <v>623</v>
      </c>
      <c r="D50" s="20">
        <v>0</v>
      </c>
      <c r="E50" s="20">
        <f>SUM(B50:D50)</f>
        <v>88778</v>
      </c>
    </row>
    <row r="51" spans="1:6" ht="14.1" customHeight="1">
      <c r="A51" s="285" t="s">
        <v>612</v>
      </c>
      <c r="B51" s="286">
        <v>1012451</v>
      </c>
      <c r="C51" s="286">
        <v>197447</v>
      </c>
      <c r="D51" s="286">
        <v>0</v>
      </c>
      <c r="E51" s="286">
        <f>SUM(B51:D51)</f>
        <v>1209898</v>
      </c>
    </row>
    <row r="52" spans="1:6" ht="50.1" customHeight="1">
      <c r="A52" s="23"/>
      <c r="B52" s="23"/>
      <c r="C52" s="23"/>
      <c r="D52" s="23"/>
      <c r="E52" s="23"/>
      <c r="F52" s="23"/>
    </row>
    <row r="53" spans="1:6">
      <c r="A53" s="435" t="s">
        <v>351</v>
      </c>
      <c r="B53" s="184"/>
      <c r="C53" s="184"/>
      <c r="D53" s="184"/>
      <c r="E53" s="184"/>
    </row>
    <row r="54" spans="1:6">
      <c r="A54" s="443" t="s">
        <v>361</v>
      </c>
      <c r="B54" s="184"/>
      <c r="C54" s="184"/>
      <c r="D54" s="184"/>
      <c r="E54" s="184"/>
    </row>
    <row r="55" spans="1:6">
      <c r="A55" s="435" t="s">
        <v>387</v>
      </c>
    </row>
    <row r="56" spans="1:6">
      <c r="A56" s="435"/>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sheetPr codeName="Sheet39">
    <pageSetUpPr fitToPage="1"/>
  </sheetPr>
  <dimension ref="A1:F54"/>
  <sheetViews>
    <sheetView showGridLines="0" showZeros="0" workbookViewId="0"/>
  </sheetViews>
  <sheetFormatPr defaultColWidth="15.83203125" defaultRowHeight="12"/>
  <cols>
    <col min="1" max="1" width="34.83203125" style="2" customWidth="1"/>
    <col min="2" max="4" width="22.83203125" style="2" customWidth="1"/>
    <col min="5" max="5" width="4.83203125" style="2" customWidth="1"/>
    <col min="6" max="6" width="25.83203125" style="2" customWidth="1"/>
    <col min="7" max="16384" width="15.83203125" style="2"/>
  </cols>
  <sheetData>
    <row r="1" spans="1:6" ht="6.95" customHeight="1">
      <c r="A1" s="7"/>
      <c r="E1"/>
    </row>
    <row r="2" spans="1:6" ht="15.95" customHeight="1">
      <c r="A2" s="134"/>
      <c r="B2" s="742" t="str">
        <f>"CAPITAL FUND "&amp;FALLYR&amp;"/"&amp;SPRINGYR&amp;" ACTUAL"</f>
        <v>CAPITAL FUND 2015/2016 ACTUAL</v>
      </c>
      <c r="C2" s="742"/>
      <c r="D2" s="742"/>
      <c r="E2" s="742"/>
      <c r="F2" s="231" t="s">
        <v>255</v>
      </c>
    </row>
    <row r="3" spans="1:6" ht="15.95" customHeight="1">
      <c r="A3" s="543"/>
      <c r="B3" s="737" t="s">
        <v>0</v>
      </c>
      <c r="C3" s="743"/>
      <c r="D3" s="743"/>
      <c r="E3" s="743"/>
      <c r="F3" s="226"/>
    </row>
    <row r="4" spans="1:6" ht="15.95" customHeight="1">
      <c r="B4" s="8"/>
      <c r="C4" s="8"/>
      <c r="D4" s="8"/>
      <c r="E4"/>
    </row>
    <row r="5" spans="1:6" ht="15.95" customHeight="1">
      <c r="B5" s="8"/>
      <c r="C5" s="8"/>
      <c r="D5" s="8"/>
      <c r="E5" s="440"/>
    </row>
    <row r="6" spans="1:6" ht="15.95" customHeight="1">
      <c r="B6" s="410" t="s">
        <v>2</v>
      </c>
      <c r="C6" s="436"/>
      <c r="D6" s="437"/>
      <c r="E6" s="440"/>
      <c r="F6" s="439" t="s">
        <v>47</v>
      </c>
    </row>
    <row r="7" spans="1:6" ht="15.95" customHeight="1">
      <c r="B7" s="351"/>
      <c r="C7" s="351"/>
      <c r="D7" s="375"/>
      <c r="E7" s="440"/>
      <c r="F7" s="741" t="s">
        <v>546</v>
      </c>
    </row>
    <row r="8" spans="1:6" ht="15.95" customHeight="1">
      <c r="A8" s="67"/>
      <c r="B8" s="744" t="s">
        <v>543</v>
      </c>
      <c r="C8" s="732" t="s">
        <v>544</v>
      </c>
      <c r="D8" s="732" t="s">
        <v>545</v>
      </c>
      <c r="E8" s="440"/>
      <c r="F8" s="732"/>
    </row>
    <row r="9" spans="1:6" ht="15.95" customHeight="1">
      <c r="A9" s="35" t="s">
        <v>42</v>
      </c>
      <c r="B9" s="745"/>
      <c r="C9" s="635"/>
      <c r="D9" s="635"/>
      <c r="E9"/>
      <c r="F9" s="733"/>
    </row>
    <row r="10" spans="1:6" ht="5.0999999999999996" customHeight="1">
      <c r="A10" s="6"/>
      <c r="B10" s="207"/>
      <c r="C10" s="207"/>
      <c r="D10" s="207"/>
      <c r="E10"/>
      <c r="F10" s="207"/>
    </row>
    <row r="11" spans="1:6" ht="14.1" customHeight="1">
      <c r="A11" s="285" t="s">
        <v>110</v>
      </c>
      <c r="B11" s="286">
        <v>2315202</v>
      </c>
      <c r="C11" s="286">
        <v>0</v>
      </c>
      <c r="D11" s="286">
        <f t="shared" ref="D11:D46" si="0">SUM(B11:C11)</f>
        <v>2315202</v>
      </c>
      <c r="E11"/>
      <c r="F11" s="286">
        <v>738618</v>
      </c>
    </row>
    <row r="12" spans="1:6" ht="14.1" customHeight="1">
      <c r="A12" s="19" t="s">
        <v>111</v>
      </c>
      <c r="B12" s="20">
        <v>1151776</v>
      </c>
      <c r="C12" s="20">
        <v>6707</v>
      </c>
      <c r="D12" s="20">
        <f t="shared" si="0"/>
        <v>1158483</v>
      </c>
      <c r="E12"/>
      <c r="F12" s="20">
        <v>1475248</v>
      </c>
    </row>
    <row r="13" spans="1:6" ht="14.1" customHeight="1">
      <c r="A13" s="285" t="s">
        <v>112</v>
      </c>
      <c r="B13" s="286">
        <v>2893689</v>
      </c>
      <c r="C13" s="286">
        <v>152421</v>
      </c>
      <c r="D13" s="286">
        <f t="shared" si="0"/>
        <v>3046110</v>
      </c>
      <c r="E13"/>
      <c r="F13" s="286">
        <v>3332723</v>
      </c>
    </row>
    <row r="14" spans="1:6" ht="14.1" customHeight="1">
      <c r="A14" s="19" t="s">
        <v>359</v>
      </c>
      <c r="B14" s="20">
        <v>4872739</v>
      </c>
      <c r="C14" s="20">
        <v>2070847</v>
      </c>
      <c r="D14" s="20">
        <f t="shared" si="0"/>
        <v>6943586</v>
      </c>
      <c r="E14"/>
      <c r="F14" s="20">
        <v>1709138</v>
      </c>
    </row>
    <row r="15" spans="1:6" ht="14.1" customHeight="1">
      <c r="A15" s="285" t="s">
        <v>113</v>
      </c>
      <c r="B15" s="286">
        <v>1900056</v>
      </c>
      <c r="C15" s="286">
        <v>7309</v>
      </c>
      <c r="D15" s="286">
        <f t="shared" si="0"/>
        <v>1907365</v>
      </c>
      <c r="E15"/>
      <c r="F15" s="286">
        <v>699533</v>
      </c>
    </row>
    <row r="16" spans="1:6" ht="14.1" customHeight="1">
      <c r="A16" s="19" t="s">
        <v>114</v>
      </c>
      <c r="B16" s="20">
        <v>287144</v>
      </c>
      <c r="C16" s="20">
        <v>0</v>
      </c>
      <c r="D16" s="20">
        <f t="shared" si="0"/>
        <v>287144</v>
      </c>
      <c r="E16"/>
      <c r="F16" s="20">
        <v>136225</v>
      </c>
    </row>
    <row r="17" spans="1:6" ht="14.1" customHeight="1">
      <c r="A17" s="285" t="s">
        <v>115</v>
      </c>
      <c r="B17" s="286">
        <v>1194147</v>
      </c>
      <c r="C17" s="286">
        <v>20074</v>
      </c>
      <c r="D17" s="286">
        <f t="shared" si="0"/>
        <v>1214221</v>
      </c>
      <c r="E17"/>
      <c r="F17" s="286">
        <v>968041</v>
      </c>
    </row>
    <row r="18" spans="1:6" ht="14.1" customHeight="1">
      <c r="A18" s="19" t="s">
        <v>116</v>
      </c>
      <c r="B18" s="20">
        <v>5200917</v>
      </c>
      <c r="C18" s="20">
        <v>5897451</v>
      </c>
      <c r="D18" s="20">
        <f t="shared" si="0"/>
        <v>11098368</v>
      </c>
      <c r="E18"/>
      <c r="F18" s="20">
        <v>1334981</v>
      </c>
    </row>
    <row r="19" spans="1:6" ht="14.1" customHeight="1">
      <c r="A19" s="285" t="s">
        <v>117</v>
      </c>
      <c r="B19" s="286">
        <v>6206275</v>
      </c>
      <c r="C19" s="286">
        <v>26383</v>
      </c>
      <c r="D19" s="286">
        <f t="shared" si="0"/>
        <v>6232658</v>
      </c>
      <c r="E19"/>
      <c r="F19" s="286">
        <v>3161800</v>
      </c>
    </row>
    <row r="20" spans="1:6" ht="14.1" customHeight="1">
      <c r="A20" s="19" t="s">
        <v>118</v>
      </c>
      <c r="B20" s="20">
        <v>8783287</v>
      </c>
      <c r="C20" s="20">
        <v>34511</v>
      </c>
      <c r="D20" s="20">
        <f t="shared" si="0"/>
        <v>8817798</v>
      </c>
      <c r="E20"/>
      <c r="F20" s="20">
        <v>2784826</v>
      </c>
    </row>
    <row r="21" spans="1:6" ht="14.1" customHeight="1">
      <c r="A21" s="285" t="s">
        <v>119</v>
      </c>
      <c r="B21" s="286">
        <v>1885806</v>
      </c>
      <c r="C21" s="286">
        <v>1294</v>
      </c>
      <c r="D21" s="286">
        <f t="shared" si="0"/>
        <v>1887100</v>
      </c>
      <c r="E21"/>
      <c r="F21" s="286">
        <v>453888</v>
      </c>
    </row>
    <row r="22" spans="1:6" ht="14.1" customHeight="1">
      <c r="A22" s="19" t="s">
        <v>120</v>
      </c>
      <c r="B22" s="20">
        <v>1626629</v>
      </c>
      <c r="C22" s="20">
        <v>25098</v>
      </c>
      <c r="D22" s="20">
        <f t="shared" si="0"/>
        <v>1651727</v>
      </c>
      <c r="E22"/>
      <c r="F22" s="20">
        <v>6191</v>
      </c>
    </row>
    <row r="23" spans="1:6" ht="14.1" customHeight="1">
      <c r="A23" s="285" t="s">
        <v>121</v>
      </c>
      <c r="B23" s="286">
        <v>1323406</v>
      </c>
      <c r="C23" s="286">
        <v>22266</v>
      </c>
      <c r="D23" s="286">
        <f t="shared" si="0"/>
        <v>1345672</v>
      </c>
      <c r="E23"/>
      <c r="F23" s="286">
        <v>606373</v>
      </c>
    </row>
    <row r="24" spans="1:6" ht="14.1" customHeight="1">
      <c r="A24" s="19" t="s">
        <v>122</v>
      </c>
      <c r="B24" s="20">
        <v>2915833</v>
      </c>
      <c r="C24" s="20">
        <v>41905</v>
      </c>
      <c r="D24" s="20">
        <f t="shared" si="0"/>
        <v>2957738</v>
      </c>
      <c r="E24"/>
      <c r="F24" s="20">
        <v>1410812</v>
      </c>
    </row>
    <row r="25" spans="1:6" ht="14.1" customHeight="1">
      <c r="A25" s="285" t="s">
        <v>123</v>
      </c>
      <c r="B25" s="286">
        <v>3172808</v>
      </c>
      <c r="C25" s="286">
        <v>124174</v>
      </c>
      <c r="D25" s="286">
        <f t="shared" si="0"/>
        <v>3296982</v>
      </c>
      <c r="E25"/>
      <c r="F25" s="286">
        <v>4798865</v>
      </c>
    </row>
    <row r="26" spans="1:6" ht="14.1" customHeight="1">
      <c r="A26" s="19" t="s">
        <v>124</v>
      </c>
      <c r="B26" s="20">
        <v>1790381</v>
      </c>
      <c r="C26" s="20">
        <v>17737</v>
      </c>
      <c r="D26" s="20">
        <f t="shared" si="0"/>
        <v>1808118</v>
      </c>
      <c r="E26"/>
      <c r="F26" s="20">
        <v>1239914</v>
      </c>
    </row>
    <row r="27" spans="1:6" ht="14.1" customHeight="1">
      <c r="A27" s="285" t="s">
        <v>125</v>
      </c>
      <c r="B27" s="286">
        <v>900427</v>
      </c>
      <c r="C27" s="286">
        <v>32363</v>
      </c>
      <c r="D27" s="286">
        <f t="shared" si="0"/>
        <v>932790</v>
      </c>
      <c r="E27"/>
      <c r="F27" s="286">
        <v>324651</v>
      </c>
    </row>
    <row r="28" spans="1:6" ht="14.1" customHeight="1">
      <c r="A28" s="19" t="s">
        <v>126</v>
      </c>
      <c r="B28" s="20">
        <v>1073282</v>
      </c>
      <c r="C28" s="20">
        <v>0</v>
      </c>
      <c r="D28" s="20">
        <f t="shared" si="0"/>
        <v>1073282</v>
      </c>
      <c r="E28"/>
      <c r="F28" s="20">
        <v>45967</v>
      </c>
    </row>
    <row r="29" spans="1:6" ht="14.1" customHeight="1">
      <c r="A29" s="285" t="s">
        <v>127</v>
      </c>
      <c r="B29" s="286">
        <v>4841017</v>
      </c>
      <c r="C29" s="286">
        <v>2113964</v>
      </c>
      <c r="D29" s="286">
        <f t="shared" si="0"/>
        <v>6954981</v>
      </c>
      <c r="E29"/>
      <c r="F29" s="286">
        <v>7036405</v>
      </c>
    </row>
    <row r="30" spans="1:6" ht="14.1" customHeight="1">
      <c r="A30" s="19" t="s">
        <v>128</v>
      </c>
      <c r="B30" s="20">
        <v>394662</v>
      </c>
      <c r="C30" s="20">
        <v>29809</v>
      </c>
      <c r="D30" s="20">
        <f t="shared" si="0"/>
        <v>424471</v>
      </c>
      <c r="E30"/>
      <c r="F30" s="20">
        <v>261106</v>
      </c>
    </row>
    <row r="31" spans="1:6" ht="14.1" customHeight="1">
      <c r="A31" s="285" t="s">
        <v>129</v>
      </c>
      <c r="B31" s="286">
        <v>775788</v>
      </c>
      <c r="C31" s="286">
        <v>11132</v>
      </c>
      <c r="D31" s="286">
        <f t="shared" si="0"/>
        <v>786920</v>
      </c>
      <c r="E31"/>
      <c r="F31" s="286">
        <v>2007928</v>
      </c>
    </row>
    <row r="32" spans="1:6" ht="14.1" customHeight="1">
      <c r="A32" s="19" t="s">
        <v>130</v>
      </c>
      <c r="B32" s="20">
        <v>1097949</v>
      </c>
      <c r="C32" s="20">
        <v>226303</v>
      </c>
      <c r="D32" s="20">
        <f t="shared" si="0"/>
        <v>1324252</v>
      </c>
      <c r="E32"/>
      <c r="F32" s="20">
        <v>540692</v>
      </c>
    </row>
    <row r="33" spans="1:6" ht="14.1" customHeight="1">
      <c r="A33" s="285" t="s">
        <v>131</v>
      </c>
      <c r="B33" s="286">
        <v>946226</v>
      </c>
      <c r="C33" s="286">
        <v>-29816</v>
      </c>
      <c r="D33" s="286">
        <f t="shared" si="0"/>
        <v>916410</v>
      </c>
      <c r="E33"/>
      <c r="F33" s="286">
        <v>2366240</v>
      </c>
    </row>
    <row r="34" spans="1:6" ht="14.1" customHeight="1">
      <c r="A34" s="19" t="s">
        <v>132</v>
      </c>
      <c r="B34" s="20">
        <v>1595858</v>
      </c>
      <c r="C34" s="20">
        <v>61086</v>
      </c>
      <c r="D34" s="20">
        <f t="shared" si="0"/>
        <v>1656944</v>
      </c>
      <c r="E34"/>
      <c r="F34" s="20">
        <v>597465</v>
      </c>
    </row>
    <row r="35" spans="1:6" ht="14.1" customHeight="1">
      <c r="A35" s="285" t="s">
        <v>133</v>
      </c>
      <c r="B35" s="286">
        <v>4716995</v>
      </c>
      <c r="C35" s="286">
        <v>128003</v>
      </c>
      <c r="D35" s="286">
        <f t="shared" si="0"/>
        <v>4844998</v>
      </c>
      <c r="E35"/>
      <c r="F35" s="286">
        <v>3915814</v>
      </c>
    </row>
    <row r="36" spans="1:6" ht="14.1" customHeight="1">
      <c r="A36" s="19" t="s">
        <v>134</v>
      </c>
      <c r="B36" s="20">
        <v>855589</v>
      </c>
      <c r="C36" s="20">
        <v>0</v>
      </c>
      <c r="D36" s="20">
        <f t="shared" si="0"/>
        <v>855589</v>
      </c>
      <c r="E36"/>
      <c r="F36" s="20">
        <v>1322662</v>
      </c>
    </row>
    <row r="37" spans="1:6" ht="14.1" customHeight="1">
      <c r="A37" s="285" t="s">
        <v>135</v>
      </c>
      <c r="B37" s="286">
        <v>3354363</v>
      </c>
      <c r="C37" s="286">
        <v>35088</v>
      </c>
      <c r="D37" s="286">
        <f t="shared" si="0"/>
        <v>3389451</v>
      </c>
      <c r="E37"/>
      <c r="F37" s="286">
        <v>1309963</v>
      </c>
    </row>
    <row r="38" spans="1:6" ht="14.1" customHeight="1">
      <c r="A38" s="19" t="s">
        <v>136</v>
      </c>
      <c r="B38" s="20">
        <v>6859138</v>
      </c>
      <c r="C38" s="20">
        <v>602431</v>
      </c>
      <c r="D38" s="20">
        <f t="shared" si="0"/>
        <v>7461569</v>
      </c>
      <c r="E38"/>
      <c r="F38" s="20">
        <v>2741971</v>
      </c>
    </row>
    <row r="39" spans="1:6" ht="14.1" customHeight="1">
      <c r="A39" s="285" t="s">
        <v>137</v>
      </c>
      <c r="B39" s="286">
        <v>1944069</v>
      </c>
      <c r="C39" s="286">
        <v>63</v>
      </c>
      <c r="D39" s="286">
        <f t="shared" si="0"/>
        <v>1944132</v>
      </c>
      <c r="E39"/>
      <c r="F39" s="286">
        <v>1797759</v>
      </c>
    </row>
    <row r="40" spans="1:6" ht="14.1" customHeight="1">
      <c r="A40" s="19" t="s">
        <v>138</v>
      </c>
      <c r="B40" s="20">
        <v>2200529</v>
      </c>
      <c r="C40" s="20">
        <v>841</v>
      </c>
      <c r="D40" s="20">
        <f t="shared" si="0"/>
        <v>2201370</v>
      </c>
      <c r="E40"/>
      <c r="F40" s="20">
        <v>644893</v>
      </c>
    </row>
    <row r="41" spans="1:6" ht="14.1" customHeight="1">
      <c r="A41" s="285" t="s">
        <v>139</v>
      </c>
      <c r="B41" s="286">
        <v>2470952</v>
      </c>
      <c r="C41" s="286">
        <v>54610</v>
      </c>
      <c r="D41" s="286">
        <f t="shared" si="0"/>
        <v>2525562</v>
      </c>
      <c r="E41"/>
      <c r="F41" s="286">
        <v>1504698</v>
      </c>
    </row>
    <row r="42" spans="1:6" ht="14.1" customHeight="1">
      <c r="A42" s="19" t="s">
        <v>140</v>
      </c>
      <c r="B42" s="20">
        <v>1220050</v>
      </c>
      <c r="C42" s="20">
        <v>72150</v>
      </c>
      <c r="D42" s="20">
        <f t="shared" si="0"/>
        <v>1292200</v>
      </c>
      <c r="E42"/>
      <c r="F42" s="20">
        <v>1078076</v>
      </c>
    </row>
    <row r="43" spans="1:6" ht="14.1" customHeight="1">
      <c r="A43" s="285" t="s">
        <v>141</v>
      </c>
      <c r="B43" s="286">
        <v>514101</v>
      </c>
      <c r="C43" s="286">
        <v>2819</v>
      </c>
      <c r="D43" s="286">
        <f t="shared" si="0"/>
        <v>516920</v>
      </c>
      <c r="E43"/>
      <c r="F43" s="286">
        <v>343550</v>
      </c>
    </row>
    <row r="44" spans="1:6" ht="14.1" customHeight="1">
      <c r="A44" s="19" t="s">
        <v>142</v>
      </c>
      <c r="B44" s="20">
        <v>419354</v>
      </c>
      <c r="C44" s="20">
        <v>4550</v>
      </c>
      <c r="D44" s="20">
        <f t="shared" si="0"/>
        <v>423904</v>
      </c>
      <c r="E44"/>
      <c r="F44" s="20">
        <v>268063</v>
      </c>
    </row>
    <row r="45" spans="1:6" ht="14.1" customHeight="1">
      <c r="A45" s="285" t="s">
        <v>143</v>
      </c>
      <c r="B45" s="286">
        <v>793589</v>
      </c>
      <c r="C45" s="286">
        <v>6175</v>
      </c>
      <c r="D45" s="286">
        <f t="shared" si="0"/>
        <v>799764</v>
      </c>
      <c r="E45"/>
      <c r="F45" s="286">
        <v>364772</v>
      </c>
    </row>
    <row r="46" spans="1:6" ht="14.1" customHeight="1">
      <c r="A46" s="19" t="s">
        <v>144</v>
      </c>
      <c r="B46" s="20">
        <v>12179386</v>
      </c>
      <c r="C46" s="20">
        <v>445839</v>
      </c>
      <c r="D46" s="20">
        <f t="shared" si="0"/>
        <v>12625225</v>
      </c>
      <c r="E46"/>
      <c r="F46" s="20">
        <v>5339391</v>
      </c>
    </row>
    <row r="47" spans="1:6" ht="5.0999999999999996" customHeight="1">
      <c r="A47" s="21"/>
      <c r="B47" s="22"/>
      <c r="C47" s="22"/>
      <c r="D47" s="22"/>
      <c r="E47"/>
      <c r="F47" s="22"/>
    </row>
    <row r="48" spans="1:6" ht="14.1" customHeight="1">
      <c r="A48" s="287" t="s">
        <v>145</v>
      </c>
      <c r="B48" s="288">
        <f>SUM(B11:B46)</f>
        <v>96673419</v>
      </c>
      <c r="C48" s="288">
        <f>SUM(C11:C46)</f>
        <v>12245587</v>
      </c>
      <c r="D48" s="288">
        <f>SUM(D11:D46)</f>
        <v>108919006</v>
      </c>
      <c r="E48"/>
      <c r="F48" s="288">
        <f>SUM(F11:F46)</f>
        <v>58669242</v>
      </c>
    </row>
    <row r="49" spans="1:6" ht="5.0999999999999996" customHeight="1">
      <c r="A49" s="21" t="s">
        <v>7</v>
      </c>
      <c r="B49" s="22"/>
      <c r="C49" s="22"/>
      <c r="D49" s="22"/>
      <c r="E49"/>
      <c r="F49" s="22"/>
    </row>
    <row r="50" spans="1:6" ht="14.1" customHeight="1">
      <c r="A50" s="19" t="s">
        <v>146</v>
      </c>
      <c r="B50" s="20">
        <v>0</v>
      </c>
      <c r="C50" s="20">
        <v>0</v>
      </c>
      <c r="D50" s="20">
        <f>SUM(B50:C50)</f>
        <v>0</v>
      </c>
      <c r="E50"/>
      <c r="F50" s="20">
        <v>208788</v>
      </c>
    </row>
    <row r="51" spans="1:6" ht="14.1" customHeight="1">
      <c r="A51" s="285" t="s">
        <v>612</v>
      </c>
      <c r="B51" s="286">
        <v>121188</v>
      </c>
      <c r="C51" s="286">
        <v>165</v>
      </c>
      <c r="D51" s="286">
        <f>SUM(B51:C51)</f>
        <v>121353</v>
      </c>
      <c r="E51"/>
      <c r="F51" s="286">
        <v>884436</v>
      </c>
    </row>
    <row r="52" spans="1:6" ht="50.1" customHeight="1">
      <c r="A52" s="23"/>
      <c r="B52" s="23"/>
      <c r="C52" s="23"/>
      <c r="D52" s="23"/>
      <c r="E52" s="23"/>
      <c r="F52" s="23"/>
    </row>
    <row r="53" spans="1:6" ht="13.5" customHeight="1">
      <c r="A53" s="415" t="s">
        <v>647</v>
      </c>
      <c r="B53" s="184"/>
      <c r="C53" s="184"/>
      <c r="D53" s="184"/>
      <c r="E53" s="184"/>
    </row>
    <row r="54" spans="1:6">
      <c r="A54" s="415" t="s">
        <v>352</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sheetPr codeName="Sheet41">
    <pageSetUpPr fitToPage="1"/>
  </sheetPr>
  <dimension ref="A1:E55"/>
  <sheetViews>
    <sheetView showGridLines="0" showZeros="0" workbookViewId="0"/>
  </sheetViews>
  <sheetFormatPr defaultColWidth="19.83203125" defaultRowHeight="12"/>
  <cols>
    <col min="1" max="1" width="32.83203125" style="2" customWidth="1"/>
    <col min="2" max="4" width="18.83203125" style="2" customWidth="1"/>
    <col min="5" max="5" width="44.83203125" style="2" customWidth="1"/>
    <col min="6" max="16384" width="19.83203125" style="2"/>
  </cols>
  <sheetData>
    <row r="1" spans="1:5" ht="6.95" customHeight="1">
      <c r="A1" s="7"/>
      <c r="B1" s="7"/>
    </row>
    <row r="2" spans="1:5" ht="15.95" customHeight="1">
      <c r="A2" s="134"/>
      <c r="B2" s="742" t="str">
        <f>"CAPITAL FUND "&amp;FALLYR&amp;"/"&amp;SPRINGYR&amp;" ACTUAL"</f>
        <v>CAPITAL FUND 2015/2016 ACTUAL</v>
      </c>
      <c r="C2" s="742"/>
      <c r="D2" s="742"/>
      <c r="E2" s="231" t="s">
        <v>254</v>
      </c>
    </row>
    <row r="3" spans="1:5" ht="15.95" customHeight="1">
      <c r="A3" s="543"/>
      <c r="B3" s="737" t="s">
        <v>272</v>
      </c>
      <c r="C3" s="737"/>
      <c r="D3" s="737"/>
      <c r="E3" s="226"/>
    </row>
    <row r="4" spans="1:5" ht="15.95" customHeight="1">
      <c r="C4" s="8"/>
      <c r="D4" s="8"/>
    </row>
    <row r="5" spans="1:5" ht="15.95" customHeight="1">
      <c r="B5" s="441"/>
      <c r="C5" s="442"/>
      <c r="D5" s="442"/>
    </row>
    <row r="6" spans="1:5" ht="15.95" customHeight="1">
      <c r="B6" s="750" t="s">
        <v>548</v>
      </c>
      <c r="C6" s="746" t="s">
        <v>268</v>
      </c>
      <c r="D6" s="747"/>
    </row>
    <row r="7" spans="1:5" ht="15.95" customHeight="1">
      <c r="B7" s="751"/>
      <c r="C7" s="755" t="s">
        <v>550</v>
      </c>
      <c r="D7" s="409"/>
    </row>
    <row r="8" spans="1:5" ht="15.95" customHeight="1">
      <c r="A8" s="404"/>
      <c r="B8" s="751"/>
      <c r="C8" s="755"/>
      <c r="D8" s="753" t="s">
        <v>549</v>
      </c>
    </row>
    <row r="9" spans="1:5" ht="15.95" customHeight="1">
      <c r="A9" s="405" t="s">
        <v>42</v>
      </c>
      <c r="B9" s="752"/>
      <c r="C9" s="756"/>
      <c r="D9" s="754"/>
    </row>
    <row r="10" spans="1:5" ht="5.0999999999999996" customHeight="1">
      <c r="A10" s="6"/>
      <c r="B10" s="207"/>
      <c r="C10" s="207"/>
    </row>
    <row r="11" spans="1:5" ht="14.1" customHeight="1">
      <c r="A11" s="285" t="s">
        <v>110</v>
      </c>
      <c r="B11" s="420">
        <v>5075718</v>
      </c>
      <c r="C11" s="418">
        <v>4033619</v>
      </c>
      <c r="D11" s="286">
        <v>1042099</v>
      </c>
    </row>
    <row r="12" spans="1:5" ht="14.1" customHeight="1">
      <c r="A12" s="19" t="s">
        <v>111</v>
      </c>
      <c r="B12" s="421">
        <v>10994462</v>
      </c>
      <c r="C12" s="419">
        <v>7252682</v>
      </c>
      <c r="D12" s="20">
        <v>3741780</v>
      </c>
    </row>
    <row r="13" spans="1:5" ht="14.1" customHeight="1">
      <c r="A13" s="285" t="s">
        <v>112</v>
      </c>
      <c r="B13" s="420">
        <v>15434214</v>
      </c>
      <c r="C13" s="418">
        <v>8913912</v>
      </c>
      <c r="D13" s="286">
        <v>6520302</v>
      </c>
    </row>
    <row r="14" spans="1:5" ht="14.1" customHeight="1">
      <c r="A14" s="19" t="s">
        <v>359</v>
      </c>
      <c r="B14" s="421">
        <v>33666219</v>
      </c>
      <c r="C14" s="419">
        <v>32326219</v>
      </c>
      <c r="D14" s="20">
        <v>1340000</v>
      </c>
    </row>
    <row r="15" spans="1:5" ht="14.1" customHeight="1">
      <c r="A15" s="285" t="s">
        <v>113</v>
      </c>
      <c r="B15" s="420">
        <v>6859848</v>
      </c>
      <c r="C15" s="418">
        <v>5230950</v>
      </c>
      <c r="D15" s="286">
        <v>1628898</v>
      </c>
    </row>
    <row r="16" spans="1:5" ht="14.1" customHeight="1">
      <c r="A16" s="19" t="s">
        <v>114</v>
      </c>
      <c r="B16" s="421">
        <v>1647206</v>
      </c>
      <c r="C16" s="419">
        <v>1463093</v>
      </c>
      <c r="D16" s="20">
        <v>184113</v>
      </c>
    </row>
    <row r="17" spans="1:4" ht="14.1" customHeight="1">
      <c r="A17" s="285" t="s">
        <v>115</v>
      </c>
      <c r="B17" s="420">
        <v>5589914</v>
      </c>
      <c r="C17" s="418">
        <v>4400445</v>
      </c>
      <c r="D17" s="286">
        <v>1189469</v>
      </c>
    </row>
    <row r="18" spans="1:4" ht="14.1" customHeight="1">
      <c r="A18" s="19" t="s">
        <v>116</v>
      </c>
      <c r="B18" s="421">
        <v>28277891</v>
      </c>
      <c r="C18" s="419">
        <v>26835274</v>
      </c>
      <c r="D18" s="20">
        <v>1442617</v>
      </c>
    </row>
    <row r="19" spans="1:4" ht="14.1" customHeight="1">
      <c r="A19" s="285" t="s">
        <v>117</v>
      </c>
      <c r="B19" s="420">
        <v>20998758</v>
      </c>
      <c r="C19" s="418">
        <v>20522935</v>
      </c>
      <c r="D19" s="286">
        <v>475823</v>
      </c>
    </row>
    <row r="20" spans="1:4" ht="14.1" customHeight="1">
      <c r="A20" s="19" t="s">
        <v>118</v>
      </c>
      <c r="B20" s="421">
        <v>20788963</v>
      </c>
      <c r="C20" s="419">
        <v>20588963</v>
      </c>
      <c r="D20" s="37">
        <v>200000</v>
      </c>
    </row>
    <row r="21" spans="1:4" ht="14.1" customHeight="1">
      <c r="A21" s="285" t="s">
        <v>119</v>
      </c>
      <c r="B21" s="420">
        <v>3023133</v>
      </c>
      <c r="C21" s="418">
        <v>3021839</v>
      </c>
      <c r="D21" s="286">
        <v>1294</v>
      </c>
    </row>
    <row r="22" spans="1:4" ht="14.1" customHeight="1">
      <c r="A22" s="19" t="s">
        <v>120</v>
      </c>
      <c r="B22" s="421">
        <v>1966854</v>
      </c>
      <c r="C22" s="419">
        <v>1966854</v>
      </c>
      <c r="D22" s="20">
        <v>0</v>
      </c>
    </row>
    <row r="23" spans="1:4" ht="14.1" customHeight="1">
      <c r="A23" s="285" t="s">
        <v>121</v>
      </c>
      <c r="B23" s="420">
        <v>4213458</v>
      </c>
      <c r="C23" s="418">
        <v>2915086</v>
      </c>
      <c r="D23" s="286">
        <v>1298372</v>
      </c>
    </row>
    <row r="24" spans="1:4" ht="14.1" customHeight="1">
      <c r="A24" s="19" t="s">
        <v>122</v>
      </c>
      <c r="B24" s="421">
        <v>9018625</v>
      </c>
      <c r="C24" s="419">
        <v>8099779</v>
      </c>
      <c r="D24" s="20">
        <v>918846</v>
      </c>
    </row>
    <row r="25" spans="1:4" ht="14.1" customHeight="1">
      <c r="A25" s="285" t="s">
        <v>123</v>
      </c>
      <c r="B25" s="420">
        <v>24869303</v>
      </c>
      <c r="C25" s="418">
        <v>17193405</v>
      </c>
      <c r="D25" s="286">
        <v>7675898</v>
      </c>
    </row>
    <row r="26" spans="1:4" ht="14.1" customHeight="1">
      <c r="A26" s="19" t="s">
        <v>124</v>
      </c>
      <c r="B26" s="421">
        <v>3393046</v>
      </c>
      <c r="C26" s="419">
        <v>3031189</v>
      </c>
      <c r="D26" s="20">
        <v>361857</v>
      </c>
    </row>
    <row r="27" spans="1:4" ht="14.1" customHeight="1">
      <c r="A27" s="285" t="s">
        <v>125</v>
      </c>
      <c r="B27" s="420">
        <v>7627343</v>
      </c>
      <c r="C27" s="418">
        <v>6843359</v>
      </c>
      <c r="D27" s="286">
        <v>783984</v>
      </c>
    </row>
    <row r="28" spans="1:4" ht="14.1" customHeight="1">
      <c r="A28" s="19" t="s">
        <v>126</v>
      </c>
      <c r="B28" s="421">
        <v>1611645</v>
      </c>
      <c r="C28" s="419">
        <v>1611645</v>
      </c>
      <c r="D28" s="20">
        <v>0</v>
      </c>
    </row>
    <row r="29" spans="1:4" ht="14.1" customHeight="1">
      <c r="A29" s="285" t="s">
        <v>127</v>
      </c>
      <c r="B29" s="420">
        <v>30161654</v>
      </c>
      <c r="C29" s="418">
        <v>19040123</v>
      </c>
      <c r="D29" s="286">
        <v>11121531</v>
      </c>
    </row>
    <row r="30" spans="1:4" ht="14.1" customHeight="1">
      <c r="A30" s="19" t="s">
        <v>128</v>
      </c>
      <c r="B30" s="421">
        <v>1655633</v>
      </c>
      <c r="C30" s="419">
        <v>1225762</v>
      </c>
      <c r="D30" s="20">
        <v>429871</v>
      </c>
    </row>
    <row r="31" spans="1:4" ht="14.1" customHeight="1">
      <c r="A31" s="285" t="s">
        <v>129</v>
      </c>
      <c r="B31" s="420">
        <v>5125682</v>
      </c>
      <c r="C31" s="418">
        <v>3765682</v>
      </c>
      <c r="D31" s="286">
        <v>1360000</v>
      </c>
    </row>
    <row r="32" spans="1:4" ht="14.1" customHeight="1">
      <c r="A32" s="19" t="s">
        <v>130</v>
      </c>
      <c r="B32" s="421">
        <v>4860706</v>
      </c>
      <c r="C32" s="419">
        <v>4662518</v>
      </c>
      <c r="D32" s="20">
        <v>198188</v>
      </c>
    </row>
    <row r="33" spans="1:4" ht="14.1" customHeight="1">
      <c r="A33" s="285" t="s">
        <v>131</v>
      </c>
      <c r="B33" s="420">
        <v>7735772</v>
      </c>
      <c r="C33" s="418">
        <v>7191668</v>
      </c>
      <c r="D33" s="286">
        <v>544104</v>
      </c>
    </row>
    <row r="34" spans="1:4" ht="14.1" customHeight="1">
      <c r="A34" s="19" t="s">
        <v>132</v>
      </c>
      <c r="B34" s="421">
        <v>6341265</v>
      </c>
      <c r="C34" s="419">
        <v>6121842</v>
      </c>
      <c r="D34" s="20">
        <v>219423</v>
      </c>
    </row>
    <row r="35" spans="1:4" ht="14.1" customHeight="1">
      <c r="A35" s="285" t="s">
        <v>133</v>
      </c>
      <c r="B35" s="420">
        <v>27701593</v>
      </c>
      <c r="C35" s="418">
        <v>23304513</v>
      </c>
      <c r="D35" s="286">
        <v>4397080</v>
      </c>
    </row>
    <row r="36" spans="1:4" ht="14.1" customHeight="1">
      <c r="A36" s="19" t="s">
        <v>134</v>
      </c>
      <c r="B36" s="421">
        <v>7422857</v>
      </c>
      <c r="C36" s="419">
        <v>4205192</v>
      </c>
      <c r="D36" s="20">
        <v>3217665</v>
      </c>
    </row>
    <row r="37" spans="1:4" ht="14.1" customHeight="1">
      <c r="A37" s="285" t="s">
        <v>135</v>
      </c>
      <c r="B37" s="420">
        <v>9240080</v>
      </c>
      <c r="C37" s="418">
        <v>9210088</v>
      </c>
      <c r="D37" s="286">
        <v>29992</v>
      </c>
    </row>
    <row r="38" spans="1:4" ht="14.1" customHeight="1">
      <c r="A38" s="19" t="s">
        <v>136</v>
      </c>
      <c r="B38" s="421">
        <v>41463355</v>
      </c>
      <c r="C38" s="419">
        <v>40606719</v>
      </c>
      <c r="D38" s="20">
        <v>856636</v>
      </c>
    </row>
    <row r="39" spans="1:4" ht="14.1" customHeight="1">
      <c r="A39" s="285" t="s">
        <v>137</v>
      </c>
      <c r="B39" s="420">
        <v>5080645</v>
      </c>
      <c r="C39" s="418">
        <v>3576830</v>
      </c>
      <c r="D39" s="286">
        <v>1503815</v>
      </c>
    </row>
    <row r="40" spans="1:4" ht="14.1" customHeight="1">
      <c r="A40" s="19" t="s">
        <v>138</v>
      </c>
      <c r="B40" s="421">
        <v>31433670</v>
      </c>
      <c r="C40" s="419">
        <v>24895861</v>
      </c>
      <c r="D40" s="20">
        <v>6537809</v>
      </c>
    </row>
    <row r="41" spans="1:4" ht="14.1" customHeight="1">
      <c r="A41" s="285" t="s">
        <v>139</v>
      </c>
      <c r="B41" s="420">
        <v>12807576</v>
      </c>
      <c r="C41" s="418">
        <v>12441245</v>
      </c>
      <c r="D41" s="286">
        <v>366331</v>
      </c>
    </row>
    <row r="42" spans="1:4" ht="14.1" customHeight="1">
      <c r="A42" s="19" t="s">
        <v>140</v>
      </c>
      <c r="B42" s="421">
        <v>5607837</v>
      </c>
      <c r="C42" s="419">
        <v>2671507</v>
      </c>
      <c r="D42" s="20">
        <v>2936330</v>
      </c>
    </row>
    <row r="43" spans="1:4" ht="14.1" customHeight="1">
      <c r="A43" s="285" t="s">
        <v>141</v>
      </c>
      <c r="B43" s="420">
        <v>1162760</v>
      </c>
      <c r="C43" s="418">
        <v>1024402</v>
      </c>
      <c r="D43" s="286">
        <v>138358</v>
      </c>
    </row>
    <row r="44" spans="1:4" ht="14.1" customHeight="1">
      <c r="A44" s="19" t="s">
        <v>142</v>
      </c>
      <c r="B44" s="421">
        <v>2940826</v>
      </c>
      <c r="C44" s="419">
        <v>1580559</v>
      </c>
      <c r="D44" s="20">
        <v>1360267</v>
      </c>
    </row>
    <row r="45" spans="1:4" ht="14.1" customHeight="1">
      <c r="A45" s="285" t="s">
        <v>143</v>
      </c>
      <c r="B45" s="420">
        <v>4607328</v>
      </c>
      <c r="C45" s="418">
        <v>4242956</v>
      </c>
      <c r="D45" s="286">
        <v>364372</v>
      </c>
    </row>
    <row r="46" spans="1:4" ht="14.1" customHeight="1">
      <c r="A46" s="19" t="s">
        <v>144</v>
      </c>
      <c r="B46" s="421">
        <v>69238184</v>
      </c>
      <c r="C46" s="419">
        <v>64470694</v>
      </c>
      <c r="D46" s="20">
        <v>4767490</v>
      </c>
    </row>
    <row r="47" spans="1:4" ht="5.0999999999999996" customHeight="1">
      <c r="A47" s="21"/>
      <c r="B47" s="22"/>
      <c r="C47" s="22"/>
      <c r="D47" s="22"/>
    </row>
    <row r="48" spans="1:4" ht="14.1" customHeight="1">
      <c r="A48" s="287" t="s">
        <v>145</v>
      </c>
      <c r="B48" s="423">
        <f>SUM(B11:B46)</f>
        <v>479644023</v>
      </c>
      <c r="C48" s="422">
        <f>SUM(C11:C46)</f>
        <v>410489409</v>
      </c>
      <c r="D48" s="288">
        <f>SUM(D11:D46)</f>
        <v>69154614</v>
      </c>
    </row>
    <row r="49" spans="1:5" ht="5.0999999999999996" customHeight="1">
      <c r="A49" s="21" t="s">
        <v>7</v>
      </c>
      <c r="B49" s="22"/>
      <c r="C49" s="22"/>
      <c r="D49" s="22"/>
    </row>
    <row r="50" spans="1:5" ht="14.1" customHeight="1">
      <c r="A50" s="19" t="s">
        <v>146</v>
      </c>
      <c r="B50" s="421">
        <v>1382475</v>
      </c>
      <c r="C50" s="419">
        <v>1068834</v>
      </c>
      <c r="D50" s="37">
        <v>313641</v>
      </c>
    </row>
    <row r="51" spans="1:5" ht="14.1" customHeight="1">
      <c r="A51" s="285" t="s">
        <v>612</v>
      </c>
      <c r="B51" s="420">
        <v>6735818</v>
      </c>
      <c r="C51" s="418">
        <v>6735818</v>
      </c>
      <c r="D51" s="286">
        <v>0</v>
      </c>
    </row>
    <row r="52" spans="1:5" ht="50.1" customHeight="1">
      <c r="A52" s="23"/>
      <c r="B52" s="23"/>
      <c r="C52" s="23"/>
      <c r="D52" s="23"/>
      <c r="E52" s="23"/>
    </row>
    <row r="53" spans="1:5" ht="15" customHeight="1">
      <c r="A53" s="748" t="s">
        <v>547</v>
      </c>
      <c r="B53" s="748"/>
      <c r="C53" s="748"/>
      <c r="D53" s="748"/>
      <c r="E53" s="748"/>
    </row>
    <row r="54" spans="1:5">
      <c r="A54" s="749"/>
      <c r="B54" s="749"/>
      <c r="C54" s="749"/>
      <c r="D54" s="749"/>
      <c r="E54" s="749"/>
    </row>
    <row r="55" spans="1:5">
      <c r="A55" s="504" t="s">
        <v>353</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sheetPr codeName="Sheet43"/>
  <dimension ref="A1:H57"/>
  <sheetViews>
    <sheetView showGridLines="0" showZeros="0" workbookViewId="0"/>
  </sheetViews>
  <sheetFormatPr defaultColWidth="15.83203125" defaultRowHeight="12"/>
  <cols>
    <col min="1" max="1" width="29" style="2" customWidth="1"/>
    <col min="2" max="2" width="14.33203125" style="2" customWidth="1"/>
    <col min="3" max="3" width="16.33203125" style="2" customWidth="1"/>
    <col min="4" max="4" width="15.1640625" style="2" customWidth="1"/>
    <col min="5" max="5" width="15" style="2" customWidth="1"/>
    <col min="6" max="6" width="15.1640625" style="2" customWidth="1"/>
    <col min="7" max="7" width="16.6640625" style="2" customWidth="1"/>
    <col min="8" max="16384" width="15.83203125" style="2"/>
  </cols>
  <sheetData>
    <row r="1" spans="1:7" ht="6.95" customHeight="1">
      <c r="A1" s="7"/>
    </row>
    <row r="2" spans="1:7" ht="15.95" customHeight="1">
      <c r="A2" s="134"/>
      <c r="B2" s="742" t="str">
        <f>"CAPITAL FUND "&amp;FALLYR&amp;"/"&amp;SPRINGYR&amp;" ACTUAL"</f>
        <v>CAPITAL FUND 2015/2016 ACTUAL</v>
      </c>
      <c r="C2" s="742"/>
      <c r="D2" s="742"/>
      <c r="E2" s="742"/>
      <c r="F2" s="742"/>
      <c r="G2" s="231" t="s">
        <v>256</v>
      </c>
    </row>
    <row r="3" spans="1:7" ht="15.95" customHeight="1">
      <c r="A3" s="543"/>
      <c r="B3" s="737" t="s">
        <v>3</v>
      </c>
      <c r="C3" s="737"/>
      <c r="D3" s="737"/>
      <c r="E3" s="737"/>
      <c r="F3" s="737"/>
      <c r="G3" s="226"/>
    </row>
    <row r="4" spans="1:7" ht="15.95" customHeight="1">
      <c r="B4" s="8"/>
      <c r="C4" s="227"/>
      <c r="D4" s="8"/>
      <c r="E4" s="8"/>
    </row>
    <row r="5" spans="1:7" ht="15.95" customHeight="1">
      <c r="B5" s="8"/>
      <c r="C5" s="8"/>
      <c r="D5" s="8"/>
      <c r="E5" s="8"/>
    </row>
    <row r="6" spans="1:7" ht="15.95" customHeight="1">
      <c r="B6" s="760" t="s">
        <v>275</v>
      </c>
      <c r="C6" s="761"/>
      <c r="D6" s="761"/>
      <c r="E6" s="761"/>
      <c r="F6" s="761"/>
      <c r="G6" s="762"/>
    </row>
    <row r="7" spans="1:7" ht="15.95" customHeight="1">
      <c r="B7" s="424"/>
      <c r="C7" s="452"/>
      <c r="D7" s="763" t="s">
        <v>551</v>
      </c>
      <c r="E7" s="763" t="s">
        <v>552</v>
      </c>
      <c r="F7" s="424"/>
      <c r="G7" s="411"/>
    </row>
    <row r="8" spans="1:7" ht="15.95" customHeight="1">
      <c r="A8" s="404"/>
      <c r="B8" s="758" t="s">
        <v>271</v>
      </c>
      <c r="C8" s="438"/>
      <c r="D8" s="738"/>
      <c r="E8" s="738"/>
      <c r="F8" s="425"/>
      <c r="G8" s="412"/>
    </row>
    <row r="9" spans="1:7" ht="15.95" customHeight="1">
      <c r="A9" s="405" t="s">
        <v>42</v>
      </c>
      <c r="B9" s="759"/>
      <c r="C9" s="426" t="s">
        <v>282</v>
      </c>
      <c r="D9" s="739"/>
      <c r="E9" s="739"/>
      <c r="F9" s="426" t="s">
        <v>363</v>
      </c>
      <c r="G9" s="300" t="s">
        <v>31</v>
      </c>
    </row>
    <row r="10" spans="1:7" ht="5.0999999999999996" customHeight="1">
      <c r="A10" s="6"/>
      <c r="B10" s="207"/>
      <c r="C10" s="207"/>
      <c r="D10" s="207"/>
      <c r="E10" s="207"/>
      <c r="F10" s="207"/>
      <c r="G10" s="207"/>
    </row>
    <row r="11" spans="1:7" ht="14.1" customHeight="1">
      <c r="A11" s="285" t="s">
        <v>110</v>
      </c>
      <c r="B11" s="286">
        <v>0</v>
      </c>
      <c r="C11" s="286">
        <v>642716</v>
      </c>
      <c r="D11" s="286">
        <v>0</v>
      </c>
      <c r="E11" s="286">
        <v>0</v>
      </c>
      <c r="F11" s="286">
        <v>149807</v>
      </c>
      <c r="G11" s="286">
        <f>SUM(B11:F11)</f>
        <v>792523</v>
      </c>
    </row>
    <row r="12" spans="1:7" ht="14.1" customHeight="1">
      <c r="A12" s="19" t="s">
        <v>111</v>
      </c>
      <c r="B12" s="20">
        <v>288932</v>
      </c>
      <c r="C12" s="20">
        <v>2291072</v>
      </c>
      <c r="D12" s="20">
        <v>322745</v>
      </c>
      <c r="E12" s="20">
        <v>1305527</v>
      </c>
      <c r="F12" s="20">
        <v>672049</v>
      </c>
      <c r="G12" s="20">
        <f>SUM(B12:F12)</f>
        <v>4880325</v>
      </c>
    </row>
    <row r="13" spans="1:7" ht="14.1" customHeight="1">
      <c r="A13" s="285" t="s">
        <v>112</v>
      </c>
      <c r="B13" s="286">
        <v>0</v>
      </c>
      <c r="C13" s="286">
        <v>5829337</v>
      </c>
      <c r="D13" s="286">
        <v>539737</v>
      </c>
      <c r="E13" s="286">
        <v>0</v>
      </c>
      <c r="F13" s="286">
        <v>182563</v>
      </c>
      <c r="G13" s="286">
        <f t="shared" ref="G13:G46" si="0">SUM(B13:F13)</f>
        <v>6551637</v>
      </c>
    </row>
    <row r="14" spans="1:7" ht="14.1" customHeight="1">
      <c r="A14" s="19" t="s">
        <v>359</v>
      </c>
      <c r="B14" s="20">
        <v>219778</v>
      </c>
      <c r="C14" s="20">
        <v>5395728</v>
      </c>
      <c r="D14" s="20">
        <v>285348</v>
      </c>
      <c r="E14" s="20">
        <v>98596</v>
      </c>
      <c r="F14" s="20">
        <v>69450</v>
      </c>
      <c r="G14" s="20">
        <f t="shared" si="0"/>
        <v>6068900</v>
      </c>
    </row>
    <row r="15" spans="1:7" ht="14.1" customHeight="1">
      <c r="A15" s="285" t="s">
        <v>113</v>
      </c>
      <c r="B15" s="286">
        <v>226671</v>
      </c>
      <c r="C15" s="286">
        <v>1020541</v>
      </c>
      <c r="D15" s="286">
        <v>113206</v>
      </c>
      <c r="E15" s="286">
        <v>0</v>
      </c>
      <c r="F15" s="286">
        <v>385268</v>
      </c>
      <c r="G15" s="286">
        <f t="shared" si="0"/>
        <v>1745686</v>
      </c>
    </row>
    <row r="16" spans="1:7" ht="14.1" customHeight="1">
      <c r="A16" s="19" t="s">
        <v>114</v>
      </c>
      <c r="B16" s="20">
        <v>0</v>
      </c>
      <c r="C16" s="20">
        <v>0</v>
      </c>
      <c r="D16" s="20">
        <v>14385</v>
      </c>
      <c r="E16" s="20">
        <v>0</v>
      </c>
      <c r="F16" s="20">
        <v>101840</v>
      </c>
      <c r="G16" s="20">
        <f t="shared" si="0"/>
        <v>116225</v>
      </c>
    </row>
    <row r="17" spans="1:7" ht="14.1" customHeight="1">
      <c r="A17" s="285" t="s">
        <v>115</v>
      </c>
      <c r="B17" s="286">
        <v>0</v>
      </c>
      <c r="C17" s="286">
        <v>228466</v>
      </c>
      <c r="D17" s="286">
        <v>51119</v>
      </c>
      <c r="E17" s="286">
        <v>28723</v>
      </c>
      <c r="F17" s="286">
        <v>225046</v>
      </c>
      <c r="G17" s="286">
        <f t="shared" si="0"/>
        <v>533354</v>
      </c>
    </row>
    <row r="18" spans="1:7" ht="14.1" customHeight="1">
      <c r="A18" s="19" t="s">
        <v>116</v>
      </c>
      <c r="B18" s="20">
        <v>0</v>
      </c>
      <c r="C18" s="20">
        <v>3320798</v>
      </c>
      <c r="D18" s="20">
        <v>147103</v>
      </c>
      <c r="E18" s="20">
        <v>0</v>
      </c>
      <c r="F18" s="20">
        <v>1373092</v>
      </c>
      <c r="G18" s="20">
        <f t="shared" si="0"/>
        <v>4840993</v>
      </c>
    </row>
    <row r="19" spans="1:7" ht="14.1" customHeight="1">
      <c r="A19" s="285" t="s">
        <v>117</v>
      </c>
      <c r="B19" s="286">
        <v>102005</v>
      </c>
      <c r="C19" s="286">
        <v>200199</v>
      </c>
      <c r="D19" s="286">
        <v>40236</v>
      </c>
      <c r="E19" s="286">
        <v>1538608</v>
      </c>
      <c r="F19" s="286">
        <v>553985</v>
      </c>
      <c r="G19" s="286">
        <f t="shared" si="0"/>
        <v>2435033</v>
      </c>
    </row>
    <row r="20" spans="1:7" ht="14.1" customHeight="1">
      <c r="A20" s="19" t="s">
        <v>118</v>
      </c>
      <c r="B20" s="20">
        <v>0</v>
      </c>
      <c r="C20" s="20">
        <v>3995136</v>
      </c>
      <c r="D20" s="20">
        <v>337926</v>
      </c>
      <c r="E20" s="20">
        <v>1333527</v>
      </c>
      <c r="F20" s="20">
        <v>976404</v>
      </c>
      <c r="G20" s="20">
        <f t="shared" si="0"/>
        <v>6642993</v>
      </c>
    </row>
    <row r="21" spans="1:7" ht="14.1" customHeight="1">
      <c r="A21" s="285" t="s">
        <v>119</v>
      </c>
      <c r="B21" s="286">
        <v>0</v>
      </c>
      <c r="C21" s="286">
        <v>1512353</v>
      </c>
      <c r="D21" s="286">
        <v>0</v>
      </c>
      <c r="E21" s="286">
        <v>0</v>
      </c>
      <c r="F21" s="286">
        <v>0</v>
      </c>
      <c r="G21" s="286">
        <f t="shared" si="0"/>
        <v>1512353</v>
      </c>
    </row>
    <row r="22" spans="1:7" ht="14.1" customHeight="1">
      <c r="A22" s="19" t="s">
        <v>120</v>
      </c>
      <c r="B22" s="20">
        <v>0</v>
      </c>
      <c r="C22" s="20">
        <v>1115135</v>
      </c>
      <c r="D22" s="20">
        <v>22139</v>
      </c>
      <c r="E22" s="20">
        <v>0</v>
      </c>
      <c r="F22" s="20">
        <v>20428</v>
      </c>
      <c r="G22" s="20">
        <f t="shared" si="0"/>
        <v>1157702</v>
      </c>
    </row>
    <row r="23" spans="1:7" ht="14.1" customHeight="1">
      <c r="A23" s="285" t="s">
        <v>121</v>
      </c>
      <c r="B23" s="286">
        <v>0</v>
      </c>
      <c r="C23" s="286">
        <v>458136</v>
      </c>
      <c r="D23" s="286">
        <v>22266</v>
      </c>
      <c r="E23" s="286">
        <v>0</v>
      </c>
      <c r="F23" s="286">
        <v>258530</v>
      </c>
      <c r="G23" s="286">
        <f t="shared" si="0"/>
        <v>738932</v>
      </c>
    </row>
    <row r="24" spans="1:7" ht="14.1" customHeight="1">
      <c r="A24" s="19" t="s">
        <v>122</v>
      </c>
      <c r="B24" s="20">
        <v>0</v>
      </c>
      <c r="C24" s="20">
        <v>1422483</v>
      </c>
      <c r="D24" s="20">
        <v>193051</v>
      </c>
      <c r="E24" s="20">
        <v>362430</v>
      </c>
      <c r="F24" s="20">
        <v>609767</v>
      </c>
      <c r="G24" s="20">
        <f t="shared" si="0"/>
        <v>2587731</v>
      </c>
    </row>
    <row r="25" spans="1:7" ht="14.1" customHeight="1">
      <c r="A25" s="285" t="s">
        <v>123</v>
      </c>
      <c r="B25" s="286">
        <v>0</v>
      </c>
      <c r="C25" s="286">
        <v>16656443</v>
      </c>
      <c r="D25" s="286">
        <v>1131420</v>
      </c>
      <c r="E25" s="286">
        <v>183862</v>
      </c>
      <c r="F25" s="286">
        <v>365843</v>
      </c>
      <c r="G25" s="286">
        <f t="shared" si="0"/>
        <v>18337568</v>
      </c>
    </row>
    <row r="26" spans="1:7" ht="14.1" customHeight="1">
      <c r="A26" s="19" t="s">
        <v>124</v>
      </c>
      <c r="B26" s="20">
        <v>0</v>
      </c>
      <c r="C26" s="20">
        <v>9260768</v>
      </c>
      <c r="D26" s="20">
        <v>238506</v>
      </c>
      <c r="E26" s="20">
        <v>0</v>
      </c>
      <c r="F26" s="20">
        <v>504779</v>
      </c>
      <c r="G26" s="20">
        <f t="shared" si="0"/>
        <v>10004053</v>
      </c>
    </row>
    <row r="27" spans="1:7" ht="14.1" customHeight="1">
      <c r="A27" s="285" t="s">
        <v>125</v>
      </c>
      <c r="B27" s="286">
        <v>146763</v>
      </c>
      <c r="C27" s="286">
        <v>2894284</v>
      </c>
      <c r="D27" s="286">
        <v>25000</v>
      </c>
      <c r="E27" s="286">
        <v>6105</v>
      </c>
      <c r="F27" s="286">
        <v>32539</v>
      </c>
      <c r="G27" s="286">
        <f t="shared" si="0"/>
        <v>3104691</v>
      </c>
    </row>
    <row r="28" spans="1:7" ht="14.1" customHeight="1">
      <c r="A28" s="19" t="s">
        <v>126</v>
      </c>
      <c r="B28" s="20">
        <v>0</v>
      </c>
      <c r="C28" s="20">
        <v>489116</v>
      </c>
      <c r="D28" s="20">
        <v>26790</v>
      </c>
      <c r="E28" s="20">
        <v>0</v>
      </c>
      <c r="F28" s="20">
        <v>137972</v>
      </c>
      <c r="G28" s="20">
        <f t="shared" si="0"/>
        <v>653878</v>
      </c>
    </row>
    <row r="29" spans="1:7" ht="14.1" customHeight="1">
      <c r="A29" s="285" t="s">
        <v>127</v>
      </c>
      <c r="B29" s="286">
        <v>476614</v>
      </c>
      <c r="C29" s="286">
        <v>21963452</v>
      </c>
      <c r="D29" s="286">
        <v>155450</v>
      </c>
      <c r="E29" s="286">
        <v>103340</v>
      </c>
      <c r="F29" s="286">
        <v>414780</v>
      </c>
      <c r="G29" s="286">
        <f t="shared" si="0"/>
        <v>23113636</v>
      </c>
    </row>
    <row r="30" spans="1:7" ht="14.1" customHeight="1">
      <c r="A30" s="19" t="s">
        <v>128</v>
      </c>
      <c r="B30" s="20">
        <v>0</v>
      </c>
      <c r="C30" s="20">
        <v>27930</v>
      </c>
      <c r="D30" s="20">
        <v>0</v>
      </c>
      <c r="E30" s="20">
        <v>0</v>
      </c>
      <c r="F30" s="20">
        <v>255866</v>
      </c>
      <c r="G30" s="20">
        <f t="shared" si="0"/>
        <v>283796</v>
      </c>
    </row>
    <row r="31" spans="1:7" ht="14.1" customHeight="1">
      <c r="A31" s="285" t="s">
        <v>129</v>
      </c>
      <c r="B31" s="286">
        <v>0</v>
      </c>
      <c r="C31" s="286">
        <v>723825</v>
      </c>
      <c r="D31" s="286">
        <v>63195</v>
      </c>
      <c r="E31" s="286">
        <v>0</v>
      </c>
      <c r="F31" s="286">
        <v>219758</v>
      </c>
      <c r="G31" s="286">
        <f t="shared" si="0"/>
        <v>1006778</v>
      </c>
    </row>
    <row r="32" spans="1:7" ht="14.1" customHeight="1">
      <c r="A32" s="19" t="s">
        <v>130</v>
      </c>
      <c r="B32" s="20">
        <v>0</v>
      </c>
      <c r="C32" s="20">
        <v>3847393</v>
      </c>
      <c r="D32" s="20">
        <v>354403</v>
      </c>
      <c r="E32" s="20">
        <v>0</v>
      </c>
      <c r="F32" s="20">
        <v>325170</v>
      </c>
      <c r="G32" s="20">
        <f t="shared" si="0"/>
        <v>4526966</v>
      </c>
    </row>
    <row r="33" spans="1:8" ht="14.1" customHeight="1">
      <c r="A33" s="285" t="s">
        <v>131</v>
      </c>
      <c r="B33" s="286">
        <v>0</v>
      </c>
      <c r="C33" s="286">
        <v>463144</v>
      </c>
      <c r="D33" s="286">
        <v>142209</v>
      </c>
      <c r="E33" s="286">
        <v>548000</v>
      </c>
      <c r="F33" s="286">
        <v>443967</v>
      </c>
      <c r="G33" s="286">
        <f t="shared" si="0"/>
        <v>1597320</v>
      </c>
    </row>
    <row r="34" spans="1:8" ht="14.1" customHeight="1">
      <c r="A34" s="19" t="s">
        <v>132</v>
      </c>
      <c r="B34" s="20">
        <v>0</v>
      </c>
      <c r="C34" s="20">
        <v>831361</v>
      </c>
      <c r="D34" s="20">
        <v>245076</v>
      </c>
      <c r="E34" s="20">
        <v>0</v>
      </c>
      <c r="F34" s="20">
        <v>385516</v>
      </c>
      <c r="G34" s="20">
        <f t="shared" si="0"/>
        <v>1461953</v>
      </c>
    </row>
    <row r="35" spans="1:8" ht="14.1" customHeight="1">
      <c r="A35" s="285" t="s">
        <v>133</v>
      </c>
      <c r="B35" s="286">
        <v>0</v>
      </c>
      <c r="C35" s="286">
        <v>9943861</v>
      </c>
      <c r="D35" s="286">
        <v>444817</v>
      </c>
      <c r="E35" s="286">
        <v>2236051</v>
      </c>
      <c r="F35" s="286">
        <v>357090</v>
      </c>
      <c r="G35" s="286">
        <f t="shared" si="0"/>
        <v>12981819</v>
      </c>
    </row>
    <row r="36" spans="1:8" ht="14.1" customHeight="1">
      <c r="A36" s="19" t="s">
        <v>134</v>
      </c>
      <c r="B36" s="20">
        <v>0</v>
      </c>
      <c r="C36" s="20">
        <v>1174676</v>
      </c>
      <c r="D36" s="20">
        <v>105653</v>
      </c>
      <c r="E36" s="20">
        <v>52216</v>
      </c>
      <c r="F36" s="20">
        <v>284827</v>
      </c>
      <c r="G36" s="20">
        <f t="shared" si="0"/>
        <v>1617372</v>
      </c>
    </row>
    <row r="37" spans="1:8" ht="14.1" customHeight="1">
      <c r="A37" s="285" t="s">
        <v>135</v>
      </c>
      <c r="B37" s="286">
        <v>179708</v>
      </c>
      <c r="C37" s="286">
        <v>2132000</v>
      </c>
      <c r="D37" s="286">
        <v>198877</v>
      </c>
      <c r="E37" s="286">
        <v>15373</v>
      </c>
      <c r="F37" s="286">
        <v>472285</v>
      </c>
      <c r="G37" s="286">
        <f t="shared" si="0"/>
        <v>2998243</v>
      </c>
    </row>
    <row r="38" spans="1:8" ht="14.1" customHeight="1">
      <c r="A38" s="19" t="s">
        <v>136</v>
      </c>
      <c r="B38" s="20">
        <v>309913</v>
      </c>
      <c r="C38" s="20">
        <v>21022186</v>
      </c>
      <c r="D38" s="20">
        <v>392367</v>
      </c>
      <c r="E38" s="20">
        <v>67224</v>
      </c>
      <c r="F38" s="20">
        <v>458494</v>
      </c>
      <c r="G38" s="20">
        <f t="shared" si="0"/>
        <v>22250184</v>
      </c>
    </row>
    <row r="39" spans="1:8" ht="14.1" customHeight="1">
      <c r="A39" s="285" t="s">
        <v>137</v>
      </c>
      <c r="B39" s="286">
        <v>0</v>
      </c>
      <c r="C39" s="286">
        <v>2950163</v>
      </c>
      <c r="D39" s="286">
        <v>80184</v>
      </c>
      <c r="E39" s="286">
        <v>48720</v>
      </c>
      <c r="F39" s="286">
        <v>359948</v>
      </c>
      <c r="G39" s="286">
        <f t="shared" si="0"/>
        <v>3439015</v>
      </c>
    </row>
    <row r="40" spans="1:8" ht="14.1" customHeight="1">
      <c r="A40" s="19" t="s">
        <v>138</v>
      </c>
      <c r="B40" s="20">
        <v>1145981</v>
      </c>
      <c r="C40" s="20">
        <v>3832588</v>
      </c>
      <c r="D40" s="20">
        <v>74282</v>
      </c>
      <c r="E40" s="20">
        <v>29419</v>
      </c>
      <c r="F40" s="20">
        <v>110092</v>
      </c>
      <c r="G40" s="20">
        <f t="shared" si="0"/>
        <v>5192362</v>
      </c>
    </row>
    <row r="41" spans="1:8" ht="14.1" customHeight="1">
      <c r="A41" s="285" t="s">
        <v>139</v>
      </c>
      <c r="B41" s="286">
        <v>216752</v>
      </c>
      <c r="C41" s="286">
        <v>1599733</v>
      </c>
      <c r="D41" s="286">
        <v>50798</v>
      </c>
      <c r="E41" s="286">
        <v>681670</v>
      </c>
      <c r="F41" s="286">
        <v>666959</v>
      </c>
      <c r="G41" s="286">
        <f t="shared" si="0"/>
        <v>3215912</v>
      </c>
    </row>
    <row r="42" spans="1:8" ht="14.1" customHeight="1">
      <c r="A42" s="19" t="s">
        <v>140</v>
      </c>
      <c r="B42" s="20">
        <v>0</v>
      </c>
      <c r="C42" s="20">
        <v>497474</v>
      </c>
      <c r="D42" s="20">
        <v>13446</v>
      </c>
      <c r="E42" s="20">
        <v>147513</v>
      </c>
      <c r="F42" s="20">
        <v>285235</v>
      </c>
      <c r="G42" s="20">
        <f t="shared" si="0"/>
        <v>943668</v>
      </c>
    </row>
    <row r="43" spans="1:8" ht="14.1" customHeight="1">
      <c r="A43" s="285" t="s">
        <v>141</v>
      </c>
      <c r="B43" s="286">
        <v>0</v>
      </c>
      <c r="C43" s="286">
        <v>3628642</v>
      </c>
      <c r="D43" s="286">
        <v>0</v>
      </c>
      <c r="E43" s="286">
        <v>0</v>
      </c>
      <c r="F43" s="286">
        <v>288008</v>
      </c>
      <c r="G43" s="286">
        <f t="shared" si="0"/>
        <v>3916650</v>
      </c>
    </row>
    <row r="44" spans="1:8" ht="14.1" customHeight="1">
      <c r="A44" s="19" t="s">
        <v>142</v>
      </c>
      <c r="B44" s="20">
        <v>0</v>
      </c>
      <c r="C44" s="20">
        <v>90058</v>
      </c>
      <c r="D44" s="20">
        <v>34023</v>
      </c>
      <c r="E44" s="20">
        <v>10958</v>
      </c>
      <c r="F44" s="20">
        <v>342710</v>
      </c>
      <c r="G44" s="20">
        <f t="shared" si="0"/>
        <v>477749</v>
      </c>
    </row>
    <row r="45" spans="1:8" ht="14.1" customHeight="1">
      <c r="A45" s="285" t="s">
        <v>143</v>
      </c>
      <c r="B45" s="286">
        <v>0</v>
      </c>
      <c r="C45" s="286">
        <v>784041</v>
      </c>
      <c r="D45" s="286">
        <v>23712</v>
      </c>
      <c r="E45" s="286">
        <v>0</v>
      </c>
      <c r="F45" s="286">
        <v>281740</v>
      </c>
      <c r="G45" s="286">
        <f t="shared" si="0"/>
        <v>1089493</v>
      </c>
    </row>
    <row r="46" spans="1:8" ht="14.1" customHeight="1">
      <c r="A46" s="19" t="s">
        <v>144</v>
      </c>
      <c r="B46" s="20">
        <v>1342789</v>
      </c>
      <c r="C46" s="20">
        <v>14678315</v>
      </c>
      <c r="D46" s="20">
        <v>899454</v>
      </c>
      <c r="E46" s="20">
        <v>3980937</v>
      </c>
      <c r="F46" s="20">
        <v>1035119</v>
      </c>
      <c r="G46" s="20">
        <f t="shared" si="0"/>
        <v>21936614</v>
      </c>
    </row>
    <row r="47" spans="1:8" ht="5.0999999999999996" customHeight="1">
      <c r="A47" s="21"/>
      <c r="B47" s="22"/>
      <c r="C47" s="22"/>
      <c r="D47" s="22"/>
      <c r="E47" s="22"/>
      <c r="F47" s="22"/>
      <c r="G47" s="22"/>
    </row>
    <row r="48" spans="1:8" ht="14.1" customHeight="1">
      <c r="A48" s="287" t="s">
        <v>145</v>
      </c>
      <c r="B48" s="288">
        <f t="shared" ref="B48:G48" si="1">SUM(B11:B46)</f>
        <v>4655906</v>
      </c>
      <c r="C48" s="288">
        <f t="shared" si="1"/>
        <v>146923553</v>
      </c>
      <c r="D48" s="288">
        <f t="shared" si="1"/>
        <v>6788923</v>
      </c>
      <c r="E48" s="288">
        <f t="shared" si="1"/>
        <v>12778799</v>
      </c>
      <c r="F48" s="288">
        <f t="shared" si="1"/>
        <v>13606926</v>
      </c>
      <c r="G48" s="288">
        <f t="shared" si="1"/>
        <v>184754107</v>
      </c>
      <c r="H48" s="512">
        <v>0</v>
      </c>
    </row>
    <row r="49" spans="1:7" ht="5.0999999999999996" customHeight="1">
      <c r="A49" s="21" t="s">
        <v>7</v>
      </c>
      <c r="B49" s="22"/>
      <c r="C49" s="22"/>
      <c r="D49" s="22"/>
      <c r="E49" s="22"/>
      <c r="F49" s="22"/>
      <c r="G49" s="22"/>
    </row>
    <row r="50" spans="1:7" ht="14.1" customHeight="1">
      <c r="A50" s="19" t="s">
        <v>146</v>
      </c>
      <c r="B50" s="20">
        <v>0</v>
      </c>
      <c r="C50" s="20">
        <v>0</v>
      </c>
      <c r="D50" s="20">
        <v>0</v>
      </c>
      <c r="E50" s="20">
        <v>0</v>
      </c>
      <c r="F50" s="20">
        <v>0</v>
      </c>
      <c r="G50" s="20">
        <f>SUM(B50:F50)</f>
        <v>0</v>
      </c>
    </row>
    <row r="51" spans="1:7" ht="14.1" customHeight="1">
      <c r="A51" s="285" t="s">
        <v>612</v>
      </c>
      <c r="B51" s="286">
        <v>0</v>
      </c>
      <c r="C51" s="286">
        <v>1754058</v>
      </c>
      <c r="D51" s="286">
        <v>56382</v>
      </c>
      <c r="E51" s="286">
        <v>141286</v>
      </c>
      <c r="F51" s="286">
        <v>0</v>
      </c>
      <c r="G51" s="286">
        <f>SUM(B51:F51)</f>
        <v>1951726</v>
      </c>
    </row>
    <row r="52" spans="1:7" ht="50.1" customHeight="1">
      <c r="A52" s="23"/>
      <c r="B52" s="23"/>
      <c r="C52" s="23"/>
      <c r="D52" s="23"/>
      <c r="E52" s="23"/>
      <c r="F52" s="23"/>
      <c r="G52" s="23"/>
    </row>
    <row r="53" spans="1:7" ht="15" customHeight="1">
      <c r="A53" s="415" t="s">
        <v>354</v>
      </c>
    </row>
    <row r="54" spans="1:7">
      <c r="A54" s="757" t="s">
        <v>648</v>
      </c>
      <c r="B54" s="757"/>
      <c r="C54" s="757"/>
      <c r="D54" s="757"/>
      <c r="E54" s="757"/>
      <c r="F54" s="757"/>
      <c r="G54" s="757"/>
    </row>
    <row r="55" spans="1:7">
      <c r="A55" s="757"/>
      <c r="B55" s="757"/>
      <c r="C55" s="757"/>
      <c r="D55" s="757"/>
      <c r="E55" s="757"/>
      <c r="F55" s="757"/>
      <c r="G55" s="757"/>
    </row>
    <row r="56" spans="1:7">
      <c r="A56" s="435" t="s">
        <v>420</v>
      </c>
    </row>
    <row r="57" spans="1:7">
      <c r="A57" s="505" t="s">
        <v>355</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sheetPr codeName="Sheet57">
    <pageSetUpPr fitToPage="1"/>
  </sheetPr>
  <dimension ref="A1:H55"/>
  <sheetViews>
    <sheetView showGridLines="0" showZeros="0" workbookViewId="0"/>
  </sheetViews>
  <sheetFormatPr defaultColWidth="19.83203125" defaultRowHeight="12"/>
  <cols>
    <col min="1" max="1" width="30.83203125" style="2" customWidth="1"/>
    <col min="2" max="3" width="16.83203125" style="2" customWidth="1"/>
    <col min="4" max="4" width="3.83203125" style="2" customWidth="1"/>
    <col min="5" max="5" width="18.83203125" style="2" customWidth="1"/>
    <col min="6" max="7" width="16.83203125" style="2" customWidth="1"/>
    <col min="8" max="8" width="14.33203125" style="2" customWidth="1"/>
    <col min="9" max="16384" width="19.83203125" style="2"/>
  </cols>
  <sheetData>
    <row r="1" spans="1:8" ht="6.95" customHeight="1">
      <c r="A1" s="7"/>
      <c r="B1" s="7"/>
      <c r="C1" s="7"/>
      <c r="D1" s="7"/>
    </row>
    <row r="2" spans="1:8" ht="15.95" customHeight="1">
      <c r="A2" s="764" t="str">
        <f>"SPECIAL PURPOSE FUND "&amp;VALUE('- 66 -'!F9+1)&amp;"/"&amp;VALUE('- 66 -'!F9+2)&amp;" ACTUAL"</f>
        <v>SPECIAL PURPOSE FUND 2015/2016 ACTUAL</v>
      </c>
      <c r="B2" s="764"/>
      <c r="C2" s="764"/>
      <c r="D2" s="764"/>
      <c r="E2" s="764"/>
      <c r="F2" s="451" t="s">
        <v>96</v>
      </c>
      <c r="G2" s="447"/>
      <c r="H2" s="447"/>
    </row>
    <row r="3" spans="1:8" ht="15.95" customHeight="1">
      <c r="A3" s="737" t="s">
        <v>392</v>
      </c>
      <c r="B3" s="737"/>
      <c r="C3" s="737"/>
      <c r="D3" s="737"/>
      <c r="E3" s="737"/>
      <c r="F3" s="737"/>
      <c r="G3" s="737"/>
      <c r="H3" s="737"/>
    </row>
    <row r="4" spans="1:8" ht="15.95" customHeight="1">
      <c r="E4" s="8"/>
      <c r="F4" s="8"/>
      <c r="G4" s="8"/>
    </row>
    <row r="5" spans="1:8" ht="15.95" customHeight="1">
      <c r="B5"/>
      <c r="C5"/>
      <c r="D5"/>
      <c r="E5"/>
      <c r="F5"/>
      <c r="G5"/>
      <c r="H5"/>
    </row>
    <row r="6" spans="1:8" ht="15.95" customHeight="1">
      <c r="B6" s="433"/>
      <c r="C6" s="433"/>
      <c r="D6"/>
      <c r="E6" s="750" t="s">
        <v>554</v>
      </c>
      <c r="F6" s="746" t="s">
        <v>268</v>
      </c>
      <c r="G6" s="747"/>
    </row>
    <row r="7" spans="1:8" ht="15.95" customHeight="1">
      <c r="B7" s="409"/>
      <c r="C7" s="409"/>
      <c r="D7"/>
      <c r="E7" s="751"/>
      <c r="F7" s="755" t="s">
        <v>375</v>
      </c>
      <c r="G7" s="409"/>
    </row>
    <row r="8" spans="1:8" ht="15.95" customHeight="1">
      <c r="A8" s="404"/>
      <c r="B8" s="765" t="s">
        <v>541</v>
      </c>
      <c r="C8" s="765" t="s">
        <v>545</v>
      </c>
      <c r="D8"/>
      <c r="E8" s="751"/>
      <c r="F8" s="755"/>
      <c r="G8" s="753" t="s">
        <v>553</v>
      </c>
    </row>
    <row r="9" spans="1:8" ht="15.95" customHeight="1">
      <c r="A9" s="405" t="s">
        <v>42</v>
      </c>
      <c r="B9" s="766"/>
      <c r="C9" s="766"/>
      <c r="D9"/>
      <c r="E9" s="752"/>
      <c r="F9" s="756"/>
      <c r="G9" s="754"/>
    </row>
    <row r="10" spans="1:8" ht="5.0999999999999996" customHeight="1">
      <c r="A10" s="6"/>
      <c r="B10" s="207"/>
      <c r="C10" s="207"/>
      <c r="D10"/>
      <c r="E10" s="7"/>
      <c r="F10" s="207"/>
    </row>
    <row r="11" spans="1:8" ht="14.1" customHeight="1">
      <c r="A11" s="285" t="s">
        <v>110</v>
      </c>
      <c r="B11" s="418">
        <v>392924</v>
      </c>
      <c r="C11" s="418">
        <v>406790</v>
      </c>
      <c r="D11"/>
      <c r="E11" s="552">
        <v>262411</v>
      </c>
      <c r="F11" s="418">
        <v>262411</v>
      </c>
      <c r="G11" s="418">
        <v>0</v>
      </c>
    </row>
    <row r="12" spans="1:8" ht="14.1" customHeight="1">
      <c r="A12" s="19" t="s">
        <v>111</v>
      </c>
      <c r="B12" s="419">
        <v>598471</v>
      </c>
      <c r="C12" s="419">
        <v>699344</v>
      </c>
      <c r="D12"/>
      <c r="E12" s="553">
        <v>394123</v>
      </c>
      <c r="F12" s="419">
        <v>394123</v>
      </c>
      <c r="G12" s="419">
        <v>0</v>
      </c>
    </row>
    <row r="13" spans="1:8" ht="14.1" customHeight="1">
      <c r="A13" s="285" t="s">
        <v>112</v>
      </c>
      <c r="B13" s="418">
        <v>2605379</v>
      </c>
      <c r="C13" s="418">
        <v>2834744</v>
      </c>
      <c r="D13"/>
      <c r="E13" s="552">
        <v>1983246</v>
      </c>
      <c r="F13" s="418">
        <v>909893</v>
      </c>
      <c r="G13" s="418">
        <v>1073353</v>
      </c>
    </row>
    <row r="14" spans="1:8" ht="14.1" customHeight="1">
      <c r="A14" s="19" t="s">
        <v>359</v>
      </c>
      <c r="B14" s="419">
        <v>1308706</v>
      </c>
      <c r="C14" s="419">
        <v>1350756</v>
      </c>
      <c r="D14"/>
      <c r="E14" s="553">
        <v>801463</v>
      </c>
      <c r="F14" s="419">
        <v>661120</v>
      </c>
      <c r="G14" s="419">
        <v>140343</v>
      </c>
    </row>
    <row r="15" spans="1:8" ht="14.1" customHeight="1">
      <c r="A15" s="285" t="s">
        <v>113</v>
      </c>
      <c r="B15" s="418">
        <v>425255</v>
      </c>
      <c r="C15" s="418">
        <v>410049</v>
      </c>
      <c r="D15"/>
      <c r="E15" s="552">
        <v>322403</v>
      </c>
      <c r="F15" s="418">
        <v>136040</v>
      </c>
      <c r="G15" s="418">
        <v>186363</v>
      </c>
    </row>
    <row r="16" spans="1:8" ht="14.1" customHeight="1">
      <c r="A16" s="19" t="s">
        <v>114</v>
      </c>
      <c r="B16" s="419">
        <v>231704</v>
      </c>
      <c r="C16" s="419">
        <v>277686</v>
      </c>
      <c r="D16"/>
      <c r="E16" s="553">
        <v>82313</v>
      </c>
      <c r="F16" s="419">
        <v>82313</v>
      </c>
      <c r="G16" s="419">
        <v>0</v>
      </c>
    </row>
    <row r="17" spans="1:7" ht="14.1" customHeight="1">
      <c r="A17" s="285" t="s">
        <v>115</v>
      </c>
      <c r="B17" s="418">
        <v>607492</v>
      </c>
      <c r="C17" s="418">
        <v>589298</v>
      </c>
      <c r="D17"/>
      <c r="E17" s="552">
        <v>356482</v>
      </c>
      <c r="F17" s="418">
        <v>264986</v>
      </c>
      <c r="G17" s="418">
        <v>91496</v>
      </c>
    </row>
    <row r="18" spans="1:7" ht="14.1" customHeight="1">
      <c r="A18" s="19" t="s">
        <v>116</v>
      </c>
      <c r="B18" s="419">
        <v>938753</v>
      </c>
      <c r="C18" s="419">
        <v>940133</v>
      </c>
      <c r="D18"/>
      <c r="E18" s="553">
        <v>117725</v>
      </c>
      <c r="F18" s="419">
        <v>117725</v>
      </c>
      <c r="G18" s="419">
        <v>0</v>
      </c>
    </row>
    <row r="19" spans="1:7" ht="14.1" customHeight="1">
      <c r="A19" s="285" t="s">
        <v>117</v>
      </c>
      <c r="B19" s="418">
        <v>102180</v>
      </c>
      <c r="C19" s="418">
        <v>105821</v>
      </c>
      <c r="D19"/>
      <c r="E19" s="552">
        <v>84757</v>
      </c>
      <c r="F19" s="418">
        <v>84757</v>
      </c>
      <c r="G19" s="418">
        <v>0</v>
      </c>
    </row>
    <row r="20" spans="1:7" ht="14.1" customHeight="1">
      <c r="A20" s="19" t="s">
        <v>118</v>
      </c>
      <c r="B20" s="419">
        <v>1878652</v>
      </c>
      <c r="C20" s="419">
        <v>1876216</v>
      </c>
      <c r="D20"/>
      <c r="E20" s="553">
        <v>447026</v>
      </c>
      <c r="F20" s="419">
        <v>447026</v>
      </c>
      <c r="G20" s="419">
        <v>0</v>
      </c>
    </row>
    <row r="21" spans="1:7" ht="14.1" customHeight="1">
      <c r="A21" s="285" t="s">
        <v>119</v>
      </c>
      <c r="B21" s="418">
        <v>362984</v>
      </c>
      <c r="C21" s="418">
        <v>369929</v>
      </c>
      <c r="D21"/>
      <c r="E21" s="552">
        <v>127307</v>
      </c>
      <c r="F21" s="418">
        <v>127307</v>
      </c>
      <c r="G21" s="418">
        <v>0</v>
      </c>
    </row>
    <row r="22" spans="1:7" ht="14.1" customHeight="1">
      <c r="A22" s="19" t="s">
        <v>120</v>
      </c>
      <c r="B22" s="419">
        <v>360944</v>
      </c>
      <c r="C22" s="419">
        <v>400280</v>
      </c>
      <c r="D22"/>
      <c r="E22" s="553">
        <v>268569</v>
      </c>
      <c r="F22" s="419">
        <v>268569</v>
      </c>
      <c r="G22" s="419">
        <v>0</v>
      </c>
    </row>
    <row r="23" spans="1:7" ht="14.1" customHeight="1">
      <c r="A23" s="285" t="s">
        <v>121</v>
      </c>
      <c r="B23" s="418">
        <v>415010</v>
      </c>
      <c r="C23" s="418">
        <v>395714</v>
      </c>
      <c r="D23"/>
      <c r="E23" s="552">
        <v>158497</v>
      </c>
      <c r="F23" s="418">
        <v>138836</v>
      </c>
      <c r="G23" s="418">
        <v>19661</v>
      </c>
    </row>
    <row r="24" spans="1:7" ht="14.1" customHeight="1">
      <c r="A24" s="19" t="s">
        <v>122</v>
      </c>
      <c r="B24" s="419">
        <v>1123251</v>
      </c>
      <c r="C24" s="419">
        <v>1164434</v>
      </c>
      <c r="D24"/>
      <c r="E24" s="553">
        <v>363179</v>
      </c>
      <c r="F24" s="419">
        <v>363179</v>
      </c>
      <c r="G24" s="419">
        <v>0</v>
      </c>
    </row>
    <row r="25" spans="1:7" ht="14.1" customHeight="1">
      <c r="A25" s="285" t="s">
        <v>123</v>
      </c>
      <c r="B25" s="418">
        <v>2175207</v>
      </c>
      <c r="C25" s="418">
        <v>2300857</v>
      </c>
      <c r="D25"/>
      <c r="E25" s="552">
        <v>862901</v>
      </c>
      <c r="F25" s="418">
        <v>862901</v>
      </c>
      <c r="G25" s="418">
        <v>0</v>
      </c>
    </row>
    <row r="26" spans="1:7" ht="14.1" customHeight="1">
      <c r="A26" s="19" t="s">
        <v>124</v>
      </c>
      <c r="B26" s="419">
        <v>675503</v>
      </c>
      <c r="C26" s="419">
        <v>663063</v>
      </c>
      <c r="D26"/>
      <c r="E26" s="553">
        <v>425598</v>
      </c>
      <c r="F26" s="419">
        <v>425598</v>
      </c>
      <c r="G26" s="419">
        <v>0</v>
      </c>
    </row>
    <row r="27" spans="1:7" ht="14.1" customHeight="1">
      <c r="A27" s="285" t="s">
        <v>125</v>
      </c>
      <c r="B27" s="418">
        <v>287727</v>
      </c>
      <c r="C27" s="418">
        <v>294853</v>
      </c>
      <c r="D27"/>
      <c r="E27" s="552">
        <v>119236</v>
      </c>
      <c r="F27" s="418">
        <v>119236</v>
      </c>
      <c r="G27" s="418">
        <v>0</v>
      </c>
    </row>
    <row r="28" spans="1:7" ht="14.1" customHeight="1">
      <c r="A28" s="19" t="s">
        <v>126</v>
      </c>
      <c r="B28" s="419">
        <v>997696</v>
      </c>
      <c r="C28" s="419">
        <v>1059394</v>
      </c>
      <c r="D28"/>
      <c r="E28" s="553">
        <v>317540</v>
      </c>
      <c r="F28" s="419">
        <v>317540</v>
      </c>
      <c r="G28" s="419">
        <v>0</v>
      </c>
    </row>
    <row r="29" spans="1:7" ht="14.1" customHeight="1">
      <c r="A29" s="285" t="s">
        <v>127</v>
      </c>
      <c r="B29" s="418">
        <v>1127978</v>
      </c>
      <c r="C29" s="418">
        <v>1064298</v>
      </c>
      <c r="D29"/>
      <c r="E29" s="552">
        <v>537343</v>
      </c>
      <c r="F29" s="418">
        <v>537343</v>
      </c>
      <c r="G29" s="418">
        <v>0</v>
      </c>
    </row>
    <row r="30" spans="1:7" ht="14.1" customHeight="1">
      <c r="A30" s="19" t="s">
        <v>128</v>
      </c>
      <c r="B30" s="419">
        <v>265861</v>
      </c>
      <c r="C30" s="419">
        <v>268015</v>
      </c>
      <c r="D30"/>
      <c r="E30" s="553">
        <v>47907</v>
      </c>
      <c r="F30" s="419">
        <v>47907</v>
      </c>
      <c r="G30" s="419">
        <v>0</v>
      </c>
    </row>
    <row r="31" spans="1:7" ht="14.1" customHeight="1">
      <c r="A31" s="285" t="s">
        <v>129</v>
      </c>
      <c r="B31" s="418">
        <v>1378916</v>
      </c>
      <c r="C31" s="418">
        <v>1354025</v>
      </c>
      <c r="D31"/>
      <c r="E31" s="552">
        <v>264648</v>
      </c>
      <c r="F31" s="418">
        <v>264648</v>
      </c>
      <c r="G31" s="418">
        <v>0</v>
      </c>
    </row>
    <row r="32" spans="1:7" ht="14.1" customHeight="1">
      <c r="A32" s="19" t="s">
        <v>130</v>
      </c>
      <c r="B32" s="419">
        <v>732029</v>
      </c>
      <c r="C32" s="419">
        <v>659503</v>
      </c>
      <c r="D32"/>
      <c r="E32" s="553">
        <v>188748</v>
      </c>
      <c r="F32" s="419">
        <v>137023</v>
      </c>
      <c r="G32" s="419">
        <v>51725</v>
      </c>
    </row>
    <row r="33" spans="1:7" ht="14.1" customHeight="1">
      <c r="A33" s="285" t="s">
        <v>131</v>
      </c>
      <c r="B33" s="418">
        <v>561314</v>
      </c>
      <c r="C33" s="418">
        <v>577074</v>
      </c>
      <c r="D33"/>
      <c r="E33" s="552">
        <v>189249</v>
      </c>
      <c r="F33" s="418">
        <v>189249</v>
      </c>
      <c r="G33" s="418">
        <v>0</v>
      </c>
    </row>
    <row r="34" spans="1:7" ht="14.1" customHeight="1">
      <c r="A34" s="19" t="s">
        <v>132</v>
      </c>
      <c r="B34" s="419">
        <v>493631</v>
      </c>
      <c r="C34" s="419">
        <v>495464</v>
      </c>
      <c r="D34"/>
      <c r="E34" s="553">
        <v>164849</v>
      </c>
      <c r="F34" s="419">
        <v>164849</v>
      </c>
      <c r="G34" s="419">
        <v>0</v>
      </c>
    </row>
    <row r="35" spans="1:7" ht="14.1" customHeight="1">
      <c r="A35" s="285" t="s">
        <v>133</v>
      </c>
      <c r="B35" s="418">
        <v>804518</v>
      </c>
      <c r="C35" s="418">
        <v>762548</v>
      </c>
      <c r="D35"/>
      <c r="E35" s="552">
        <v>290498</v>
      </c>
      <c r="F35" s="418">
        <v>290498</v>
      </c>
      <c r="G35" s="418">
        <v>0</v>
      </c>
    </row>
    <row r="36" spans="1:7" ht="14.1" customHeight="1">
      <c r="A36" s="19" t="s">
        <v>134</v>
      </c>
      <c r="B36" s="419">
        <v>564106</v>
      </c>
      <c r="C36" s="419">
        <v>563246</v>
      </c>
      <c r="D36"/>
      <c r="E36" s="553">
        <v>193360</v>
      </c>
      <c r="F36" s="419">
        <v>193360</v>
      </c>
      <c r="G36" s="419">
        <v>0</v>
      </c>
    </row>
    <row r="37" spans="1:7" ht="14.1" customHeight="1">
      <c r="A37" s="285" t="s">
        <v>135</v>
      </c>
      <c r="B37" s="418">
        <v>785437</v>
      </c>
      <c r="C37" s="418">
        <v>733127</v>
      </c>
      <c r="D37"/>
      <c r="E37" s="552">
        <v>277062</v>
      </c>
      <c r="F37" s="418">
        <v>277062</v>
      </c>
      <c r="G37" s="418">
        <v>0</v>
      </c>
    </row>
    <row r="38" spans="1:7" ht="14.1" customHeight="1">
      <c r="A38" s="19" t="s">
        <v>136</v>
      </c>
      <c r="B38" s="419">
        <v>40459</v>
      </c>
      <c r="C38" s="419">
        <v>29077</v>
      </c>
      <c r="D38"/>
      <c r="E38" s="553">
        <v>198138</v>
      </c>
      <c r="F38" s="419">
        <v>198138</v>
      </c>
      <c r="G38" s="419">
        <v>0</v>
      </c>
    </row>
    <row r="39" spans="1:7" ht="14.1" customHeight="1">
      <c r="A39" s="285" t="s">
        <v>137</v>
      </c>
      <c r="B39" s="418">
        <v>512608</v>
      </c>
      <c r="C39" s="418">
        <v>513766</v>
      </c>
      <c r="D39"/>
      <c r="E39" s="552">
        <v>220345</v>
      </c>
      <c r="F39" s="418">
        <v>220345</v>
      </c>
      <c r="G39" s="418">
        <v>0</v>
      </c>
    </row>
    <row r="40" spans="1:7" ht="14.1" customHeight="1">
      <c r="A40" s="19" t="s">
        <v>138</v>
      </c>
      <c r="B40" s="419">
        <v>802901</v>
      </c>
      <c r="C40" s="419">
        <v>737122</v>
      </c>
      <c r="D40"/>
      <c r="E40" s="553">
        <v>322576</v>
      </c>
      <c r="F40" s="419">
        <v>322576</v>
      </c>
      <c r="G40" s="419">
        <v>0</v>
      </c>
    </row>
    <row r="41" spans="1:7" ht="14.1" customHeight="1">
      <c r="A41" s="285" t="s">
        <v>139</v>
      </c>
      <c r="B41" s="418">
        <v>858366</v>
      </c>
      <c r="C41" s="418">
        <v>972398</v>
      </c>
      <c r="D41"/>
      <c r="E41" s="552">
        <v>517507</v>
      </c>
      <c r="F41" s="418">
        <v>476965</v>
      </c>
      <c r="G41" s="418">
        <v>40542</v>
      </c>
    </row>
    <row r="42" spans="1:7" ht="14.1" customHeight="1">
      <c r="A42" s="19" t="s">
        <v>140</v>
      </c>
      <c r="B42" s="419">
        <v>512246</v>
      </c>
      <c r="C42" s="419">
        <v>506624</v>
      </c>
      <c r="D42"/>
      <c r="E42" s="553">
        <v>125489</v>
      </c>
      <c r="F42" s="419">
        <v>125489</v>
      </c>
      <c r="G42" s="419">
        <v>0</v>
      </c>
    </row>
    <row r="43" spans="1:7" ht="14.1" customHeight="1">
      <c r="A43" s="285" t="s">
        <v>141</v>
      </c>
      <c r="B43" s="418">
        <v>230562</v>
      </c>
      <c r="C43" s="418">
        <v>206043</v>
      </c>
      <c r="D43"/>
      <c r="E43" s="552">
        <v>62553</v>
      </c>
      <c r="F43" s="418">
        <v>62553</v>
      </c>
      <c r="G43" s="418">
        <v>0</v>
      </c>
    </row>
    <row r="44" spans="1:7" ht="14.1" customHeight="1">
      <c r="A44" s="19" t="s">
        <v>142</v>
      </c>
      <c r="B44" s="419">
        <v>283673</v>
      </c>
      <c r="C44" s="419">
        <v>304074</v>
      </c>
      <c r="D44"/>
      <c r="E44" s="553">
        <v>110172</v>
      </c>
      <c r="F44" s="419">
        <v>110172</v>
      </c>
      <c r="G44" s="419">
        <v>0</v>
      </c>
    </row>
    <row r="45" spans="1:7" ht="14.1" customHeight="1">
      <c r="A45" s="285" t="s">
        <v>143</v>
      </c>
      <c r="B45" s="418">
        <v>268742</v>
      </c>
      <c r="C45" s="418">
        <v>332480</v>
      </c>
      <c r="D45"/>
      <c r="E45" s="552">
        <v>83158</v>
      </c>
      <c r="F45" s="418">
        <v>83158</v>
      </c>
      <c r="G45" s="418">
        <v>0</v>
      </c>
    </row>
    <row r="46" spans="1:7" ht="14.1" customHeight="1">
      <c r="A46" s="19" t="s">
        <v>144</v>
      </c>
      <c r="B46" s="419">
        <v>990259</v>
      </c>
      <c r="C46" s="419">
        <v>1027910</v>
      </c>
      <c r="D46"/>
      <c r="E46" s="553">
        <v>3710514</v>
      </c>
      <c r="F46" s="419">
        <v>-7428</v>
      </c>
      <c r="G46" s="419">
        <v>3717942</v>
      </c>
    </row>
    <row r="47" spans="1:7" ht="5.0999999999999996" customHeight="1">
      <c r="A47" s="21"/>
      <c r="B47" s="22"/>
      <c r="C47" s="22"/>
      <c r="D47"/>
      <c r="E47" s="22"/>
      <c r="F47" s="22"/>
      <c r="G47" s="22"/>
    </row>
    <row r="48" spans="1:7" ht="14.1" customHeight="1">
      <c r="A48" s="287" t="s">
        <v>145</v>
      </c>
      <c r="B48" s="422">
        <f>SUM(B11:B46)</f>
        <v>26701444</v>
      </c>
      <c r="C48" s="422">
        <f>SUM(C11:C46)</f>
        <v>27246155</v>
      </c>
      <c r="D48"/>
      <c r="E48" s="422">
        <f>SUM(E11:E46)</f>
        <v>14998892</v>
      </c>
      <c r="F48" s="422">
        <f>SUM(F11:F46)</f>
        <v>9677467</v>
      </c>
      <c r="G48" s="422">
        <f>SUM(G11:G46)</f>
        <v>5321425</v>
      </c>
    </row>
    <row r="49" spans="1:8" ht="5.0999999999999996" customHeight="1">
      <c r="A49" s="21" t="s">
        <v>7</v>
      </c>
      <c r="B49" s="22"/>
      <c r="C49" s="22"/>
      <c r="D49"/>
      <c r="E49" s="22"/>
      <c r="F49" s="22"/>
      <c r="G49" s="22"/>
    </row>
    <row r="50" spans="1:8" ht="14.1" customHeight="1">
      <c r="A50" s="19" t="s">
        <v>146</v>
      </c>
      <c r="B50" s="419">
        <v>63586</v>
      </c>
      <c r="C50" s="419">
        <v>65675</v>
      </c>
      <c r="D50"/>
      <c r="E50" s="553">
        <v>13677</v>
      </c>
      <c r="F50" s="419">
        <v>13677</v>
      </c>
      <c r="G50" s="419">
        <v>0</v>
      </c>
    </row>
    <row r="51" spans="1:8" ht="14.1" customHeight="1">
      <c r="A51" s="285" t="s">
        <v>612</v>
      </c>
      <c r="B51" s="418">
        <v>39251</v>
      </c>
      <c r="C51" s="418">
        <v>75427</v>
      </c>
      <c r="D51"/>
      <c r="E51" s="552">
        <v>91183</v>
      </c>
      <c r="F51" s="418">
        <v>0</v>
      </c>
      <c r="G51" s="418">
        <v>91183</v>
      </c>
    </row>
    <row r="52" spans="1:8" ht="50.1" customHeight="1">
      <c r="A52" s="23"/>
      <c r="B52" s="23"/>
      <c r="C52" s="23"/>
      <c r="D52" s="506"/>
      <c r="E52" s="23"/>
      <c r="F52" s="506"/>
      <c r="G52" s="23"/>
      <c r="H52" s="23"/>
    </row>
    <row r="53" spans="1:8" ht="15" customHeight="1">
      <c r="A53" s="748" t="s">
        <v>555</v>
      </c>
      <c r="B53" s="748"/>
      <c r="C53" s="748"/>
      <c r="D53" s="748"/>
      <c r="E53" s="748"/>
      <c r="F53" s="748"/>
      <c r="G53" s="748"/>
      <c r="H53" s="748"/>
    </row>
    <row r="54" spans="1:8">
      <c r="A54" s="749"/>
      <c r="B54" s="749"/>
      <c r="C54" s="749"/>
      <c r="D54" s="749"/>
      <c r="E54" s="749"/>
      <c r="F54" s="749"/>
      <c r="G54" s="749"/>
      <c r="H54" s="749"/>
    </row>
    <row r="55" spans="1:8">
      <c r="A55" s="749"/>
      <c r="B55" s="749"/>
      <c r="C55" s="749"/>
      <c r="D55" s="749"/>
      <c r="E55" s="749"/>
      <c r="F55" s="749"/>
      <c r="G55" s="749"/>
      <c r="H55" s="749"/>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sheetPr codeName="Sheet58">
    <pageSetUpPr fitToPage="1"/>
  </sheetPr>
  <dimension ref="A1:E56"/>
  <sheetViews>
    <sheetView showGridLines="0" showZeros="0" workbookViewId="0"/>
  </sheetViews>
  <sheetFormatPr defaultColWidth="19.83203125" defaultRowHeight="12"/>
  <cols>
    <col min="1" max="1" width="31.33203125" style="2" customWidth="1"/>
    <col min="2" max="2" width="22.1640625" style="2" customWidth="1"/>
    <col min="3" max="3" width="32.1640625" style="2" customWidth="1"/>
    <col min="4" max="4" width="24.6640625" style="2" customWidth="1"/>
    <col min="5" max="5" width="22.83203125" style="2" customWidth="1"/>
    <col min="6" max="16384" width="19.83203125" style="2"/>
  </cols>
  <sheetData>
    <row r="1" spans="1:5" ht="6.95" customHeight="1">
      <c r="A1" s="7"/>
      <c r="B1" s="7"/>
    </row>
    <row r="2" spans="1:5" ht="15.95" customHeight="1">
      <c r="A2" s="742" t="str">
        <f>+'- 49 -'!A2:E2</f>
        <v>SPECIAL PURPOSE FUND 2015/2016 ACTUAL</v>
      </c>
      <c r="B2" s="742"/>
      <c r="C2" s="742"/>
      <c r="D2" s="742"/>
      <c r="E2" s="742"/>
    </row>
    <row r="3" spans="1:5" ht="15.95" customHeight="1">
      <c r="A3" s="743" t="s">
        <v>375</v>
      </c>
      <c r="B3" s="743"/>
      <c r="C3" s="743"/>
      <c r="D3" s="743"/>
      <c r="E3" s="743"/>
    </row>
    <row r="4" spans="1:5" ht="15.95" customHeight="1">
      <c r="B4" s="8"/>
      <c r="C4" s="8"/>
      <c r="D4" s="8"/>
      <c r="E4" s="184"/>
    </row>
    <row r="5" spans="1:5" ht="15.95" customHeight="1">
      <c r="B5"/>
      <c r="C5"/>
      <c r="D5"/>
      <c r="E5"/>
    </row>
    <row r="6" spans="1:5" ht="15.95" customHeight="1">
      <c r="B6"/>
      <c r="C6"/>
      <c r="D6"/>
    </row>
    <row r="7" spans="1:5" ht="15.95" customHeight="1">
      <c r="B7" s="510"/>
      <c r="C7" s="746" t="s">
        <v>268</v>
      </c>
      <c r="D7" s="747"/>
    </row>
    <row r="8" spans="1:5" ht="18.75" customHeight="1">
      <c r="A8" s="404"/>
      <c r="B8" s="767" t="s">
        <v>556</v>
      </c>
      <c r="C8" s="769" t="s">
        <v>557</v>
      </c>
      <c r="D8" s="771" t="s">
        <v>613</v>
      </c>
    </row>
    <row r="9" spans="1:5" ht="23.25" customHeight="1">
      <c r="A9" s="405" t="s">
        <v>42</v>
      </c>
      <c r="B9" s="768"/>
      <c r="C9" s="770"/>
      <c r="D9" s="772"/>
    </row>
    <row r="10" spans="1:5" ht="5.0999999999999996" customHeight="1">
      <c r="A10" s="6"/>
      <c r="C10" s="7"/>
      <c r="D10" s="207"/>
    </row>
    <row r="11" spans="1:5" ht="14.1" customHeight="1">
      <c r="A11" s="285" t="s">
        <v>110</v>
      </c>
      <c r="B11" s="420">
        <f t="shared" ref="B11:B46" si="0">C11+D11</f>
        <v>298371</v>
      </c>
      <c r="C11" s="418">
        <f>+'- 49 -'!F11</f>
        <v>262411</v>
      </c>
      <c r="D11" s="418">
        <v>35960</v>
      </c>
    </row>
    <row r="12" spans="1:5" ht="14.1" customHeight="1">
      <c r="A12" s="19" t="s">
        <v>111</v>
      </c>
      <c r="B12" s="421">
        <f t="shared" si="0"/>
        <v>394123</v>
      </c>
      <c r="C12" s="419">
        <f>+'- 49 -'!F12</f>
        <v>394123</v>
      </c>
      <c r="D12" s="419">
        <v>0</v>
      </c>
    </row>
    <row r="13" spans="1:5" ht="14.1" customHeight="1">
      <c r="A13" s="285" t="s">
        <v>112</v>
      </c>
      <c r="B13" s="420">
        <f t="shared" si="0"/>
        <v>1100678</v>
      </c>
      <c r="C13" s="418">
        <f>+'- 49 -'!F13</f>
        <v>909893</v>
      </c>
      <c r="D13" s="418">
        <v>190785</v>
      </c>
    </row>
    <row r="14" spans="1:5" ht="14.1" customHeight="1">
      <c r="A14" s="19" t="s">
        <v>147</v>
      </c>
      <c r="B14" s="421">
        <f t="shared" si="0"/>
        <v>903515</v>
      </c>
      <c r="C14" s="419">
        <f>+'- 49 -'!F14</f>
        <v>661120</v>
      </c>
      <c r="D14" s="419">
        <v>242395</v>
      </c>
    </row>
    <row r="15" spans="1:5" ht="14.1" customHeight="1">
      <c r="A15" s="285" t="s">
        <v>113</v>
      </c>
      <c r="B15" s="420">
        <f t="shared" si="0"/>
        <v>174841</v>
      </c>
      <c r="C15" s="418">
        <f>+'- 49 -'!F15</f>
        <v>136040</v>
      </c>
      <c r="D15" s="418">
        <v>38801</v>
      </c>
    </row>
    <row r="16" spans="1:5" ht="14.1" customHeight="1">
      <c r="A16" s="19" t="s">
        <v>114</v>
      </c>
      <c r="B16" s="421">
        <f t="shared" si="0"/>
        <v>222631</v>
      </c>
      <c r="C16" s="419">
        <f>+'- 49 -'!F16</f>
        <v>82313</v>
      </c>
      <c r="D16" s="419">
        <v>140318</v>
      </c>
    </row>
    <row r="17" spans="1:4" ht="14.1" customHeight="1">
      <c r="A17" s="285" t="s">
        <v>115</v>
      </c>
      <c r="B17" s="420">
        <f t="shared" si="0"/>
        <v>282669</v>
      </c>
      <c r="C17" s="418">
        <f>+'- 49 -'!F17</f>
        <v>264986</v>
      </c>
      <c r="D17" s="418">
        <v>17683</v>
      </c>
    </row>
    <row r="18" spans="1:4" ht="14.1" customHeight="1">
      <c r="A18" s="19" t="s">
        <v>116</v>
      </c>
      <c r="B18" s="421">
        <f t="shared" si="0"/>
        <v>455350</v>
      </c>
      <c r="C18" s="419">
        <f>+'- 49 -'!F18</f>
        <v>117725</v>
      </c>
      <c r="D18" s="419">
        <v>337625</v>
      </c>
    </row>
    <row r="19" spans="1:4" ht="14.1" customHeight="1">
      <c r="A19" s="285" t="s">
        <v>117</v>
      </c>
      <c r="B19" s="420">
        <f t="shared" si="0"/>
        <v>84757</v>
      </c>
      <c r="C19" s="418">
        <f>+'- 49 -'!F19</f>
        <v>84757</v>
      </c>
      <c r="D19" s="418">
        <v>0</v>
      </c>
    </row>
    <row r="20" spans="1:4" ht="14.1" customHeight="1">
      <c r="A20" s="19" t="s">
        <v>118</v>
      </c>
      <c r="B20" s="421">
        <f t="shared" si="0"/>
        <v>593429</v>
      </c>
      <c r="C20" s="419">
        <f>+'- 49 -'!F20</f>
        <v>447026</v>
      </c>
      <c r="D20" s="419">
        <v>146403</v>
      </c>
    </row>
    <row r="21" spans="1:4" ht="14.1" customHeight="1">
      <c r="A21" s="285" t="s">
        <v>119</v>
      </c>
      <c r="B21" s="420">
        <f t="shared" si="0"/>
        <v>205038</v>
      </c>
      <c r="C21" s="418">
        <f>+'- 49 -'!F21</f>
        <v>127307</v>
      </c>
      <c r="D21" s="418">
        <v>77731</v>
      </c>
    </row>
    <row r="22" spans="1:4" ht="14.1" customHeight="1">
      <c r="A22" s="19" t="s">
        <v>120</v>
      </c>
      <c r="B22" s="421">
        <f t="shared" si="0"/>
        <v>319476</v>
      </c>
      <c r="C22" s="419">
        <f>+'- 49 -'!F22</f>
        <v>268569</v>
      </c>
      <c r="D22" s="419">
        <v>50907</v>
      </c>
    </row>
    <row r="23" spans="1:4" ht="14.1" customHeight="1">
      <c r="A23" s="285" t="s">
        <v>121</v>
      </c>
      <c r="B23" s="420">
        <f t="shared" si="0"/>
        <v>138836</v>
      </c>
      <c r="C23" s="418">
        <f>+'- 49 -'!F23</f>
        <v>138836</v>
      </c>
      <c r="D23" s="418">
        <v>0</v>
      </c>
    </row>
    <row r="24" spans="1:4" ht="14.1" customHeight="1">
      <c r="A24" s="19" t="s">
        <v>122</v>
      </c>
      <c r="B24" s="421">
        <f t="shared" si="0"/>
        <v>420046</v>
      </c>
      <c r="C24" s="419">
        <f>+'- 49 -'!F24</f>
        <v>363179</v>
      </c>
      <c r="D24" s="419">
        <v>56867</v>
      </c>
    </row>
    <row r="25" spans="1:4" ht="14.1" customHeight="1">
      <c r="A25" s="285" t="s">
        <v>123</v>
      </c>
      <c r="B25" s="420">
        <f t="shared" si="0"/>
        <v>1363123</v>
      </c>
      <c r="C25" s="418">
        <f>+'- 49 -'!F25</f>
        <v>862901</v>
      </c>
      <c r="D25" s="418">
        <v>500222</v>
      </c>
    </row>
    <row r="26" spans="1:4" ht="14.1" customHeight="1">
      <c r="A26" s="19" t="s">
        <v>124</v>
      </c>
      <c r="B26" s="421">
        <f t="shared" si="0"/>
        <v>445599</v>
      </c>
      <c r="C26" s="419">
        <f>+'- 49 -'!F26</f>
        <v>425598</v>
      </c>
      <c r="D26" s="419">
        <v>20001</v>
      </c>
    </row>
    <row r="27" spans="1:4" ht="14.1" customHeight="1">
      <c r="A27" s="285" t="s">
        <v>125</v>
      </c>
      <c r="B27" s="420">
        <f t="shared" si="0"/>
        <v>360212</v>
      </c>
      <c r="C27" s="418">
        <f>+'- 49 -'!F27</f>
        <v>119236</v>
      </c>
      <c r="D27" s="418">
        <v>240976</v>
      </c>
    </row>
    <row r="28" spans="1:4" ht="14.1" customHeight="1">
      <c r="A28" s="19" t="s">
        <v>126</v>
      </c>
      <c r="B28" s="421">
        <f t="shared" si="0"/>
        <v>317540</v>
      </c>
      <c r="C28" s="419">
        <f>+'- 49 -'!F28</f>
        <v>317540</v>
      </c>
      <c r="D28" s="419">
        <v>0</v>
      </c>
    </row>
    <row r="29" spans="1:4" ht="14.1" customHeight="1">
      <c r="A29" s="285" t="s">
        <v>127</v>
      </c>
      <c r="B29" s="420">
        <f t="shared" si="0"/>
        <v>1578827</v>
      </c>
      <c r="C29" s="418">
        <f>+'- 49 -'!F29</f>
        <v>537343</v>
      </c>
      <c r="D29" s="418">
        <v>1041484</v>
      </c>
    </row>
    <row r="30" spans="1:4" ht="14.1" customHeight="1">
      <c r="A30" s="19" t="s">
        <v>128</v>
      </c>
      <c r="B30" s="421">
        <f t="shared" si="0"/>
        <v>47907</v>
      </c>
      <c r="C30" s="419">
        <f>+'- 49 -'!F30</f>
        <v>47907</v>
      </c>
      <c r="D30" s="419">
        <v>0</v>
      </c>
    </row>
    <row r="31" spans="1:4" ht="14.1" customHeight="1">
      <c r="A31" s="285" t="s">
        <v>129</v>
      </c>
      <c r="B31" s="420">
        <f t="shared" si="0"/>
        <v>463831</v>
      </c>
      <c r="C31" s="418">
        <f>+'- 49 -'!F31</f>
        <v>264648</v>
      </c>
      <c r="D31" s="418">
        <v>199183</v>
      </c>
    </row>
    <row r="32" spans="1:4" ht="14.1" customHeight="1">
      <c r="A32" s="19" t="s">
        <v>130</v>
      </c>
      <c r="B32" s="421">
        <f t="shared" si="0"/>
        <v>165696</v>
      </c>
      <c r="C32" s="419">
        <f>+'- 49 -'!F32</f>
        <v>137023</v>
      </c>
      <c r="D32" s="419">
        <v>28673</v>
      </c>
    </row>
    <row r="33" spans="1:4" ht="14.1" customHeight="1">
      <c r="A33" s="285" t="s">
        <v>131</v>
      </c>
      <c r="B33" s="420">
        <f t="shared" si="0"/>
        <v>242061</v>
      </c>
      <c r="C33" s="418">
        <f>+'- 49 -'!F33</f>
        <v>189249</v>
      </c>
      <c r="D33" s="418">
        <v>52812</v>
      </c>
    </row>
    <row r="34" spans="1:4" ht="14.1" customHeight="1">
      <c r="A34" s="19" t="s">
        <v>132</v>
      </c>
      <c r="B34" s="421">
        <f t="shared" si="0"/>
        <v>194225</v>
      </c>
      <c r="C34" s="419">
        <f>+'- 49 -'!F34</f>
        <v>164849</v>
      </c>
      <c r="D34" s="419">
        <v>29376</v>
      </c>
    </row>
    <row r="35" spans="1:4" ht="14.1" customHeight="1">
      <c r="A35" s="285" t="s">
        <v>133</v>
      </c>
      <c r="B35" s="420">
        <f t="shared" si="0"/>
        <v>1819973</v>
      </c>
      <c r="C35" s="418">
        <f>+'- 49 -'!F35</f>
        <v>290498</v>
      </c>
      <c r="D35" s="418">
        <v>1529475</v>
      </c>
    </row>
    <row r="36" spans="1:4" ht="14.1" customHeight="1">
      <c r="A36" s="19" t="s">
        <v>134</v>
      </c>
      <c r="B36" s="421">
        <f t="shared" si="0"/>
        <v>193360</v>
      </c>
      <c r="C36" s="419">
        <f>+'- 49 -'!F36</f>
        <v>193360</v>
      </c>
      <c r="D36" s="419">
        <v>0</v>
      </c>
    </row>
    <row r="37" spans="1:4" ht="14.1" customHeight="1">
      <c r="A37" s="285" t="s">
        <v>135</v>
      </c>
      <c r="B37" s="420">
        <f t="shared" si="0"/>
        <v>319342</v>
      </c>
      <c r="C37" s="418">
        <f>+'- 49 -'!F37</f>
        <v>277062</v>
      </c>
      <c r="D37" s="418">
        <v>42280</v>
      </c>
    </row>
    <row r="38" spans="1:4" ht="14.1" customHeight="1">
      <c r="A38" s="19" t="s">
        <v>136</v>
      </c>
      <c r="B38" s="421">
        <f t="shared" si="0"/>
        <v>551762</v>
      </c>
      <c r="C38" s="419">
        <f>+'- 49 -'!F38</f>
        <v>198138</v>
      </c>
      <c r="D38" s="419">
        <v>353624</v>
      </c>
    </row>
    <row r="39" spans="1:4" ht="14.1" customHeight="1">
      <c r="A39" s="285" t="s">
        <v>137</v>
      </c>
      <c r="B39" s="420">
        <f t="shared" si="0"/>
        <v>220345</v>
      </c>
      <c r="C39" s="418">
        <f>+'- 49 -'!F39</f>
        <v>220345</v>
      </c>
      <c r="D39" s="418">
        <v>0</v>
      </c>
    </row>
    <row r="40" spans="1:4" ht="14.1" customHeight="1">
      <c r="A40" s="19" t="s">
        <v>138</v>
      </c>
      <c r="B40" s="421">
        <f t="shared" si="0"/>
        <v>509971</v>
      </c>
      <c r="C40" s="419">
        <f>+'- 49 -'!F40</f>
        <v>322576</v>
      </c>
      <c r="D40" s="419">
        <v>187395</v>
      </c>
    </row>
    <row r="41" spans="1:4" ht="14.1" customHeight="1">
      <c r="A41" s="285" t="s">
        <v>139</v>
      </c>
      <c r="B41" s="420">
        <f t="shared" si="0"/>
        <v>529068</v>
      </c>
      <c r="C41" s="418">
        <f>+'- 49 -'!F41</f>
        <v>476965</v>
      </c>
      <c r="D41" s="418">
        <v>52103</v>
      </c>
    </row>
    <row r="42" spans="1:4" ht="14.1" customHeight="1">
      <c r="A42" s="19" t="s">
        <v>140</v>
      </c>
      <c r="B42" s="421">
        <f t="shared" si="0"/>
        <v>126478</v>
      </c>
      <c r="C42" s="419">
        <f>+'- 49 -'!F42</f>
        <v>125489</v>
      </c>
      <c r="D42" s="419">
        <v>989</v>
      </c>
    </row>
    <row r="43" spans="1:4" ht="14.1" customHeight="1">
      <c r="A43" s="285" t="s">
        <v>141</v>
      </c>
      <c r="B43" s="420">
        <f t="shared" si="0"/>
        <v>263419</v>
      </c>
      <c r="C43" s="418">
        <f>+'- 49 -'!F43</f>
        <v>62553</v>
      </c>
      <c r="D43" s="418">
        <v>200866</v>
      </c>
    </row>
    <row r="44" spans="1:4" ht="14.1" customHeight="1">
      <c r="A44" s="19" t="s">
        <v>142</v>
      </c>
      <c r="B44" s="421">
        <f t="shared" si="0"/>
        <v>110172</v>
      </c>
      <c r="C44" s="419">
        <f>+'- 49 -'!F44</f>
        <v>110172</v>
      </c>
      <c r="D44" s="419">
        <v>0</v>
      </c>
    </row>
    <row r="45" spans="1:4" ht="14.1" customHeight="1">
      <c r="A45" s="285" t="s">
        <v>143</v>
      </c>
      <c r="B45" s="420">
        <f t="shared" si="0"/>
        <v>90917</v>
      </c>
      <c r="C45" s="418">
        <f>+'- 49 -'!F45</f>
        <v>83158</v>
      </c>
      <c r="D45" s="418">
        <v>7759</v>
      </c>
    </row>
    <row r="46" spans="1:4" ht="14.1" customHeight="1">
      <c r="A46" s="19" t="s">
        <v>144</v>
      </c>
      <c r="B46" s="421">
        <f t="shared" si="0"/>
        <v>2839242</v>
      </c>
      <c r="C46" s="419">
        <f>+'- 49 -'!F46</f>
        <v>-7428</v>
      </c>
      <c r="D46" s="419">
        <v>2846670</v>
      </c>
    </row>
    <row r="47" spans="1:4" ht="5.0999999999999996" customHeight="1">
      <c r="A47" s="21"/>
      <c r="B47" s="22"/>
      <c r="C47" s="22"/>
      <c r="D47" s="22"/>
    </row>
    <row r="48" spans="1:4" ht="14.1" customHeight="1">
      <c r="A48" s="287" t="s">
        <v>145</v>
      </c>
      <c r="B48" s="423">
        <f>SUM(B11:B46)</f>
        <v>18346830</v>
      </c>
      <c r="C48" s="422">
        <f>SUM(C11:C46)</f>
        <v>9677467</v>
      </c>
      <c r="D48" s="422">
        <f>SUM(D11:D46)</f>
        <v>8669363</v>
      </c>
    </row>
    <row r="49" spans="1:5" ht="5.0999999999999996" customHeight="1">
      <c r="A49" s="21" t="s">
        <v>7</v>
      </c>
      <c r="B49" s="22"/>
      <c r="C49" s="22"/>
      <c r="D49" s="22"/>
    </row>
    <row r="50" spans="1:5" ht="14.1" customHeight="1">
      <c r="A50" s="19" t="s">
        <v>146</v>
      </c>
      <c r="B50" s="421">
        <f>C50+D50</f>
        <v>13677</v>
      </c>
      <c r="C50" s="419">
        <f>+'- 49 -'!F50</f>
        <v>13677</v>
      </c>
      <c r="D50" s="419">
        <v>0</v>
      </c>
    </row>
    <row r="51" spans="1:5" ht="14.1" customHeight="1">
      <c r="A51" s="285" t="s">
        <v>612</v>
      </c>
      <c r="B51" s="420">
        <f>C51+D51</f>
        <v>0</v>
      </c>
      <c r="C51" s="418">
        <f>+'- 49 -'!F51</f>
        <v>0</v>
      </c>
      <c r="D51" s="418">
        <v>0</v>
      </c>
    </row>
    <row r="52" spans="1:5" ht="50.1" customHeight="1">
      <c r="A52" s="23"/>
      <c r="B52" s="23"/>
      <c r="C52" s="434"/>
      <c r="D52" s="23"/>
      <c r="E52" s="23"/>
    </row>
    <row r="53" spans="1:5" ht="15.75" customHeight="1">
      <c r="A53" s="748" t="s">
        <v>558</v>
      </c>
      <c r="B53" s="748"/>
      <c r="C53" s="748"/>
      <c r="D53" s="748"/>
      <c r="E53" s="748"/>
    </row>
    <row r="54" spans="1:5">
      <c r="A54" s="749"/>
      <c r="B54" s="749"/>
      <c r="C54" s="749"/>
      <c r="D54" s="749"/>
      <c r="E54" s="749"/>
    </row>
    <row r="55" spans="1:5">
      <c r="A55" s="749" t="s">
        <v>559</v>
      </c>
      <c r="B55" s="749"/>
      <c r="C55" s="749"/>
      <c r="D55" s="749"/>
      <c r="E55" s="749"/>
    </row>
    <row r="56" spans="1:5">
      <c r="A56" s="749"/>
      <c r="B56" s="749"/>
      <c r="C56" s="749"/>
      <c r="D56" s="749"/>
      <c r="E56" s="749"/>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sheetPr codeName="Sheet42">
    <pageSetUpPr fitToPage="1"/>
  </sheetPr>
  <dimension ref="A1:D59"/>
  <sheetViews>
    <sheetView showGridLines="0" showZeros="0" workbookViewId="0"/>
  </sheetViews>
  <sheetFormatPr defaultColWidth="15.83203125" defaultRowHeight="12"/>
  <cols>
    <col min="1" max="1" width="35.83203125" style="2" customWidth="1"/>
    <col min="2" max="3" width="25.83203125" style="2" customWidth="1"/>
    <col min="4" max="4" width="45.83203125" style="2" customWidth="1"/>
    <col min="5" max="16384" width="15.83203125" style="2"/>
  </cols>
  <sheetData>
    <row r="1" spans="1:4" ht="6.95" customHeight="1">
      <c r="A1" s="7"/>
    </row>
    <row r="2" spans="1:4" ht="17.100000000000001" customHeight="1">
      <c r="A2" s="228"/>
      <c r="B2" s="229" t="s">
        <v>364</v>
      </c>
      <c r="C2" s="158"/>
      <c r="D2" s="153"/>
    </row>
    <row r="3" spans="1:4" ht="15" customHeight="1">
      <c r="A3" s="542"/>
      <c r="B3" s="233" t="s">
        <v>624</v>
      </c>
      <c r="C3" s="159"/>
      <c r="D3" s="230"/>
    </row>
    <row r="4" spans="1:4" ht="15.95" customHeight="1">
      <c r="A4" s="133"/>
      <c r="B4" s="8"/>
      <c r="C4" s="43"/>
    </row>
    <row r="5" spans="1:4" ht="15.95" customHeight="1">
      <c r="A5" s="2" t="str">
        <f>REPLACE(A4,5,5,"")</f>
        <v/>
      </c>
      <c r="B5" s="8"/>
      <c r="C5" s="8"/>
    </row>
    <row r="6" spans="1:4" ht="15.95" customHeight="1">
      <c r="B6"/>
      <c r="C6"/>
    </row>
    <row r="7" spans="1:4" ht="15.95" customHeight="1">
      <c r="B7" s="775" t="s">
        <v>561</v>
      </c>
      <c r="C7" s="566"/>
    </row>
    <row r="8" spans="1:4" ht="15.95" customHeight="1">
      <c r="A8" s="404"/>
      <c r="B8" s="776"/>
      <c r="C8" s="773" t="s">
        <v>560</v>
      </c>
    </row>
    <row r="9" spans="1:4" ht="15.95" customHeight="1">
      <c r="A9" s="405" t="s">
        <v>42</v>
      </c>
      <c r="B9" s="777"/>
      <c r="C9" s="774"/>
    </row>
    <row r="10" spans="1:4" ht="5.0999999999999996" customHeight="1">
      <c r="A10" s="6"/>
      <c r="B10" s="207"/>
      <c r="C10" s="222">
        <v>1.1610000000000001E-2</v>
      </c>
    </row>
    <row r="11" spans="1:4" ht="14.1" customHeight="1">
      <c r="A11" s="285" t="s">
        <v>110</v>
      </c>
      <c r="B11" s="286">
        <f>'- 53 -'!D11</f>
        <v>135160780</v>
      </c>
      <c r="C11" s="286">
        <f t="shared" ref="C11:C46" si="0">B11*C$10</f>
        <v>1569216.6558000001</v>
      </c>
    </row>
    <row r="12" spans="1:4" ht="14.1" customHeight="1">
      <c r="A12" s="19" t="s">
        <v>111</v>
      </c>
      <c r="B12" s="20">
        <f>'- 53 -'!D12</f>
        <v>168126760</v>
      </c>
      <c r="C12" s="20">
        <f t="shared" si="0"/>
        <v>1951951.6836000001</v>
      </c>
    </row>
    <row r="13" spans="1:4" ht="14.1" customHeight="1">
      <c r="A13" s="285" t="s">
        <v>112</v>
      </c>
      <c r="B13" s="286">
        <f>'- 53 -'!D13</f>
        <v>828811170</v>
      </c>
      <c r="C13" s="286">
        <f t="shared" si="0"/>
        <v>9622497.6837000009</v>
      </c>
    </row>
    <row r="14" spans="1:4" ht="14.1" customHeight="1">
      <c r="A14" s="19" t="s">
        <v>359</v>
      </c>
      <c r="B14" s="20">
        <f>'- 53 -'!D14</f>
        <v>0</v>
      </c>
      <c r="C14" s="20">
        <f t="shared" si="0"/>
        <v>0</v>
      </c>
    </row>
    <row r="15" spans="1:4" ht="14.1" customHeight="1">
      <c r="A15" s="285" t="s">
        <v>113</v>
      </c>
      <c r="B15" s="286">
        <f>'- 53 -'!D15</f>
        <v>109364020</v>
      </c>
      <c r="C15" s="286">
        <f t="shared" si="0"/>
        <v>1269716.2722</v>
      </c>
    </row>
    <row r="16" spans="1:4" ht="14.1" customHeight="1">
      <c r="A16" s="19" t="s">
        <v>114</v>
      </c>
      <c r="B16" s="20">
        <f>'- 53 -'!D16</f>
        <v>33005360</v>
      </c>
      <c r="C16" s="20">
        <f t="shared" si="0"/>
        <v>383192.22960000002</v>
      </c>
    </row>
    <row r="17" spans="1:3" ht="14.1" customHeight="1">
      <c r="A17" s="285" t="s">
        <v>115</v>
      </c>
      <c r="B17" s="286">
        <f>'- 53 -'!D17</f>
        <v>456093070</v>
      </c>
      <c r="C17" s="286">
        <f t="shared" si="0"/>
        <v>5295240.5427000001</v>
      </c>
    </row>
    <row r="18" spans="1:3" ht="14.1" customHeight="1">
      <c r="A18" s="19" t="s">
        <v>116</v>
      </c>
      <c r="B18" s="20">
        <f>'- 53 -'!D18</f>
        <v>66902240</v>
      </c>
      <c r="C18" s="20">
        <f t="shared" si="0"/>
        <v>776735.00640000007</v>
      </c>
    </row>
    <row r="19" spans="1:3" ht="14.1" customHeight="1">
      <c r="A19" s="285" t="s">
        <v>117</v>
      </c>
      <c r="B19" s="286">
        <f>'- 53 -'!D19</f>
        <v>261622470</v>
      </c>
      <c r="C19" s="286">
        <f t="shared" si="0"/>
        <v>3037436.8766999999</v>
      </c>
    </row>
    <row r="20" spans="1:3" ht="14.1" customHeight="1">
      <c r="A20" s="19" t="s">
        <v>118</v>
      </c>
      <c r="B20" s="20">
        <f>'- 53 -'!D20</f>
        <v>347706020</v>
      </c>
      <c r="C20" s="20">
        <f t="shared" si="0"/>
        <v>4036866.8922000001</v>
      </c>
    </row>
    <row r="21" spans="1:3" ht="14.1" customHeight="1">
      <c r="A21" s="285" t="s">
        <v>119</v>
      </c>
      <c r="B21" s="286">
        <f>'- 53 -'!D21</f>
        <v>236086050</v>
      </c>
      <c r="C21" s="286">
        <f t="shared" si="0"/>
        <v>2740959.0405000001</v>
      </c>
    </row>
    <row r="22" spans="1:3" ht="14.1" customHeight="1">
      <c r="A22" s="19" t="s">
        <v>120</v>
      </c>
      <c r="B22" s="20">
        <f>'- 53 -'!D22</f>
        <v>60695780</v>
      </c>
      <c r="C22" s="20">
        <f t="shared" si="0"/>
        <v>704678.00580000004</v>
      </c>
    </row>
    <row r="23" spans="1:3" ht="14.1" customHeight="1">
      <c r="A23" s="285" t="s">
        <v>121</v>
      </c>
      <c r="B23" s="286">
        <f>'- 53 -'!D23</f>
        <v>28799920</v>
      </c>
      <c r="C23" s="286">
        <f t="shared" si="0"/>
        <v>334367.07120000001</v>
      </c>
    </row>
    <row r="24" spans="1:3" ht="14.1" customHeight="1">
      <c r="A24" s="19" t="s">
        <v>122</v>
      </c>
      <c r="B24" s="20">
        <f>'- 53 -'!D24</f>
        <v>218224160</v>
      </c>
      <c r="C24" s="20">
        <f t="shared" si="0"/>
        <v>2533582.4975999999</v>
      </c>
    </row>
    <row r="25" spans="1:3" ht="14.1" customHeight="1">
      <c r="A25" s="285" t="s">
        <v>123</v>
      </c>
      <c r="B25" s="286">
        <f>'- 53 -'!D25</f>
        <v>1163675700</v>
      </c>
      <c r="C25" s="286">
        <f t="shared" si="0"/>
        <v>13510274.877</v>
      </c>
    </row>
    <row r="26" spans="1:3" ht="14.1" customHeight="1">
      <c r="A26" s="19" t="s">
        <v>124</v>
      </c>
      <c r="B26" s="20">
        <f>'- 53 -'!D26</f>
        <v>122284020</v>
      </c>
      <c r="C26" s="20">
        <f t="shared" si="0"/>
        <v>1419717.4722</v>
      </c>
    </row>
    <row r="27" spans="1:3" ht="14.1" customHeight="1">
      <c r="A27" s="285" t="s">
        <v>125</v>
      </c>
      <c r="B27" s="286">
        <f>'- 53 -'!D27</f>
        <v>137119490</v>
      </c>
      <c r="C27" s="286">
        <f t="shared" si="0"/>
        <v>1591957.2789</v>
      </c>
    </row>
    <row r="28" spans="1:3" ht="14.1" customHeight="1">
      <c r="A28" s="19" t="s">
        <v>126</v>
      </c>
      <c r="B28" s="20">
        <f>'- 53 -'!D28</f>
        <v>176876710</v>
      </c>
      <c r="C28" s="20">
        <f t="shared" si="0"/>
        <v>2053538.6031000002</v>
      </c>
    </row>
    <row r="29" spans="1:3" ht="14.1" customHeight="1">
      <c r="A29" s="285" t="s">
        <v>127</v>
      </c>
      <c r="B29" s="286">
        <f>'- 53 -'!D29</f>
        <v>1259537890</v>
      </c>
      <c r="C29" s="286">
        <f t="shared" si="0"/>
        <v>14623234.902900001</v>
      </c>
    </row>
    <row r="30" spans="1:3" ht="14.1" customHeight="1">
      <c r="A30" s="19" t="s">
        <v>128</v>
      </c>
      <c r="B30" s="20">
        <f>'- 53 -'!D30</f>
        <v>86500150</v>
      </c>
      <c r="C30" s="20">
        <f t="shared" si="0"/>
        <v>1004266.7415</v>
      </c>
    </row>
    <row r="31" spans="1:3" ht="14.1" customHeight="1">
      <c r="A31" s="285" t="s">
        <v>129</v>
      </c>
      <c r="B31" s="286">
        <f>'- 53 -'!D31</f>
        <v>311376140</v>
      </c>
      <c r="C31" s="286">
        <f t="shared" si="0"/>
        <v>3615076.9854000001</v>
      </c>
    </row>
    <row r="32" spans="1:3" ht="14.1" customHeight="1">
      <c r="A32" s="19" t="s">
        <v>130</v>
      </c>
      <c r="B32" s="20">
        <f>'- 53 -'!D32</f>
        <v>128886450</v>
      </c>
      <c r="C32" s="20">
        <f t="shared" si="0"/>
        <v>1496371.6845</v>
      </c>
    </row>
    <row r="33" spans="1:3" ht="14.1" customHeight="1">
      <c r="A33" s="285" t="s">
        <v>131</v>
      </c>
      <c r="B33" s="286">
        <f>'- 53 -'!D33</f>
        <v>158409540</v>
      </c>
      <c r="C33" s="286">
        <f t="shared" si="0"/>
        <v>1839134.7594000001</v>
      </c>
    </row>
    <row r="34" spans="1:3" ht="14.1" customHeight="1">
      <c r="A34" s="19" t="s">
        <v>132</v>
      </c>
      <c r="B34" s="20">
        <f>'- 53 -'!D34</f>
        <v>229854060</v>
      </c>
      <c r="C34" s="20">
        <f t="shared" si="0"/>
        <v>2668605.6366000003</v>
      </c>
    </row>
    <row r="35" spans="1:3" ht="14.1" customHeight="1">
      <c r="A35" s="285" t="s">
        <v>133</v>
      </c>
      <c r="B35" s="286">
        <f>'- 53 -'!D35</f>
        <v>879449940</v>
      </c>
      <c r="C35" s="286">
        <f t="shared" si="0"/>
        <v>10210413.803400001</v>
      </c>
    </row>
    <row r="36" spans="1:3" ht="14.1" customHeight="1">
      <c r="A36" s="19" t="s">
        <v>134</v>
      </c>
      <c r="B36" s="20">
        <f>'- 53 -'!D36</f>
        <v>166950300</v>
      </c>
      <c r="C36" s="20">
        <f t="shared" si="0"/>
        <v>1938292.983</v>
      </c>
    </row>
    <row r="37" spans="1:3" ht="14.1" customHeight="1">
      <c r="A37" s="285" t="s">
        <v>135</v>
      </c>
      <c r="B37" s="286">
        <f>'- 53 -'!D37</f>
        <v>165876450</v>
      </c>
      <c r="C37" s="286">
        <f t="shared" si="0"/>
        <v>1925825.5845000001</v>
      </c>
    </row>
    <row r="38" spans="1:3" ht="14.1" customHeight="1">
      <c r="A38" s="19" t="s">
        <v>136</v>
      </c>
      <c r="B38" s="20">
        <f>'- 53 -'!D38</f>
        <v>326433340</v>
      </c>
      <c r="C38" s="20">
        <f t="shared" si="0"/>
        <v>3789891.0774000003</v>
      </c>
    </row>
    <row r="39" spans="1:3" ht="14.1" customHeight="1">
      <c r="A39" s="285" t="s">
        <v>137</v>
      </c>
      <c r="B39" s="286">
        <f>'- 53 -'!D39</f>
        <v>422100890</v>
      </c>
      <c r="C39" s="286">
        <f t="shared" si="0"/>
        <v>4900591.3328999998</v>
      </c>
    </row>
    <row r="40" spans="1:3" ht="14.1" customHeight="1">
      <c r="A40" s="19" t="s">
        <v>138</v>
      </c>
      <c r="B40" s="20">
        <f>'- 53 -'!D40</f>
        <v>1426641200</v>
      </c>
      <c r="C40" s="20">
        <f t="shared" si="0"/>
        <v>16563304.332</v>
      </c>
    </row>
    <row r="41" spans="1:3" ht="14.1" customHeight="1">
      <c r="A41" s="285" t="s">
        <v>139</v>
      </c>
      <c r="B41" s="286">
        <f>'- 53 -'!D41</f>
        <v>373787700</v>
      </c>
      <c r="C41" s="286">
        <f t="shared" si="0"/>
        <v>4339675.1970000006</v>
      </c>
    </row>
    <row r="42" spans="1:3" ht="14.1" customHeight="1">
      <c r="A42" s="19" t="s">
        <v>140</v>
      </c>
      <c r="B42" s="20">
        <f>'- 53 -'!D42</f>
        <v>72496670</v>
      </c>
      <c r="C42" s="20">
        <f t="shared" si="0"/>
        <v>841686.33870000008</v>
      </c>
    </row>
    <row r="43" spans="1:3" ht="14.1" customHeight="1">
      <c r="A43" s="285" t="s">
        <v>141</v>
      </c>
      <c r="B43" s="286">
        <f>'- 53 -'!D43</f>
        <v>60143670</v>
      </c>
      <c r="C43" s="286">
        <f t="shared" si="0"/>
        <v>698268.00870000001</v>
      </c>
    </row>
    <row r="44" spans="1:3" ht="14.1" customHeight="1">
      <c r="A44" s="19" t="s">
        <v>142</v>
      </c>
      <c r="B44" s="20">
        <f>'- 53 -'!D44</f>
        <v>13126490</v>
      </c>
      <c r="C44" s="20">
        <f t="shared" si="0"/>
        <v>152398.54889999999</v>
      </c>
    </row>
    <row r="45" spans="1:3" ht="14.1" customHeight="1">
      <c r="A45" s="285" t="s">
        <v>143</v>
      </c>
      <c r="B45" s="286">
        <f>'- 53 -'!D45</f>
        <v>89413590</v>
      </c>
      <c r="C45" s="286">
        <f t="shared" si="0"/>
        <v>1038091.7799000001</v>
      </c>
    </row>
    <row r="46" spans="1:3" ht="14.1" customHeight="1">
      <c r="A46" s="19" t="s">
        <v>144</v>
      </c>
      <c r="B46" s="20">
        <f>'- 53 -'!D46</f>
        <v>4115150090</v>
      </c>
      <c r="C46" s="20">
        <f t="shared" si="0"/>
        <v>47776892.5449</v>
      </c>
    </row>
    <row r="47" spans="1:3" ht="6" customHeight="1">
      <c r="A47" s="21"/>
      <c r="B47" s="22"/>
      <c r="C47" s="22"/>
    </row>
    <row r="48" spans="1:3" ht="14.1" customHeight="1">
      <c r="A48" s="287" t="s">
        <v>228</v>
      </c>
      <c r="B48" s="288">
        <f>SUM(B11:B46)</f>
        <v>14836688280</v>
      </c>
      <c r="C48" s="288">
        <f>SUM(C11:C46)</f>
        <v>172253950.93079996</v>
      </c>
    </row>
    <row r="49" spans="1:4" ht="6" customHeight="1">
      <c r="A49" s="21"/>
      <c r="B49" s="22"/>
      <c r="C49" s="22"/>
    </row>
    <row r="50" spans="1:4" ht="14.1" customHeight="1">
      <c r="A50" s="19" t="s">
        <v>229</v>
      </c>
      <c r="B50" s="20">
        <f>'- 53 -'!D50</f>
        <v>3483330</v>
      </c>
      <c r="C50" s="20">
        <v>0</v>
      </c>
    </row>
    <row r="51" spans="1:4" ht="14.1" customHeight="1">
      <c r="A51" s="285" t="s">
        <v>230</v>
      </c>
      <c r="B51" s="286">
        <f>'- 53 -'!D51</f>
        <v>50275020</v>
      </c>
      <c r="C51" s="286">
        <f>B51*C$10</f>
        <v>583692.98219999997</v>
      </c>
    </row>
    <row r="52" spans="1:4" ht="6" customHeight="1">
      <c r="A52" s="130"/>
      <c r="B52" s="152"/>
      <c r="C52" s="152"/>
    </row>
    <row r="53" spans="1:4" ht="14.45" customHeight="1">
      <c r="A53" s="397" t="s">
        <v>145</v>
      </c>
      <c r="B53" s="398">
        <f>SUM(B48,B50:B51)</f>
        <v>14890446630</v>
      </c>
      <c r="C53" s="398">
        <f>SUM(C48,C50:C51)</f>
        <v>172837643.91299996</v>
      </c>
      <c r="D53" s="184"/>
    </row>
    <row r="54" spans="1:4" ht="50.1" customHeight="1">
      <c r="A54" s="223"/>
      <c r="B54" s="223"/>
      <c r="C54" s="223"/>
      <c r="D54" s="23"/>
    </row>
    <row r="55" spans="1:4" ht="14.45" customHeight="1">
      <c r="A55" s="415" t="s">
        <v>625</v>
      </c>
      <c r="B55" s="38"/>
      <c r="C55" s="38"/>
      <c r="D55" s="38"/>
    </row>
    <row r="56" spans="1:4" ht="14.45" customHeight="1">
      <c r="A56" s="25"/>
      <c r="B56" s="38"/>
      <c r="C56" s="38"/>
      <c r="D56" s="38"/>
    </row>
    <row r="57" spans="1:4" ht="14.45" customHeight="1">
      <c r="A57" s="26"/>
      <c r="B57" s="38"/>
      <c r="C57" s="38"/>
      <c r="D57" s="38"/>
    </row>
    <row r="58" spans="1:4" ht="14.45" customHeight="1">
      <c r="B58" s="80"/>
      <c r="C58" s="80"/>
    </row>
    <row r="59" spans="1:4" ht="14.45" customHeight="1"/>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sheetPr codeName="Sheet62"/>
  <dimension ref="A1:M57"/>
  <sheetViews>
    <sheetView showGridLines="0" showZeros="0" workbookViewId="0"/>
  </sheetViews>
  <sheetFormatPr defaultColWidth="15.83203125" defaultRowHeight="12"/>
  <cols>
    <col min="1" max="1" width="30" style="2" customWidth="1"/>
    <col min="2" max="2" width="17.1640625" style="2" customWidth="1"/>
    <col min="3" max="3" width="16.33203125" style="2" customWidth="1"/>
    <col min="4" max="4" width="17" style="2" customWidth="1"/>
    <col min="5" max="5" width="16.1640625" style="2" bestFit="1" customWidth="1"/>
    <col min="6" max="6" width="15.1640625" style="2" customWidth="1"/>
    <col min="7" max="7" width="15.33203125" style="2" customWidth="1"/>
    <col min="8" max="8" width="0" style="2" hidden="1" customWidth="1"/>
    <col min="9" max="9" width="21" style="2" hidden="1" customWidth="1"/>
    <col min="10" max="10" width="0" style="2" hidden="1" customWidth="1"/>
    <col min="11" max="16384" width="15.83203125" style="2"/>
  </cols>
  <sheetData>
    <row r="1" spans="1:13" ht="6.95" customHeight="1">
      <c r="A1" s="7"/>
    </row>
    <row r="2" spans="1:13" ht="15.95" customHeight="1">
      <c r="A2" s="208" t="s">
        <v>48</v>
      </c>
      <c r="B2" s="224"/>
      <c r="C2" s="224"/>
      <c r="D2" s="224"/>
      <c r="E2" s="224"/>
      <c r="F2" s="224"/>
      <c r="G2" s="224"/>
    </row>
    <row r="3" spans="1:13" ht="15.95" customHeight="1">
      <c r="A3" s="233" t="str">
        <f>TAXYEAR</f>
        <v>FOR THE 2015 TAXATION YEAR</v>
      </c>
      <c r="B3" s="225"/>
      <c r="C3" s="225"/>
      <c r="D3" s="225"/>
      <c r="E3" s="235"/>
      <c r="F3" s="235"/>
      <c r="G3" s="225"/>
    </row>
    <row r="4" spans="1:13" ht="15.95" customHeight="1">
      <c r="B4" s="8"/>
      <c r="C4" s="8"/>
      <c r="D4" s="8"/>
      <c r="E4" s="43"/>
      <c r="F4" s="43"/>
      <c r="G4" s="43"/>
    </row>
    <row r="5" spans="1:13" ht="15.95" customHeight="1">
      <c r="B5" s="8"/>
      <c r="C5" s="8"/>
      <c r="D5" s="8"/>
      <c r="E5" s="8"/>
      <c r="F5" s="8"/>
      <c r="G5" s="8"/>
      <c r="M5" s="133"/>
    </row>
    <row r="6" spans="1:13" ht="15.95" customHeight="1">
      <c r="B6" s="206" t="s">
        <v>55</v>
      </c>
      <c r="C6" s="172"/>
      <c r="D6" s="172"/>
      <c r="E6" s="170"/>
      <c r="F6" s="8"/>
      <c r="G6" s="8"/>
      <c r="H6" s="4" t="s">
        <v>64</v>
      </c>
    </row>
    <row r="7" spans="1:13" ht="15.95" customHeight="1">
      <c r="B7" s="778" t="s">
        <v>565</v>
      </c>
      <c r="C7" s="778" t="s">
        <v>564</v>
      </c>
      <c r="D7" s="347"/>
      <c r="E7" s="304"/>
      <c r="F7" s="348"/>
      <c r="G7" s="634" t="s">
        <v>563</v>
      </c>
      <c r="H7" s="4" t="s">
        <v>62</v>
      </c>
    </row>
    <row r="8" spans="1:13" ht="15.95" customHeight="1">
      <c r="A8" s="33"/>
      <c r="B8" s="779"/>
      <c r="C8" s="779"/>
      <c r="D8" s="349" t="s">
        <v>7</v>
      </c>
      <c r="E8" s="350"/>
      <c r="F8" s="732" t="s">
        <v>562</v>
      </c>
      <c r="G8" s="732"/>
      <c r="H8" s="4" t="s">
        <v>104</v>
      </c>
    </row>
    <row r="9" spans="1:13" ht="15.95" customHeight="1">
      <c r="A9" s="236" t="s">
        <v>42</v>
      </c>
      <c r="B9" s="780"/>
      <c r="C9" s="780"/>
      <c r="D9" s="352" t="s">
        <v>68</v>
      </c>
      <c r="E9" s="308" t="s">
        <v>31</v>
      </c>
      <c r="F9" s="635"/>
      <c r="G9" s="733"/>
      <c r="H9" s="4" t="s">
        <v>105</v>
      </c>
    </row>
    <row r="10" spans="1:13" ht="5.0999999999999996" customHeight="1">
      <c r="A10" s="18"/>
      <c r="B10" s="207"/>
      <c r="C10" s="7"/>
      <c r="D10" s="207"/>
      <c r="E10" s="207"/>
      <c r="F10" s="7"/>
      <c r="G10" s="7"/>
    </row>
    <row r="11" spans="1:13" ht="14.1" customHeight="1">
      <c r="A11" s="355" t="s">
        <v>110</v>
      </c>
      <c r="B11" s="353">
        <v>252839480</v>
      </c>
      <c r="C11" s="353">
        <v>194224230</v>
      </c>
      <c r="D11" s="353">
        <v>135160780</v>
      </c>
      <c r="E11" s="353">
        <f t="shared" ref="E11:E46" si="0">SUM(B11:D11)</f>
        <v>582224490</v>
      </c>
      <c r="F11" s="353">
        <f>'- 55 -'!C11</f>
        <v>7858369</v>
      </c>
      <c r="G11" s="354">
        <f>F11/E11*1000</f>
        <v>13.49714609222295</v>
      </c>
      <c r="I11" s="234" t="str">
        <f>A11</f>
        <v xml:space="preserve"> BEAUTIFUL PLAINS</v>
      </c>
      <c r="J11" s="5">
        <f>G11</f>
        <v>13.49714609222295</v>
      </c>
      <c r="M11" s="512"/>
    </row>
    <row r="12" spans="1:13" ht="14.1" customHeight="1">
      <c r="A12" s="237" t="s">
        <v>111</v>
      </c>
      <c r="B12" s="151">
        <v>287231430</v>
      </c>
      <c r="C12" s="151">
        <v>233808200</v>
      </c>
      <c r="D12" s="151">
        <v>168126760</v>
      </c>
      <c r="E12" s="151">
        <f t="shared" si="0"/>
        <v>689166390</v>
      </c>
      <c r="F12" s="151">
        <f>'- 55 -'!C12</f>
        <v>11420793</v>
      </c>
      <c r="G12" s="238">
        <f>F12/E12*1000</f>
        <v>16.571894923662775</v>
      </c>
      <c r="I12" s="234" t="str">
        <f>A12</f>
        <v xml:space="preserve"> BORDER LAND</v>
      </c>
      <c r="J12" s="5">
        <f>G12</f>
        <v>16.571894923662775</v>
      </c>
      <c r="M12" s="512"/>
    </row>
    <row r="13" spans="1:13" ht="14.1" customHeight="1">
      <c r="A13" s="355" t="s">
        <v>112</v>
      </c>
      <c r="B13" s="353">
        <v>1788758490</v>
      </c>
      <c r="C13" s="353">
        <v>61713330</v>
      </c>
      <c r="D13" s="353">
        <v>828811170</v>
      </c>
      <c r="E13" s="353">
        <f t="shared" si="0"/>
        <v>2679282990</v>
      </c>
      <c r="F13" s="353">
        <f>'- 55 -'!C13</f>
        <v>41542953</v>
      </c>
      <c r="G13" s="354">
        <f>F13/E13*1000</f>
        <v>15.505250156498025</v>
      </c>
      <c r="I13" s="234" t="str">
        <f>A13</f>
        <v xml:space="preserve"> BRANDON</v>
      </c>
      <c r="J13" s="5">
        <f>G13</f>
        <v>15.505250156498025</v>
      </c>
      <c r="M13" s="512"/>
    </row>
    <row r="14" spans="1:13" ht="14.1" customHeight="1">
      <c r="A14" s="237" t="s">
        <v>359</v>
      </c>
      <c r="B14" s="151"/>
      <c r="C14" s="151"/>
      <c r="D14" s="151"/>
      <c r="E14" s="151">
        <f t="shared" si="0"/>
        <v>0</v>
      </c>
      <c r="F14" s="151"/>
      <c r="G14" s="238"/>
      <c r="I14" s="234" t="str">
        <f>A15</f>
        <v xml:space="preserve"> EVERGREEN</v>
      </c>
      <c r="J14" s="5">
        <f>G15</f>
        <v>11.703041840878955</v>
      </c>
      <c r="M14" s="512"/>
    </row>
    <row r="15" spans="1:13" ht="14.1" customHeight="1">
      <c r="A15" s="355" t="s">
        <v>113</v>
      </c>
      <c r="B15" s="353">
        <v>657627900</v>
      </c>
      <c r="C15" s="353">
        <v>73976790</v>
      </c>
      <c r="D15" s="353">
        <v>109364020</v>
      </c>
      <c r="E15" s="353">
        <f t="shared" si="0"/>
        <v>840968710</v>
      </c>
      <c r="F15" s="353">
        <f>'- 55 -'!C15</f>
        <v>9841892</v>
      </c>
      <c r="G15" s="354">
        <f>F15/E15*1000</f>
        <v>11.703041840878955</v>
      </c>
      <c r="I15" s="234" t="str">
        <f t="shared" ref="I15:I44" si="1">A16</f>
        <v xml:space="preserve"> FLIN FLON</v>
      </c>
      <c r="J15" s="5">
        <f t="shared" ref="J15:J44" si="2">G16</f>
        <v>20.735635678710477</v>
      </c>
      <c r="M15" s="512"/>
    </row>
    <row r="16" spans="1:13" ht="14.1" customHeight="1">
      <c r="A16" s="237" t="s">
        <v>114</v>
      </c>
      <c r="B16" s="151">
        <v>86975770</v>
      </c>
      <c r="C16" s="151">
        <v>0</v>
      </c>
      <c r="D16" s="151">
        <v>33005360</v>
      </c>
      <c r="E16" s="151">
        <f t="shared" si="0"/>
        <v>119981130</v>
      </c>
      <c r="F16" s="151">
        <f>'- 55 -'!C16</f>
        <v>3888172</v>
      </c>
      <c r="G16" s="238">
        <f>(F16-H16)/E16*1000</f>
        <v>20.735635678710477</v>
      </c>
      <c r="H16" s="2">
        <v>1400287</v>
      </c>
      <c r="I16" s="234" t="str">
        <f t="shared" si="1"/>
        <v xml:space="preserve"> FORT LA BOSSE</v>
      </c>
      <c r="J16" s="5">
        <f t="shared" si="2"/>
        <v>9.6706185300122893</v>
      </c>
      <c r="M16" s="512"/>
    </row>
    <row r="17" spans="1:13" ht="14.1" customHeight="1">
      <c r="A17" s="355" t="s">
        <v>115</v>
      </c>
      <c r="B17" s="353">
        <v>256857090</v>
      </c>
      <c r="C17" s="353">
        <v>138986350</v>
      </c>
      <c r="D17" s="353">
        <v>456093070</v>
      </c>
      <c r="E17" s="353">
        <f t="shared" si="0"/>
        <v>851936510</v>
      </c>
      <c r="F17" s="353">
        <f>'- 55 -'!C17</f>
        <v>8238753</v>
      </c>
      <c r="G17" s="354">
        <f>F17/E17*1000</f>
        <v>9.6706185300122893</v>
      </c>
      <c r="H17" s="444"/>
      <c r="I17" s="234" t="str">
        <f t="shared" si="1"/>
        <v xml:space="preserve"> FRONTIER</v>
      </c>
      <c r="J17" s="5">
        <f t="shared" si="2"/>
        <v>15.398998929353137</v>
      </c>
      <c r="M17" s="512"/>
    </row>
    <row r="18" spans="1:13" ht="14.1" customHeight="1">
      <c r="A18" s="237" t="s">
        <v>116</v>
      </c>
      <c r="B18" s="151">
        <v>128972110</v>
      </c>
      <c r="C18" s="151">
        <v>18911690</v>
      </c>
      <c r="D18" s="151">
        <v>66902240</v>
      </c>
      <c r="E18" s="151">
        <f t="shared" si="0"/>
        <v>214786040</v>
      </c>
      <c r="F18" s="151">
        <f>'- 55 -'!C18</f>
        <v>3307490</v>
      </c>
      <c r="G18" s="238">
        <f>(F18-H18)/E18*1000</f>
        <v>15.398998929353137</v>
      </c>
      <c r="I18" s="234" t="str">
        <f t="shared" si="1"/>
        <v xml:space="preserve"> GARDEN VALLEY</v>
      </c>
      <c r="J18" s="5">
        <f t="shared" si="2"/>
        <v>18.048139981536597</v>
      </c>
      <c r="M18" s="512"/>
    </row>
    <row r="19" spans="1:13" ht="14.1" customHeight="1">
      <c r="A19" s="355" t="s">
        <v>117</v>
      </c>
      <c r="B19" s="353">
        <v>524778490</v>
      </c>
      <c r="C19" s="353">
        <v>168666710</v>
      </c>
      <c r="D19" s="353">
        <v>261622470</v>
      </c>
      <c r="E19" s="353">
        <f t="shared" si="0"/>
        <v>955067670</v>
      </c>
      <c r="F19" s="353">
        <f>'- 55 -'!C19</f>
        <v>17237195</v>
      </c>
      <c r="G19" s="354">
        <f t="shared" ref="G19:G26" si="3">F19/E19*1000</f>
        <v>18.048139981536597</v>
      </c>
      <c r="I19" s="234" t="str">
        <f t="shared" si="1"/>
        <v xml:space="preserve"> HANOVER</v>
      </c>
      <c r="J19" s="5">
        <f t="shared" si="2"/>
        <v>16.01964862641659</v>
      </c>
      <c r="M19" s="512"/>
    </row>
    <row r="20" spans="1:13" ht="14.1" customHeight="1">
      <c r="A20" s="237" t="s">
        <v>118</v>
      </c>
      <c r="B20" s="151">
        <v>1294950490</v>
      </c>
      <c r="C20" s="151">
        <v>174928050</v>
      </c>
      <c r="D20" s="151">
        <v>347706020</v>
      </c>
      <c r="E20" s="151">
        <f t="shared" si="0"/>
        <v>1817584560</v>
      </c>
      <c r="F20" s="151">
        <f>'- 55 -'!C20</f>
        <v>29117066</v>
      </c>
      <c r="G20" s="238">
        <f t="shared" si="3"/>
        <v>16.01964862641659</v>
      </c>
      <c r="I20" s="234" t="str">
        <f t="shared" si="1"/>
        <v xml:space="preserve"> INTERLAKE</v>
      </c>
      <c r="J20" s="5">
        <f t="shared" si="2"/>
        <v>14.380395883652278</v>
      </c>
      <c r="M20" s="512"/>
    </row>
    <row r="21" spans="1:13" ht="14.1" customHeight="1">
      <c r="A21" s="355" t="s">
        <v>119</v>
      </c>
      <c r="B21" s="353">
        <v>701428520</v>
      </c>
      <c r="C21" s="353">
        <v>171498640</v>
      </c>
      <c r="D21" s="353">
        <v>236086050</v>
      </c>
      <c r="E21" s="353">
        <f t="shared" si="0"/>
        <v>1109013210</v>
      </c>
      <c r="F21" s="353">
        <f>'- 55 -'!C21</f>
        <v>15948049</v>
      </c>
      <c r="G21" s="354">
        <f t="shared" si="3"/>
        <v>14.380395883652278</v>
      </c>
      <c r="I21" s="234" t="str">
        <f t="shared" si="1"/>
        <v xml:space="preserve"> KELSEY</v>
      </c>
      <c r="J21" s="5">
        <f t="shared" si="2"/>
        <v>20.702062140486383</v>
      </c>
      <c r="M21" s="512"/>
    </row>
    <row r="22" spans="1:13" ht="14.1" customHeight="1">
      <c r="A22" s="237" t="s">
        <v>120</v>
      </c>
      <c r="B22" s="151">
        <v>141720370</v>
      </c>
      <c r="C22" s="151">
        <v>13385830</v>
      </c>
      <c r="D22" s="151">
        <v>60695780</v>
      </c>
      <c r="E22" s="151">
        <f t="shared" si="0"/>
        <v>215801980</v>
      </c>
      <c r="F22" s="151">
        <f>'- 55 -'!C22</f>
        <v>4467546</v>
      </c>
      <c r="G22" s="238">
        <f t="shared" si="3"/>
        <v>20.702062140486383</v>
      </c>
      <c r="I22" s="234" t="str">
        <f t="shared" si="1"/>
        <v xml:space="preserve"> LAKESHORE</v>
      </c>
      <c r="J22" s="5">
        <f t="shared" si="2"/>
        <v>18.712788216767052</v>
      </c>
      <c r="M22" s="512"/>
    </row>
    <row r="23" spans="1:13" ht="14.1" customHeight="1">
      <c r="A23" s="355" t="s">
        <v>121</v>
      </c>
      <c r="B23" s="353">
        <v>123307830</v>
      </c>
      <c r="C23" s="353">
        <v>85731900</v>
      </c>
      <c r="D23" s="353">
        <v>28799920</v>
      </c>
      <c r="E23" s="353">
        <f t="shared" si="0"/>
        <v>237839650</v>
      </c>
      <c r="F23" s="353">
        <f>'- 55 -'!C23</f>
        <v>4450643</v>
      </c>
      <c r="G23" s="354">
        <f t="shared" si="3"/>
        <v>18.712788216767052</v>
      </c>
      <c r="H23" s="239"/>
      <c r="I23" s="234" t="str">
        <f t="shared" si="1"/>
        <v xml:space="preserve"> LORD SELKIRK</v>
      </c>
      <c r="J23" s="5">
        <f t="shared" si="2"/>
        <v>14.804598145193991</v>
      </c>
      <c r="M23" s="512"/>
    </row>
    <row r="24" spans="1:13" ht="14.1" customHeight="1">
      <c r="A24" s="237" t="s">
        <v>122</v>
      </c>
      <c r="B24" s="151">
        <v>1505555960</v>
      </c>
      <c r="C24" s="151">
        <v>62309630</v>
      </c>
      <c r="D24" s="151">
        <v>218224160</v>
      </c>
      <c r="E24" s="151">
        <f t="shared" si="0"/>
        <v>1786089750</v>
      </c>
      <c r="F24" s="151">
        <f>'- 55 -'!C24</f>
        <v>26442341</v>
      </c>
      <c r="G24" s="238">
        <f t="shared" si="3"/>
        <v>14.804598145193991</v>
      </c>
      <c r="I24" s="234" t="str">
        <f t="shared" si="1"/>
        <v xml:space="preserve"> LOUIS RIEL</v>
      </c>
      <c r="J24" s="5">
        <f t="shared" si="2"/>
        <v>13.029825839779617</v>
      </c>
      <c r="M24" s="512"/>
    </row>
    <row r="25" spans="1:13" ht="14.1" customHeight="1">
      <c r="A25" s="355" t="s">
        <v>123</v>
      </c>
      <c r="B25" s="353">
        <v>5712901280</v>
      </c>
      <c r="C25" s="353">
        <v>20852280</v>
      </c>
      <c r="D25" s="353">
        <v>1163675700</v>
      </c>
      <c r="E25" s="353">
        <f t="shared" si="0"/>
        <v>6897429260</v>
      </c>
      <c r="F25" s="353">
        <f>'- 55 -'!C25</f>
        <v>89872302</v>
      </c>
      <c r="G25" s="354">
        <f t="shared" si="3"/>
        <v>13.029825839779617</v>
      </c>
      <c r="I25" s="234" t="str">
        <f t="shared" si="1"/>
        <v xml:space="preserve"> MOUNTAIN VIEW</v>
      </c>
      <c r="J25" s="5">
        <f t="shared" si="2"/>
        <v>17.079867584267916</v>
      </c>
      <c r="M25" s="512"/>
    </row>
    <row r="26" spans="1:13" ht="14.1" customHeight="1">
      <c r="A26" s="237" t="s">
        <v>124</v>
      </c>
      <c r="B26" s="151">
        <v>470029360</v>
      </c>
      <c r="C26" s="151">
        <v>245553830</v>
      </c>
      <c r="D26" s="151">
        <v>122284020</v>
      </c>
      <c r="E26" s="151">
        <f t="shared" si="0"/>
        <v>837867210</v>
      </c>
      <c r="F26" s="151">
        <f>'- 55 -'!C26</f>
        <v>14310661</v>
      </c>
      <c r="G26" s="238">
        <f t="shared" si="3"/>
        <v>17.079867584267916</v>
      </c>
      <c r="I26" s="234" t="str">
        <f t="shared" si="1"/>
        <v xml:space="preserve"> MYSTERY LAKE</v>
      </c>
      <c r="J26" s="5">
        <f t="shared" si="2"/>
        <v>17.62758894501566</v>
      </c>
      <c r="M26" s="512"/>
    </row>
    <row r="27" spans="1:13" ht="14.1" customHeight="1">
      <c r="A27" s="355" t="s">
        <v>125</v>
      </c>
      <c r="B27" s="353">
        <v>320380570</v>
      </c>
      <c r="C27" s="353">
        <v>0</v>
      </c>
      <c r="D27" s="353">
        <v>137119490</v>
      </c>
      <c r="E27" s="353">
        <f t="shared" si="0"/>
        <v>457500060</v>
      </c>
      <c r="F27" s="353">
        <f>'- 55 -'!C27</f>
        <v>8064623</v>
      </c>
      <c r="G27" s="354">
        <f t="shared" ref="G27:G34" si="4">F27/E27*1000</f>
        <v>17.62758894501566</v>
      </c>
      <c r="I27" s="234" t="str">
        <f t="shared" si="1"/>
        <v xml:space="preserve"> PARK WEST</v>
      </c>
      <c r="J27" s="5">
        <f t="shared" si="2"/>
        <v>13.250661113249206</v>
      </c>
      <c r="M27" s="512"/>
    </row>
    <row r="28" spans="1:13" ht="14.1" customHeight="1">
      <c r="A28" s="237" t="s">
        <v>126</v>
      </c>
      <c r="B28" s="151">
        <v>217425130</v>
      </c>
      <c r="C28" s="151">
        <v>255575470</v>
      </c>
      <c r="D28" s="151">
        <v>176876710</v>
      </c>
      <c r="E28" s="151">
        <f t="shared" si="0"/>
        <v>649877310</v>
      </c>
      <c r="F28" s="151">
        <f>'- 55 -'!C28</f>
        <v>8611304</v>
      </c>
      <c r="G28" s="238">
        <f t="shared" si="4"/>
        <v>13.250661113249206</v>
      </c>
      <c r="I28" s="234" t="str">
        <f t="shared" si="1"/>
        <v xml:space="preserve"> PEMBINA TRAILS</v>
      </c>
      <c r="J28" s="5">
        <f t="shared" si="2"/>
        <v>12.452841586775635</v>
      </c>
      <c r="M28" s="512"/>
    </row>
    <row r="29" spans="1:13" ht="14.1" customHeight="1">
      <c r="A29" s="355" t="s">
        <v>127</v>
      </c>
      <c r="B29" s="353">
        <v>5710967030</v>
      </c>
      <c r="C29" s="353">
        <v>17752370</v>
      </c>
      <c r="D29" s="353">
        <v>1259537890</v>
      </c>
      <c r="E29" s="353">
        <f t="shared" si="0"/>
        <v>6988257290</v>
      </c>
      <c r="F29" s="353">
        <f>'- 55 -'!C29</f>
        <v>87023661</v>
      </c>
      <c r="G29" s="354">
        <f t="shared" si="4"/>
        <v>12.452841586775635</v>
      </c>
      <c r="I29" s="234" t="str">
        <f t="shared" si="1"/>
        <v xml:space="preserve"> PINE CREEK</v>
      </c>
      <c r="J29" s="5">
        <f t="shared" si="2"/>
        <v>15.021312488035266</v>
      </c>
      <c r="M29" s="512"/>
    </row>
    <row r="30" spans="1:13" ht="14.1" customHeight="1">
      <c r="A30" s="237" t="s">
        <v>128</v>
      </c>
      <c r="B30" s="151">
        <v>125923160</v>
      </c>
      <c r="C30" s="151">
        <v>162741710</v>
      </c>
      <c r="D30" s="151">
        <v>86500150</v>
      </c>
      <c r="E30" s="151">
        <f t="shared" si="0"/>
        <v>375165020</v>
      </c>
      <c r="F30" s="151">
        <f>'- 55 -'!C30</f>
        <v>5635471</v>
      </c>
      <c r="G30" s="238">
        <f t="shared" si="4"/>
        <v>15.021312488035266</v>
      </c>
      <c r="I30" s="234" t="str">
        <f t="shared" si="1"/>
        <v xml:space="preserve"> PORTAGE LA PRAIRIE</v>
      </c>
      <c r="J30" s="5">
        <f t="shared" si="2"/>
        <v>14.973609195437771</v>
      </c>
      <c r="M30" s="512"/>
    </row>
    <row r="31" spans="1:13" ht="14.1" customHeight="1">
      <c r="A31" s="355" t="s">
        <v>129</v>
      </c>
      <c r="B31" s="353">
        <v>498394270</v>
      </c>
      <c r="C31" s="353">
        <v>227143790</v>
      </c>
      <c r="D31" s="353">
        <v>311376140</v>
      </c>
      <c r="E31" s="353">
        <f t="shared" si="0"/>
        <v>1036914200</v>
      </c>
      <c r="F31" s="353">
        <f>'- 55 -'!C31</f>
        <v>15526348</v>
      </c>
      <c r="G31" s="354">
        <f t="shared" si="4"/>
        <v>14.973609195437771</v>
      </c>
      <c r="I31" s="234" t="str">
        <f t="shared" si="1"/>
        <v xml:space="preserve"> PRAIRIE ROSE</v>
      </c>
      <c r="J31" s="5">
        <f t="shared" si="2"/>
        <v>13.996251930497856</v>
      </c>
      <c r="M31" s="512"/>
    </row>
    <row r="32" spans="1:13" ht="14.1" customHeight="1">
      <c r="A32" s="237" t="s">
        <v>130</v>
      </c>
      <c r="B32" s="151">
        <v>429050040</v>
      </c>
      <c r="C32" s="151">
        <v>406277220</v>
      </c>
      <c r="D32" s="151">
        <v>128886450</v>
      </c>
      <c r="E32" s="151">
        <f t="shared" si="0"/>
        <v>964213710</v>
      </c>
      <c r="F32" s="151">
        <f>'- 55 -'!C32</f>
        <v>13495378</v>
      </c>
      <c r="G32" s="238">
        <f t="shared" si="4"/>
        <v>13.996251930497856</v>
      </c>
      <c r="I32" s="234" t="str">
        <f t="shared" si="1"/>
        <v xml:space="preserve"> PRAIRIE SPIRIT</v>
      </c>
      <c r="J32" s="5">
        <f t="shared" si="2"/>
        <v>14.478366511808822</v>
      </c>
      <c r="M32" s="512"/>
    </row>
    <row r="33" spans="1:13" ht="14.1" customHeight="1">
      <c r="A33" s="355" t="s">
        <v>131</v>
      </c>
      <c r="B33" s="353">
        <v>261878650</v>
      </c>
      <c r="C33" s="353">
        <v>497217800</v>
      </c>
      <c r="D33" s="353">
        <v>158409540</v>
      </c>
      <c r="E33" s="353">
        <f t="shared" si="0"/>
        <v>917505990</v>
      </c>
      <c r="F33" s="353">
        <f>'- 55 -'!C33</f>
        <v>13283988</v>
      </c>
      <c r="G33" s="354">
        <f t="shared" si="4"/>
        <v>14.478366511808822</v>
      </c>
      <c r="I33" s="234" t="str">
        <f t="shared" si="1"/>
        <v xml:space="preserve"> RED RIVER VALLEY</v>
      </c>
      <c r="J33" s="5">
        <f t="shared" si="2"/>
        <v>15.799773867203545</v>
      </c>
      <c r="M33" s="512"/>
    </row>
    <row r="34" spans="1:13" ht="14.1" customHeight="1">
      <c r="A34" s="237" t="s">
        <v>132</v>
      </c>
      <c r="B34" s="151">
        <v>451688520</v>
      </c>
      <c r="C34" s="151">
        <v>326794130</v>
      </c>
      <c r="D34" s="151">
        <v>229854060</v>
      </c>
      <c r="E34" s="151">
        <f t="shared" si="0"/>
        <v>1008336710</v>
      </c>
      <c r="F34" s="151">
        <f>'- 55 -'!C34</f>
        <v>15931492</v>
      </c>
      <c r="G34" s="238">
        <f t="shared" si="4"/>
        <v>15.799773867203545</v>
      </c>
      <c r="I34" s="234" t="str">
        <f t="shared" si="1"/>
        <v xml:space="preserve"> RIVER EAST TRANSCONA</v>
      </c>
      <c r="J34" s="5">
        <f t="shared" si="2"/>
        <v>13.566637667228783</v>
      </c>
      <c r="M34" s="512"/>
    </row>
    <row r="35" spans="1:13" ht="14.1" customHeight="1">
      <c r="A35" s="355" t="s">
        <v>133</v>
      </c>
      <c r="B35" s="353">
        <v>4935810110</v>
      </c>
      <c r="C35" s="353">
        <v>14013860</v>
      </c>
      <c r="D35" s="353">
        <v>879449940</v>
      </c>
      <c r="E35" s="353">
        <f t="shared" si="0"/>
        <v>5829273910</v>
      </c>
      <c r="F35" s="353">
        <f>'- 55 -'!C35</f>
        <v>79083647</v>
      </c>
      <c r="G35" s="354">
        <f t="shared" ref="G35:G46" si="5">F35/E35*1000</f>
        <v>13.566637667228783</v>
      </c>
      <c r="I35" s="234" t="str">
        <f t="shared" si="1"/>
        <v xml:space="preserve"> ROLLING RIVER</v>
      </c>
      <c r="J35" s="5">
        <f t="shared" si="2"/>
        <v>13.386935075211806</v>
      </c>
      <c r="M35" s="512"/>
    </row>
    <row r="36" spans="1:13" ht="14.1" customHeight="1">
      <c r="A36" s="237" t="s">
        <v>134</v>
      </c>
      <c r="B36" s="151">
        <v>404906650</v>
      </c>
      <c r="C36" s="151">
        <v>171948480</v>
      </c>
      <c r="D36" s="151">
        <v>166950300</v>
      </c>
      <c r="E36" s="151">
        <f t="shared" si="0"/>
        <v>743805430</v>
      </c>
      <c r="F36" s="151">
        <f>'- 55 -'!C36</f>
        <v>9957275</v>
      </c>
      <c r="G36" s="238">
        <f t="shared" si="5"/>
        <v>13.386935075211806</v>
      </c>
      <c r="I36" s="234" t="str">
        <f t="shared" si="1"/>
        <v xml:space="preserve"> SEINE RIVER</v>
      </c>
      <c r="J36" s="5">
        <f t="shared" si="2"/>
        <v>15.098522110613921</v>
      </c>
      <c r="M36" s="512"/>
    </row>
    <row r="37" spans="1:13" ht="14.1" customHeight="1">
      <c r="A37" s="355" t="s">
        <v>135</v>
      </c>
      <c r="B37" s="353">
        <v>1199462780</v>
      </c>
      <c r="C37" s="353">
        <v>107111970</v>
      </c>
      <c r="D37" s="353">
        <v>165876450</v>
      </c>
      <c r="E37" s="353">
        <f t="shared" si="0"/>
        <v>1472451200</v>
      </c>
      <c r="F37" s="353">
        <f>'- 55 -'!C37</f>
        <v>22231837</v>
      </c>
      <c r="G37" s="354">
        <f t="shared" si="5"/>
        <v>15.098522110613921</v>
      </c>
      <c r="I37" s="234" t="str">
        <f t="shared" si="1"/>
        <v xml:space="preserve"> SEVEN OAKS</v>
      </c>
      <c r="J37" s="5">
        <f t="shared" si="2"/>
        <v>15.624721952113394</v>
      </c>
      <c r="M37" s="512"/>
    </row>
    <row r="38" spans="1:13" ht="14.1" customHeight="1">
      <c r="A38" s="237" t="s">
        <v>136</v>
      </c>
      <c r="B38" s="151">
        <v>2694465570</v>
      </c>
      <c r="C38" s="151">
        <v>12189240</v>
      </c>
      <c r="D38" s="151">
        <v>326433340</v>
      </c>
      <c r="E38" s="151">
        <f t="shared" si="0"/>
        <v>3033088150</v>
      </c>
      <c r="F38" s="151">
        <f>'- 55 -'!C38</f>
        <v>47391159</v>
      </c>
      <c r="G38" s="238">
        <f t="shared" si="5"/>
        <v>15.624721952113394</v>
      </c>
      <c r="I38" s="234" t="str">
        <f t="shared" si="1"/>
        <v xml:space="preserve"> SOUTHWEST HORIZON</v>
      </c>
      <c r="J38" s="5">
        <f t="shared" si="2"/>
        <v>11.364694225956022</v>
      </c>
      <c r="M38" s="512"/>
    </row>
    <row r="39" spans="1:13" ht="14.1" customHeight="1">
      <c r="A39" s="355" t="s">
        <v>137</v>
      </c>
      <c r="B39" s="353">
        <v>254438190</v>
      </c>
      <c r="C39" s="353">
        <v>310184960</v>
      </c>
      <c r="D39" s="353">
        <v>422100890</v>
      </c>
      <c r="E39" s="353">
        <f t="shared" si="0"/>
        <v>986724040</v>
      </c>
      <c r="F39" s="353">
        <f>'- 55 -'!C39</f>
        <v>11213817</v>
      </c>
      <c r="G39" s="354">
        <f t="shared" si="5"/>
        <v>11.364694225956022</v>
      </c>
      <c r="I39" s="234" t="str">
        <f t="shared" si="1"/>
        <v xml:space="preserve"> ST. JAMES-ASSINIBOIA</v>
      </c>
      <c r="J39" s="5">
        <f t="shared" si="2"/>
        <v>12.620605803816643</v>
      </c>
      <c r="M39" s="512"/>
    </row>
    <row r="40" spans="1:13" ht="14.1" customHeight="1">
      <c r="A40" s="237" t="s">
        <v>138</v>
      </c>
      <c r="B40" s="151">
        <v>2748656440</v>
      </c>
      <c r="C40" s="151">
        <v>15755850</v>
      </c>
      <c r="D40" s="151">
        <v>1426641200</v>
      </c>
      <c r="E40" s="151">
        <f t="shared" si="0"/>
        <v>4191053490</v>
      </c>
      <c r="F40" s="151">
        <f>'- 55 -'!C40</f>
        <v>52893634</v>
      </c>
      <c r="G40" s="238">
        <f t="shared" si="5"/>
        <v>12.620605803816643</v>
      </c>
      <c r="I40" s="234" t="str">
        <f t="shared" si="1"/>
        <v xml:space="preserve"> SUNRISE</v>
      </c>
      <c r="J40" s="5">
        <f t="shared" si="2"/>
        <v>14.341634769958029</v>
      </c>
      <c r="M40" s="512"/>
    </row>
    <row r="41" spans="1:13" ht="14.1" customHeight="1">
      <c r="A41" s="355" t="s">
        <v>139</v>
      </c>
      <c r="B41" s="353">
        <v>1630503150</v>
      </c>
      <c r="C41" s="353">
        <v>183461000</v>
      </c>
      <c r="D41" s="353">
        <v>373787700</v>
      </c>
      <c r="E41" s="353">
        <f t="shared" si="0"/>
        <v>2187751850</v>
      </c>
      <c r="F41" s="353">
        <f>'- 55 -'!C41</f>
        <v>31375938</v>
      </c>
      <c r="G41" s="354">
        <f t="shared" si="5"/>
        <v>14.341634769958029</v>
      </c>
      <c r="I41" s="234" t="str">
        <f t="shared" si="1"/>
        <v xml:space="preserve"> SWAN VALLEY</v>
      </c>
      <c r="J41" s="5">
        <f t="shared" si="2"/>
        <v>16.672999371777209</v>
      </c>
      <c r="M41" s="512"/>
    </row>
    <row r="42" spans="1:13" ht="14.1" customHeight="1">
      <c r="A42" s="237" t="s">
        <v>140</v>
      </c>
      <c r="B42" s="151">
        <v>189704850</v>
      </c>
      <c r="C42" s="151">
        <v>149865670</v>
      </c>
      <c r="D42" s="151">
        <v>72496670</v>
      </c>
      <c r="E42" s="151">
        <f t="shared" si="0"/>
        <v>412067190</v>
      </c>
      <c r="F42" s="151">
        <f>'- 55 -'!C42</f>
        <v>6870396</v>
      </c>
      <c r="G42" s="238">
        <f t="shared" si="5"/>
        <v>16.672999371777209</v>
      </c>
      <c r="I42" s="234" t="str">
        <f t="shared" si="1"/>
        <v xml:space="preserve"> TURTLE MOUNTAIN</v>
      </c>
      <c r="J42" s="5">
        <f t="shared" si="2"/>
        <v>15.184728225006923</v>
      </c>
      <c r="M42" s="512"/>
    </row>
    <row r="43" spans="1:13" ht="14.1" customHeight="1">
      <c r="A43" s="355" t="s">
        <v>141</v>
      </c>
      <c r="B43" s="353">
        <v>192984400</v>
      </c>
      <c r="C43" s="353">
        <v>160936700</v>
      </c>
      <c r="D43" s="353">
        <v>60143670</v>
      </c>
      <c r="E43" s="353">
        <f t="shared" si="0"/>
        <v>414064770</v>
      </c>
      <c r="F43" s="353">
        <f>'- 55 -'!C43</f>
        <v>6287461</v>
      </c>
      <c r="G43" s="354">
        <f t="shared" si="5"/>
        <v>15.184728225006923</v>
      </c>
      <c r="I43" s="234" t="str">
        <f t="shared" si="1"/>
        <v xml:space="preserve"> TURTLE RIVER</v>
      </c>
      <c r="J43" s="5">
        <f t="shared" si="2"/>
        <v>18.917748698919478</v>
      </c>
      <c r="M43" s="512"/>
    </row>
    <row r="44" spans="1:13" ht="14.1" customHeight="1">
      <c r="A44" s="237" t="s">
        <v>142</v>
      </c>
      <c r="B44" s="151">
        <v>78894060</v>
      </c>
      <c r="C44" s="151">
        <v>74152870</v>
      </c>
      <c r="D44" s="151">
        <v>13126490</v>
      </c>
      <c r="E44" s="151">
        <f t="shared" si="0"/>
        <v>166173420</v>
      </c>
      <c r="F44" s="151">
        <f>'- 55 -'!C44</f>
        <v>3143627</v>
      </c>
      <c r="G44" s="238">
        <f t="shared" si="5"/>
        <v>18.917748698919478</v>
      </c>
      <c r="I44" s="234" t="str">
        <f t="shared" si="1"/>
        <v xml:space="preserve"> WESTERN</v>
      </c>
      <c r="J44" s="5">
        <f t="shared" si="2"/>
        <v>17.434999319764238</v>
      </c>
      <c r="M44" s="512"/>
    </row>
    <row r="45" spans="1:13" ht="14.1" customHeight="1">
      <c r="A45" s="355" t="s">
        <v>143</v>
      </c>
      <c r="B45" s="353">
        <v>290592830</v>
      </c>
      <c r="C45" s="353">
        <v>65427380</v>
      </c>
      <c r="D45" s="353">
        <v>89413590</v>
      </c>
      <c r="E45" s="353">
        <f t="shared" si="0"/>
        <v>445433800</v>
      </c>
      <c r="F45" s="353">
        <f>'- 55 -'!C45</f>
        <v>7766138</v>
      </c>
      <c r="G45" s="354">
        <f t="shared" si="5"/>
        <v>17.434999319764238</v>
      </c>
      <c r="I45" s="234" t="str">
        <f>A46</f>
        <v xml:space="preserve"> WINNIPEG</v>
      </c>
      <c r="J45" s="5">
        <f>G46</f>
        <v>15.583288681265151</v>
      </c>
      <c r="M45" s="512"/>
    </row>
    <row r="46" spans="1:13" ht="14.1" customHeight="1">
      <c r="A46" s="237" t="s">
        <v>144</v>
      </c>
      <c r="B46" s="151">
        <v>6430088380</v>
      </c>
      <c r="C46" s="151">
        <v>4683460</v>
      </c>
      <c r="D46" s="151">
        <v>4115150090</v>
      </c>
      <c r="E46" s="151">
        <f t="shared" si="0"/>
        <v>10549921930</v>
      </c>
      <c r="F46" s="151">
        <f>'- 55 -'!C46</f>
        <v>164402479</v>
      </c>
      <c r="G46" s="238">
        <f t="shared" si="5"/>
        <v>15.583288681265151</v>
      </c>
      <c r="M46" s="512"/>
    </row>
    <row r="47" spans="1:13" ht="5.0999999999999996" customHeight="1">
      <c r="A47" s="130"/>
      <c r="B47" s="152"/>
      <c r="C47" s="152"/>
      <c r="D47" s="152"/>
      <c r="E47" s="152"/>
      <c r="F47" s="152"/>
      <c r="G47" s="240"/>
      <c r="M47" s="512"/>
    </row>
    <row r="48" spans="1:13" ht="14.1" customHeight="1">
      <c r="A48" s="356" t="s">
        <v>228</v>
      </c>
      <c r="B48" s="357">
        <f>SUM(B11:B46)</f>
        <v>43000149350</v>
      </c>
      <c r="C48" s="357">
        <f>SUM(C11:C46)</f>
        <v>4827781390</v>
      </c>
      <c r="D48" s="357">
        <f>SUM(D11:D46)</f>
        <v>14836688280</v>
      </c>
      <c r="E48" s="357">
        <f>SUM(E11:E46)</f>
        <v>62664619020</v>
      </c>
      <c r="F48" s="357">
        <f>SUM(F11:F46)</f>
        <v>898133898</v>
      </c>
      <c r="G48" s="358">
        <f>F48/E48*1000</f>
        <v>14.332392218220495</v>
      </c>
      <c r="M48" s="512"/>
    </row>
    <row r="49" spans="1:10" ht="5.0999999999999996" customHeight="1">
      <c r="A49" s="130"/>
      <c r="B49" s="152"/>
      <c r="C49" s="152"/>
      <c r="D49" s="152"/>
      <c r="E49" s="152"/>
      <c r="F49" s="152"/>
      <c r="G49" s="152"/>
    </row>
    <row r="50" spans="1:10" ht="14.1" customHeight="1">
      <c r="A50" s="237" t="s">
        <v>229</v>
      </c>
      <c r="B50" s="151">
        <v>62351770</v>
      </c>
      <c r="C50" s="151">
        <v>383760</v>
      </c>
      <c r="D50" s="151">
        <v>3483330</v>
      </c>
      <c r="E50" s="151">
        <f>SUM(B50:D50)</f>
        <v>66218860</v>
      </c>
      <c r="F50" s="152"/>
      <c r="G50" s="152"/>
    </row>
    <row r="51" spans="1:10" ht="14.1" customHeight="1">
      <c r="A51" s="355" t="s">
        <v>230</v>
      </c>
      <c r="B51" s="353">
        <v>16635340</v>
      </c>
      <c r="C51" s="353">
        <v>13516060</v>
      </c>
      <c r="D51" s="353">
        <v>50275020</v>
      </c>
      <c r="E51" s="353">
        <f>SUM(B51:D51)</f>
        <v>80426420</v>
      </c>
      <c r="F51" s="152"/>
      <c r="G51" s="241"/>
    </row>
    <row r="52" spans="1:10" ht="5.0999999999999996" customHeight="1">
      <c r="A52" s="130"/>
      <c r="B52" s="152"/>
      <c r="C52" s="152"/>
      <c r="D52" s="152"/>
      <c r="E52" s="152"/>
      <c r="F52" s="152"/>
      <c r="G52" s="152"/>
    </row>
    <row r="53" spans="1:10" ht="14.1" customHeight="1">
      <c r="A53" s="356" t="s">
        <v>145</v>
      </c>
      <c r="B53" s="357">
        <f>SUM(B48,B50:B51)</f>
        <v>43079136460</v>
      </c>
      <c r="C53" s="357">
        <f>SUM(C48,C50:C51)</f>
        <v>4841681210</v>
      </c>
      <c r="D53" s="357">
        <f>SUM(D48,D50:D51)</f>
        <v>14890446630</v>
      </c>
      <c r="E53" s="357">
        <f>SUM(E48,E50:E51)</f>
        <v>62811264300</v>
      </c>
      <c r="F53" s="152"/>
      <c r="G53" s="241"/>
    </row>
    <row r="54" spans="1:10" ht="50.1" customHeight="1">
      <c r="A54" s="23"/>
      <c r="B54" s="23"/>
      <c r="C54" s="23"/>
      <c r="D54" s="23"/>
      <c r="E54" s="23"/>
      <c r="F54" s="23"/>
      <c r="G54" s="23"/>
    </row>
    <row r="55" spans="1:10" ht="15" customHeight="1">
      <c r="A55" s="619" t="s">
        <v>626</v>
      </c>
      <c r="B55" s="619"/>
      <c r="C55" s="619"/>
      <c r="D55" s="619"/>
      <c r="E55" s="619"/>
      <c r="F55" s="619"/>
      <c r="G55" s="619"/>
      <c r="H55" s="38"/>
      <c r="I55" s="38"/>
      <c r="J55" s="38"/>
    </row>
    <row r="56" spans="1:10" ht="12" customHeight="1">
      <c r="A56" s="620"/>
      <c r="B56" s="620"/>
      <c r="C56" s="620"/>
      <c r="D56" s="620"/>
      <c r="E56" s="620"/>
      <c r="F56" s="620"/>
      <c r="G56" s="620"/>
      <c r="H56" s="38"/>
      <c r="I56" s="38"/>
      <c r="J56" s="38"/>
    </row>
    <row r="57" spans="1:10" ht="12" customHeight="1">
      <c r="A57" s="2" t="s">
        <v>356</v>
      </c>
      <c r="B57" s="38"/>
      <c r="C57" s="38"/>
      <c r="D57" s="38"/>
      <c r="E57" s="38"/>
      <c r="F57" s="38"/>
      <c r="G57" s="38"/>
      <c r="H57" s="38"/>
      <c r="I57" s="38"/>
      <c r="J57" s="38"/>
    </row>
  </sheetData>
  <mergeCells count="5">
    <mergeCell ref="A55:G56"/>
    <mergeCell ref="F8:F9"/>
    <mergeCell ref="G7:G9"/>
    <mergeCell ref="C7:C9"/>
    <mergeCell ref="B7:B9"/>
  </mergeCells>
  <phoneticPr fontId="0" type="noConversion"/>
  <pageMargins left="0.51181102362204722" right="0.51181102362204722" top="0.59055118110236227" bottom="0.19685039370078741" header="0.31496062992125984" footer="0.51181102362204722"/>
  <pageSetup scale="86"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sheetPr codeName="Sheet56">
    <pageSetUpPr fitToPage="1"/>
  </sheetPr>
  <dimension ref="A1:F58"/>
  <sheetViews>
    <sheetView showGridLines="0" showZeros="0" workbookViewId="0"/>
  </sheetViews>
  <sheetFormatPr defaultColWidth="13.6640625" defaultRowHeight="12"/>
  <cols>
    <col min="1" max="1" width="37.5" style="2" customWidth="1"/>
    <col min="2" max="2" width="22" style="2" customWidth="1"/>
    <col min="3" max="4" width="22.5" style="2" customWidth="1"/>
    <col min="5" max="5" width="14.33203125" style="2" customWidth="1"/>
    <col min="6" max="6" width="19.6640625" style="2" customWidth="1"/>
    <col min="7" max="16384" width="13.6640625" style="2"/>
  </cols>
  <sheetData>
    <row r="1" spans="1:6" ht="6.95" customHeight="1">
      <c r="A1" s="511"/>
      <c r="B1" s="23"/>
      <c r="C1" s="23"/>
      <c r="D1" s="23"/>
      <c r="E1" s="23"/>
      <c r="F1" s="23"/>
    </row>
    <row r="2" spans="1:6" ht="15.95" customHeight="1">
      <c r="A2" s="736" t="s">
        <v>328</v>
      </c>
      <c r="B2" s="736"/>
      <c r="C2" s="736"/>
      <c r="D2" s="736"/>
      <c r="E2" s="736"/>
      <c r="F2" s="736"/>
    </row>
    <row r="3" spans="1:6" ht="21" customHeight="1">
      <c r="A3" s="233" t="str">
        <f>+'- 53 -'!A3</f>
        <v>FOR THE 2015 TAXATION YEAR</v>
      </c>
      <c r="B3" s="225"/>
      <c r="C3" s="225"/>
      <c r="D3" s="225"/>
      <c r="E3" s="235"/>
      <c r="F3" s="235"/>
    </row>
    <row r="4" spans="1:6" ht="14.25" customHeight="1">
      <c r="B4" s="8"/>
      <c r="C4" s="8"/>
      <c r="D4" s="8"/>
    </row>
    <row r="5" spans="1:6" ht="15.95" customHeight="1">
      <c r="B5" s="8"/>
      <c r="C5" s="8"/>
      <c r="D5" s="8"/>
    </row>
    <row r="6" spans="1:6" ht="15.95" customHeight="1">
      <c r="B6" s="484"/>
      <c r="C6" s="484"/>
      <c r="D6" s="484"/>
    </row>
    <row r="7" spans="1:6" ht="15.95" customHeight="1">
      <c r="B7" s="486"/>
      <c r="C7" s="487"/>
      <c r="D7" s="488"/>
    </row>
    <row r="8" spans="1:6" ht="15.95" customHeight="1">
      <c r="A8" s="16"/>
      <c r="B8" s="783" t="s">
        <v>568</v>
      </c>
      <c r="C8" s="781" t="s">
        <v>567</v>
      </c>
      <c r="D8" s="781" t="s">
        <v>566</v>
      </c>
    </row>
    <row r="9" spans="1:6" ht="15.95" customHeight="1">
      <c r="A9" s="17" t="s">
        <v>42</v>
      </c>
      <c r="B9" s="784"/>
      <c r="C9" s="782"/>
      <c r="D9" s="782"/>
    </row>
    <row r="10" spans="1:6" ht="5.0999999999999996" customHeight="1">
      <c r="A10" s="18"/>
      <c r="B10" s="207"/>
      <c r="C10" s="207"/>
      <c r="D10" s="207"/>
    </row>
    <row r="11" spans="1:6" ht="14.1" customHeight="1">
      <c r="A11" s="355" t="s">
        <v>110</v>
      </c>
      <c r="B11" s="353">
        <f>+Data!Y11</f>
        <v>8362700</v>
      </c>
      <c r="C11" s="353">
        <v>504331</v>
      </c>
      <c r="D11" s="353">
        <f>+Data!Z11</f>
        <v>7858369</v>
      </c>
    </row>
    <row r="12" spans="1:6" ht="14.1" customHeight="1">
      <c r="A12" s="237" t="s">
        <v>111</v>
      </c>
      <c r="B12" s="151">
        <f>+Data!Y12</f>
        <v>14157748</v>
      </c>
      <c r="C12" s="151">
        <v>2736955</v>
      </c>
      <c r="D12" s="151">
        <f>+Data!Z12</f>
        <v>11420793</v>
      </c>
    </row>
    <row r="13" spans="1:6" ht="14.1" customHeight="1">
      <c r="A13" s="355" t="s">
        <v>112</v>
      </c>
      <c r="B13" s="353">
        <f>+Data!Y13</f>
        <v>43390966</v>
      </c>
      <c r="C13" s="353">
        <v>1848013</v>
      </c>
      <c r="D13" s="353">
        <f>+Data!Z13</f>
        <v>41542953</v>
      </c>
    </row>
    <row r="14" spans="1:6" ht="14.1" customHeight="1">
      <c r="A14" s="237" t="s">
        <v>359</v>
      </c>
      <c r="B14" s="151">
        <f>+Data!Y14</f>
        <v>0</v>
      </c>
      <c r="C14" s="151">
        <v>0</v>
      </c>
      <c r="D14" s="151">
        <f>+Data!Z14</f>
        <v>0</v>
      </c>
    </row>
    <row r="15" spans="1:6" ht="14.1" customHeight="1">
      <c r="A15" s="355" t="s">
        <v>113</v>
      </c>
      <c r="B15" s="353">
        <f>+Data!Y15</f>
        <v>11437209</v>
      </c>
      <c r="C15" s="353">
        <v>1595317</v>
      </c>
      <c r="D15" s="353">
        <f>+Data!Z15</f>
        <v>9841892</v>
      </c>
    </row>
    <row r="16" spans="1:6" ht="14.1" customHeight="1">
      <c r="A16" s="237" t="s">
        <v>114</v>
      </c>
      <c r="B16" s="151">
        <f>+Data!Y16</f>
        <v>4640885</v>
      </c>
      <c r="C16" s="151">
        <v>752713</v>
      </c>
      <c r="D16" s="151">
        <f>+Data!Z16</f>
        <v>3888172</v>
      </c>
    </row>
    <row r="17" spans="1:4" ht="14.1" customHeight="1">
      <c r="A17" s="355" t="s">
        <v>115</v>
      </c>
      <c r="B17" s="353">
        <f>+Data!Y17</f>
        <v>8726538</v>
      </c>
      <c r="C17" s="353">
        <v>487785</v>
      </c>
      <c r="D17" s="353">
        <f>+Data!Z17</f>
        <v>8238753</v>
      </c>
    </row>
    <row r="18" spans="1:4" ht="14.1" customHeight="1">
      <c r="A18" s="237" t="s">
        <v>116</v>
      </c>
      <c r="B18" s="151">
        <f>+Data!Y18</f>
        <v>3625964</v>
      </c>
      <c r="C18" s="151">
        <v>318474</v>
      </c>
      <c r="D18" s="151">
        <f>+Data!Z18</f>
        <v>3307490</v>
      </c>
    </row>
    <row r="19" spans="1:4" ht="14.1" customHeight="1">
      <c r="A19" s="355" t="s">
        <v>117</v>
      </c>
      <c r="B19" s="353">
        <f>+Data!Y19</f>
        <v>17883368</v>
      </c>
      <c r="C19" s="353">
        <v>646173</v>
      </c>
      <c r="D19" s="353">
        <f>+Data!Z19</f>
        <v>17237195</v>
      </c>
    </row>
    <row r="20" spans="1:4" ht="14.1" customHeight="1">
      <c r="A20" s="237" t="s">
        <v>118</v>
      </c>
      <c r="B20" s="151">
        <f>+Data!Y20</f>
        <v>30625192</v>
      </c>
      <c r="C20" s="151">
        <v>1508126</v>
      </c>
      <c r="D20" s="151">
        <f>+Data!Z20</f>
        <v>29117066</v>
      </c>
    </row>
    <row r="21" spans="1:4" ht="14.1" customHeight="1">
      <c r="A21" s="355" t="s">
        <v>119</v>
      </c>
      <c r="B21" s="353">
        <f>+Data!Y21</f>
        <v>17237600</v>
      </c>
      <c r="C21" s="353">
        <v>1289551</v>
      </c>
      <c r="D21" s="353">
        <f>+Data!Z21</f>
        <v>15948049</v>
      </c>
    </row>
    <row r="22" spans="1:4" ht="14.1" customHeight="1">
      <c r="A22" s="237" t="s">
        <v>120</v>
      </c>
      <c r="B22" s="151">
        <f>+Data!Y22</f>
        <v>4776953</v>
      </c>
      <c r="C22" s="151">
        <v>309407</v>
      </c>
      <c r="D22" s="151">
        <f>+Data!Z22</f>
        <v>4467546</v>
      </c>
    </row>
    <row r="23" spans="1:4" ht="14.1" customHeight="1">
      <c r="A23" s="355" t="s">
        <v>121</v>
      </c>
      <c r="B23" s="353">
        <f>+Data!Y23</f>
        <v>4890716</v>
      </c>
      <c r="C23" s="353">
        <v>440073</v>
      </c>
      <c r="D23" s="353">
        <f>+Data!Z23</f>
        <v>4450643</v>
      </c>
    </row>
    <row r="24" spans="1:4" ht="14.1" customHeight="1">
      <c r="A24" s="237" t="s">
        <v>122</v>
      </c>
      <c r="B24" s="151">
        <f>+Data!Y24</f>
        <v>29135244</v>
      </c>
      <c r="C24" s="151">
        <v>2692903</v>
      </c>
      <c r="D24" s="151">
        <f>+Data!Z24</f>
        <v>26442341</v>
      </c>
    </row>
    <row r="25" spans="1:4" ht="14.1" customHeight="1">
      <c r="A25" s="355" t="s">
        <v>123</v>
      </c>
      <c r="B25" s="353">
        <f>+Data!Y25</f>
        <v>96413305</v>
      </c>
      <c r="C25" s="353">
        <v>6541003</v>
      </c>
      <c r="D25" s="353">
        <f>+Data!Z25</f>
        <v>89872302</v>
      </c>
    </row>
    <row r="26" spans="1:4" ht="14.1" customHeight="1">
      <c r="A26" s="237" t="s">
        <v>124</v>
      </c>
      <c r="B26" s="151">
        <f>+Data!Y26</f>
        <v>15001021</v>
      </c>
      <c r="C26" s="151">
        <v>690360</v>
      </c>
      <c r="D26" s="151">
        <f>+Data!Z26</f>
        <v>14310661</v>
      </c>
    </row>
    <row r="27" spans="1:4" ht="14.1" customHeight="1">
      <c r="A27" s="355" t="s">
        <v>125</v>
      </c>
      <c r="B27" s="353">
        <f>+Data!Y27</f>
        <v>9150673</v>
      </c>
      <c r="C27" s="353">
        <v>1086050</v>
      </c>
      <c r="D27" s="353">
        <f>+Data!Z27</f>
        <v>8064623</v>
      </c>
    </row>
    <row r="28" spans="1:4" ht="14.1" customHeight="1">
      <c r="A28" s="237" t="s">
        <v>126</v>
      </c>
      <c r="B28" s="151">
        <f>+Data!Y28</f>
        <v>9428657</v>
      </c>
      <c r="C28" s="151">
        <v>817353</v>
      </c>
      <c r="D28" s="151">
        <f>+Data!Z28</f>
        <v>8611304</v>
      </c>
    </row>
    <row r="29" spans="1:4" ht="14.1" customHeight="1">
      <c r="A29" s="355" t="s">
        <v>127</v>
      </c>
      <c r="B29" s="353">
        <f>+Data!Y29</f>
        <v>91883350</v>
      </c>
      <c r="C29" s="353">
        <v>4859689</v>
      </c>
      <c r="D29" s="353">
        <f>+Data!Z29</f>
        <v>87023661</v>
      </c>
    </row>
    <row r="30" spans="1:4" ht="14.1" customHeight="1">
      <c r="A30" s="237" t="s">
        <v>128</v>
      </c>
      <c r="B30" s="151">
        <f>+Data!Y30</f>
        <v>5967686</v>
      </c>
      <c r="C30" s="151">
        <v>332215</v>
      </c>
      <c r="D30" s="151">
        <f>+Data!Z30</f>
        <v>5635471</v>
      </c>
    </row>
    <row r="31" spans="1:4" ht="14.1" customHeight="1">
      <c r="A31" s="355" t="s">
        <v>129</v>
      </c>
      <c r="B31" s="353">
        <f>+Data!Y31</f>
        <v>16049384</v>
      </c>
      <c r="C31" s="353">
        <v>523036</v>
      </c>
      <c r="D31" s="353">
        <f>+Data!Z31</f>
        <v>15526348</v>
      </c>
    </row>
    <row r="32" spans="1:4" ht="14.1" customHeight="1">
      <c r="A32" s="237" t="s">
        <v>130</v>
      </c>
      <c r="B32" s="151">
        <f>+Data!Y32</f>
        <v>14648487</v>
      </c>
      <c r="C32" s="151">
        <v>1153109</v>
      </c>
      <c r="D32" s="151">
        <f>+Data!Z32</f>
        <v>13495378</v>
      </c>
    </row>
    <row r="33" spans="1:4" ht="14.1" customHeight="1">
      <c r="A33" s="355" t="s">
        <v>131</v>
      </c>
      <c r="B33" s="353">
        <f>+Data!Y33</f>
        <v>14177973</v>
      </c>
      <c r="C33" s="353">
        <v>893985</v>
      </c>
      <c r="D33" s="353">
        <f>+Data!Z33</f>
        <v>13283988</v>
      </c>
    </row>
    <row r="34" spans="1:4" ht="14.1" customHeight="1">
      <c r="A34" s="237" t="s">
        <v>132</v>
      </c>
      <c r="B34" s="151">
        <f>+Data!Y34</f>
        <v>16801368</v>
      </c>
      <c r="C34" s="151">
        <v>869876</v>
      </c>
      <c r="D34" s="151">
        <f>+Data!Z34</f>
        <v>15931492</v>
      </c>
    </row>
    <row r="35" spans="1:4" ht="14.1" customHeight="1">
      <c r="A35" s="355" t="s">
        <v>133</v>
      </c>
      <c r="B35" s="353">
        <f>+Data!Y35</f>
        <v>80574170</v>
      </c>
      <c r="C35" s="353">
        <v>1490523</v>
      </c>
      <c r="D35" s="353">
        <f>+Data!Z35</f>
        <v>79083647</v>
      </c>
    </row>
    <row r="36" spans="1:4" ht="14.1" customHeight="1">
      <c r="A36" s="237" t="s">
        <v>134</v>
      </c>
      <c r="B36" s="151">
        <f>+Data!Y36</f>
        <v>10721166</v>
      </c>
      <c r="C36" s="151">
        <v>763891</v>
      </c>
      <c r="D36" s="151">
        <f>+Data!Z36</f>
        <v>9957275</v>
      </c>
    </row>
    <row r="37" spans="1:4" ht="14.1" customHeight="1">
      <c r="A37" s="355" t="s">
        <v>135</v>
      </c>
      <c r="B37" s="353">
        <f>+Data!Y37</f>
        <v>24810931</v>
      </c>
      <c r="C37" s="353">
        <v>2579094</v>
      </c>
      <c r="D37" s="353">
        <f>+Data!Z37</f>
        <v>22231837</v>
      </c>
    </row>
    <row r="38" spans="1:4" ht="14.1" customHeight="1">
      <c r="A38" s="237" t="s">
        <v>136</v>
      </c>
      <c r="B38" s="151">
        <f>+Data!Y38</f>
        <v>52754993</v>
      </c>
      <c r="C38" s="151">
        <v>5363834</v>
      </c>
      <c r="D38" s="151">
        <f>+Data!Z38</f>
        <v>47391159</v>
      </c>
    </row>
    <row r="39" spans="1:4" ht="14.1" customHeight="1">
      <c r="A39" s="355" t="s">
        <v>137</v>
      </c>
      <c r="B39" s="353">
        <f>+Data!Y39</f>
        <v>11972273</v>
      </c>
      <c r="C39" s="353">
        <v>758456</v>
      </c>
      <c r="D39" s="353">
        <f>+Data!Z39</f>
        <v>11213817</v>
      </c>
    </row>
    <row r="40" spans="1:4" ht="14.1" customHeight="1">
      <c r="A40" s="237" t="s">
        <v>138</v>
      </c>
      <c r="B40" s="151">
        <f>+Data!Y40</f>
        <v>56374157</v>
      </c>
      <c r="C40" s="151">
        <v>3480523</v>
      </c>
      <c r="D40" s="151">
        <f>+Data!Z40</f>
        <v>52893634</v>
      </c>
    </row>
    <row r="41" spans="1:4" ht="14.1" customHeight="1">
      <c r="A41" s="355" t="s">
        <v>139</v>
      </c>
      <c r="B41" s="353">
        <f>+Data!Y41</f>
        <v>34355635</v>
      </c>
      <c r="C41" s="353">
        <v>2979697</v>
      </c>
      <c r="D41" s="353">
        <f>+Data!Z41</f>
        <v>31375938</v>
      </c>
    </row>
    <row r="42" spans="1:4" ht="14.1" customHeight="1">
      <c r="A42" s="237" t="s">
        <v>140</v>
      </c>
      <c r="B42" s="151">
        <f>+Data!Y42</f>
        <v>7926893</v>
      </c>
      <c r="C42" s="151">
        <v>1056497</v>
      </c>
      <c r="D42" s="151">
        <f>+Data!Z42</f>
        <v>6870396</v>
      </c>
    </row>
    <row r="43" spans="1:4" ht="14.1" customHeight="1">
      <c r="A43" s="355" t="s">
        <v>141</v>
      </c>
      <c r="B43" s="353">
        <f>+Data!Y43</f>
        <v>6287461</v>
      </c>
      <c r="C43" s="353">
        <v>0</v>
      </c>
      <c r="D43" s="353">
        <f>+Data!Z43</f>
        <v>6287461</v>
      </c>
    </row>
    <row r="44" spans="1:4" ht="14.1" customHeight="1">
      <c r="A44" s="237" t="s">
        <v>142</v>
      </c>
      <c r="B44" s="151">
        <f>+Data!Y44</f>
        <v>3612546</v>
      </c>
      <c r="C44" s="151">
        <v>468919</v>
      </c>
      <c r="D44" s="151">
        <f>+Data!Z44</f>
        <v>3143627</v>
      </c>
    </row>
    <row r="45" spans="1:4" ht="14.1" customHeight="1">
      <c r="A45" s="355" t="s">
        <v>143</v>
      </c>
      <c r="B45" s="353">
        <f>+Data!Y45</f>
        <v>7766138</v>
      </c>
      <c r="C45" s="353">
        <v>0</v>
      </c>
      <c r="D45" s="353">
        <f>+Data!Z45</f>
        <v>7766138</v>
      </c>
    </row>
    <row r="46" spans="1:4" ht="14.1" customHeight="1">
      <c r="A46" s="237" t="s">
        <v>144</v>
      </c>
      <c r="B46" s="151">
        <f>+Data!Y46</f>
        <v>173982875</v>
      </c>
      <c r="C46" s="151">
        <v>9580396</v>
      </c>
      <c r="D46" s="151">
        <f>+Data!Z46</f>
        <v>164402479</v>
      </c>
    </row>
    <row r="47" spans="1:4" ht="5.0999999999999996" customHeight="1">
      <c r="A47" s="130"/>
      <c r="B47" s="152"/>
      <c r="C47" s="152"/>
      <c r="D47" s="152"/>
    </row>
    <row r="48" spans="1:4" ht="14.1" customHeight="1">
      <c r="A48" s="356" t="s">
        <v>145</v>
      </c>
      <c r="B48" s="357">
        <f>SUM(B11:B47)</f>
        <v>959552225</v>
      </c>
      <c r="C48" s="357">
        <f t="shared" ref="C48" si="0">SUM(C11:C46)</f>
        <v>61418327</v>
      </c>
      <c r="D48" s="357">
        <f>SUM(D11:D47)</f>
        <v>898133898</v>
      </c>
    </row>
    <row r="49" spans="1:6" s="184" customFormat="1" ht="53.25" customHeight="1">
      <c r="A49" s="485"/>
      <c r="B49" s="485"/>
      <c r="C49" s="485"/>
      <c r="D49" s="485"/>
      <c r="E49" s="23"/>
      <c r="F49" s="23"/>
    </row>
    <row r="50" spans="1:6" s="184" customFormat="1" ht="15" customHeight="1">
      <c r="A50" s="666" t="s">
        <v>627</v>
      </c>
      <c r="B50" s="666"/>
      <c r="C50" s="666"/>
      <c r="D50" s="666"/>
      <c r="E50" s="666"/>
      <c r="F50" s="666"/>
    </row>
    <row r="51" spans="1:6" ht="12" customHeight="1">
      <c r="A51" s="785"/>
      <c r="B51" s="785"/>
      <c r="C51" s="785"/>
      <c r="D51" s="785"/>
      <c r="E51" s="785"/>
      <c r="F51" s="785"/>
    </row>
    <row r="52" spans="1:6" ht="11.25" customHeight="1">
      <c r="A52" s="785"/>
      <c r="B52" s="785"/>
      <c r="C52" s="785"/>
      <c r="D52" s="785"/>
      <c r="E52" s="785"/>
      <c r="F52" s="785"/>
    </row>
    <row r="53" spans="1:6" ht="14.45" customHeight="1"/>
    <row r="54" spans="1:6" ht="14.45" customHeight="1"/>
    <row r="55" spans="1:6" ht="14.45" customHeight="1"/>
    <row r="56" spans="1:6" ht="14.45" customHeight="1"/>
    <row r="57" spans="1:6" ht="14.45" customHeight="1"/>
    <row r="58" spans="1:6" ht="14.45" customHeight="1"/>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sheetPr codeName="Sheet64">
    <pageSetUpPr fitToPage="1"/>
  </sheetPr>
  <dimension ref="A1:F52"/>
  <sheetViews>
    <sheetView showGridLines="0" showZeros="0" workbookViewId="0"/>
  </sheetViews>
  <sheetFormatPr defaultColWidth="15.83203125" defaultRowHeight="12"/>
  <cols>
    <col min="1" max="1" width="35.83203125" style="2" customWidth="1"/>
    <col min="2" max="3" width="21.83203125" style="2" customWidth="1"/>
    <col min="4" max="4" width="23.83203125" style="2" customWidth="1"/>
    <col min="5" max="5" width="2.83203125" style="2" customWidth="1"/>
    <col min="6" max="6" width="27.83203125" style="2" customWidth="1"/>
    <col min="7" max="19" width="15.83203125" style="2"/>
    <col min="20" max="20" width="21" style="2" bestFit="1" customWidth="1"/>
    <col min="21" max="21" width="15" style="2" bestFit="1" customWidth="1"/>
    <col min="22" max="16384" width="15.83203125" style="2"/>
  </cols>
  <sheetData>
    <row r="1" spans="1:6" ht="6.95" customHeight="1">
      <c r="A1" s="7"/>
    </row>
    <row r="2" spans="1:6" ht="15.95" customHeight="1">
      <c r="A2" s="400"/>
      <c r="B2" s="208" t="s">
        <v>225</v>
      </c>
      <c r="C2" s="209"/>
      <c r="D2" s="209"/>
      <c r="E2" s="210"/>
      <c r="F2" s="210"/>
    </row>
    <row r="3" spans="1:6" ht="15.95" customHeight="1">
      <c r="A3" s="541"/>
      <c r="B3" s="392" t="str">
        <f>TAXYEAR</f>
        <v>FOR THE 2015 TAXATION YEAR</v>
      </c>
      <c r="C3" s="391"/>
      <c r="D3" s="391"/>
      <c r="E3" s="399"/>
      <c r="F3" s="399"/>
    </row>
    <row r="4" spans="1:6" ht="15.95" customHeight="1">
      <c r="B4"/>
      <c r="C4" s="8"/>
      <c r="D4" s="8"/>
      <c r="E4" s="8"/>
      <c r="F4" s="8"/>
    </row>
    <row r="5" spans="1:6" ht="15.95" customHeight="1">
      <c r="B5"/>
      <c r="C5" s="8"/>
      <c r="D5" s="8"/>
      <c r="E5" s="8"/>
      <c r="F5" s="8"/>
    </row>
    <row r="6" spans="1:6" ht="15.95" customHeight="1">
      <c r="B6"/>
      <c r="C6" s="8"/>
      <c r="D6" s="8"/>
      <c r="E6" s="8"/>
      <c r="F6" s="8"/>
    </row>
    <row r="7" spans="1:6" ht="15.95" customHeight="1">
      <c r="B7" s="763" t="s">
        <v>569</v>
      </c>
      <c r="C7" s="558"/>
      <c r="D7" s="359"/>
      <c r="E7" s="8"/>
      <c r="F7" s="634" t="s">
        <v>570</v>
      </c>
    </row>
    <row r="8" spans="1:6" ht="15.95" customHeight="1">
      <c r="A8" s="568"/>
      <c r="B8" s="735"/>
      <c r="C8" s="567"/>
      <c r="D8" s="360"/>
      <c r="E8" s="8"/>
      <c r="F8" s="732"/>
    </row>
    <row r="9" spans="1:6" ht="15.95" customHeight="1">
      <c r="A9" s="569" t="s">
        <v>42</v>
      </c>
      <c r="B9" s="640"/>
      <c r="C9" s="300" t="s">
        <v>69</v>
      </c>
      <c r="D9" s="308" t="s">
        <v>31</v>
      </c>
      <c r="E9" s="8"/>
      <c r="F9" s="733"/>
    </row>
    <row r="10" spans="1:6" ht="5.0999999999999996" customHeight="1">
      <c r="A10" s="18"/>
      <c r="B10" s="207">
        <v>38577</v>
      </c>
      <c r="C10" s="207"/>
      <c r="D10" s="207"/>
      <c r="E10" s="207"/>
      <c r="F10" s="207"/>
    </row>
    <row r="11" spans="1:6" ht="14.1" customHeight="1">
      <c r="A11" s="355" t="s">
        <v>110</v>
      </c>
      <c r="B11" s="353">
        <f>'- 51 -'!C11</f>
        <v>1569216.6558000001</v>
      </c>
      <c r="C11" s="353">
        <f>+Data!Z11</f>
        <v>7858369</v>
      </c>
      <c r="D11" s="353">
        <f t="shared" ref="D11:D46" si="0">SUM(B11,C11)</f>
        <v>9427585.6557999998</v>
      </c>
      <c r="F11" s="353">
        <f>+Data!W11</f>
        <v>368964</v>
      </c>
    </row>
    <row r="12" spans="1:6" ht="14.1" customHeight="1">
      <c r="A12" s="237" t="s">
        <v>111</v>
      </c>
      <c r="B12" s="151">
        <f>'- 51 -'!C12</f>
        <v>1951951.6836000001</v>
      </c>
      <c r="C12" s="151">
        <f>+Data!Z12</f>
        <v>11420793</v>
      </c>
      <c r="D12" s="151">
        <f t="shared" si="0"/>
        <v>13372744.683600001</v>
      </c>
      <c r="F12" s="151">
        <f>+Data!W12</f>
        <v>325530</v>
      </c>
    </row>
    <row r="13" spans="1:6" ht="14.1" customHeight="1">
      <c r="A13" s="355" t="s">
        <v>112</v>
      </c>
      <c r="B13" s="353">
        <f>'- 51 -'!C13</f>
        <v>9622497.6837000009</v>
      </c>
      <c r="C13" s="353">
        <f>+Data!Z13</f>
        <v>41542953</v>
      </c>
      <c r="D13" s="353">
        <f t="shared" si="0"/>
        <v>51165450.683700003</v>
      </c>
      <c r="F13" s="353">
        <f>+Data!W13</f>
        <v>332491</v>
      </c>
    </row>
    <row r="14" spans="1:6" ht="14.1" customHeight="1">
      <c r="A14" s="237" t="s">
        <v>359</v>
      </c>
      <c r="B14" s="151">
        <f>'- 51 -'!C14</f>
        <v>0</v>
      </c>
      <c r="C14" s="151">
        <f>+Data!Z14</f>
        <v>0</v>
      </c>
      <c r="D14" s="151">
        <f t="shared" si="0"/>
        <v>0</v>
      </c>
      <c r="F14" s="151">
        <f>+Data!W14</f>
        <v>389297</v>
      </c>
    </row>
    <row r="15" spans="1:6" ht="14.1" customHeight="1">
      <c r="A15" s="355" t="s">
        <v>113</v>
      </c>
      <c r="B15" s="353">
        <f>'- 51 -'!C15</f>
        <v>1269716.2722</v>
      </c>
      <c r="C15" s="353">
        <f>+Data!Z15</f>
        <v>9841892</v>
      </c>
      <c r="D15" s="353">
        <f t="shared" si="0"/>
        <v>11111608.2722</v>
      </c>
      <c r="F15" s="353">
        <f>+Data!W15</f>
        <v>572165</v>
      </c>
    </row>
    <row r="16" spans="1:6" ht="14.1" customHeight="1">
      <c r="A16" s="237" t="s">
        <v>114</v>
      </c>
      <c r="B16" s="151">
        <f>'- 51 -'!C16</f>
        <v>383192.22960000002</v>
      </c>
      <c r="C16" s="151">
        <f>+Data!Z16</f>
        <v>3888172</v>
      </c>
      <c r="D16" s="151">
        <f t="shared" si="0"/>
        <v>4271364.2296000002</v>
      </c>
      <c r="F16" s="151">
        <f>+Data!W16</f>
        <v>177865</v>
      </c>
    </row>
    <row r="17" spans="1:6" ht="14.1" customHeight="1">
      <c r="A17" s="355" t="s">
        <v>115</v>
      </c>
      <c r="B17" s="353">
        <f>'- 51 -'!C17</f>
        <v>5295240.5427000001</v>
      </c>
      <c r="C17" s="353">
        <f>+Data!Z17</f>
        <v>8238753</v>
      </c>
      <c r="D17" s="353">
        <f t="shared" si="0"/>
        <v>13533993.5427</v>
      </c>
      <c r="F17" s="353">
        <f>+Data!W17</f>
        <v>670922</v>
      </c>
    </row>
    <row r="18" spans="1:6" ht="14.1" customHeight="1">
      <c r="A18" s="237" t="s">
        <v>116</v>
      </c>
      <c r="B18" s="151">
        <f>'- 51 -'!C18</f>
        <v>776735.00640000007</v>
      </c>
      <c r="C18" s="151">
        <f>+Data!Z18</f>
        <v>3307490</v>
      </c>
      <c r="D18" s="151">
        <f t="shared" si="0"/>
        <v>4084225.0064000003</v>
      </c>
      <c r="F18" s="151">
        <f>+Data!W18</f>
        <v>88244</v>
      </c>
    </row>
    <row r="19" spans="1:6" ht="14.1" customHeight="1">
      <c r="A19" s="355" t="s">
        <v>117</v>
      </c>
      <c r="B19" s="353">
        <f>'- 51 -'!C19</f>
        <v>3037436.8766999999</v>
      </c>
      <c r="C19" s="353">
        <f>+Data!Z19</f>
        <v>17237195</v>
      </c>
      <c r="D19" s="353">
        <f t="shared" si="0"/>
        <v>20274631.876699999</v>
      </c>
      <c r="F19" s="353">
        <f>+Data!W19</f>
        <v>229539</v>
      </c>
    </row>
    <row r="20" spans="1:6" ht="14.1" customHeight="1">
      <c r="A20" s="237" t="s">
        <v>118</v>
      </c>
      <c r="B20" s="151">
        <f>'- 51 -'!C20</f>
        <v>4036866.8922000001</v>
      </c>
      <c r="C20" s="151">
        <f>+Data!Z20</f>
        <v>29117066</v>
      </c>
      <c r="D20" s="151">
        <f t="shared" si="0"/>
        <v>33153932.892200001</v>
      </c>
      <c r="F20" s="151">
        <f>+Data!W20</f>
        <v>237543</v>
      </c>
    </row>
    <row r="21" spans="1:6" ht="14.1" customHeight="1">
      <c r="A21" s="355" t="s">
        <v>119</v>
      </c>
      <c r="B21" s="353">
        <f>'- 51 -'!C21</f>
        <v>2740959.0405000001</v>
      </c>
      <c r="C21" s="353">
        <f>+Data!Z21</f>
        <v>15948049</v>
      </c>
      <c r="D21" s="353">
        <f t="shared" si="0"/>
        <v>18689008.0405</v>
      </c>
      <c r="F21" s="353">
        <f>+Data!W21</f>
        <v>397738</v>
      </c>
    </row>
    <row r="22" spans="1:6" ht="14.1" customHeight="1">
      <c r="A22" s="237" t="s">
        <v>120</v>
      </c>
      <c r="B22" s="151">
        <f>'- 51 -'!C22</f>
        <v>704678.00580000004</v>
      </c>
      <c r="C22" s="151">
        <f>+Data!Z22</f>
        <v>4467546</v>
      </c>
      <c r="D22" s="151">
        <f t="shared" si="0"/>
        <v>5172224.0058000004</v>
      </c>
      <c r="F22" s="151">
        <f>+Data!W22</f>
        <v>138610</v>
      </c>
    </row>
    <row r="23" spans="1:6" ht="14.1" customHeight="1">
      <c r="A23" s="355" t="s">
        <v>121</v>
      </c>
      <c r="B23" s="353">
        <f>'- 51 -'!C23</f>
        <v>334367.07120000001</v>
      </c>
      <c r="C23" s="353">
        <f>+Data!Z23</f>
        <v>4450643</v>
      </c>
      <c r="D23" s="353">
        <f t="shared" si="0"/>
        <v>4785010.0712000001</v>
      </c>
      <c r="F23" s="353">
        <f>+Data!W23</f>
        <v>229221</v>
      </c>
    </row>
    <row r="24" spans="1:6" ht="14.1" customHeight="1">
      <c r="A24" s="237" t="s">
        <v>122</v>
      </c>
      <c r="B24" s="151">
        <f>'- 51 -'!C24</f>
        <v>2533582.4975999999</v>
      </c>
      <c r="C24" s="151">
        <f>+Data!Z24</f>
        <v>26442341</v>
      </c>
      <c r="D24" s="151">
        <f t="shared" si="0"/>
        <v>28975923.4976</v>
      </c>
      <c r="F24" s="151">
        <f>+Data!W24</f>
        <v>435844</v>
      </c>
    </row>
    <row r="25" spans="1:6" ht="14.1" customHeight="1">
      <c r="A25" s="355" t="s">
        <v>123</v>
      </c>
      <c r="B25" s="353">
        <f>'- 51 -'!C25</f>
        <v>13510274.877</v>
      </c>
      <c r="C25" s="353">
        <f>+Data!Z25</f>
        <v>89872302</v>
      </c>
      <c r="D25" s="353">
        <f t="shared" si="0"/>
        <v>103382576.877</v>
      </c>
      <c r="F25" s="353">
        <f>+Data!W25</f>
        <v>446063</v>
      </c>
    </row>
    <row r="26" spans="1:6" ht="14.1" customHeight="1">
      <c r="A26" s="237" t="s">
        <v>124</v>
      </c>
      <c r="B26" s="151">
        <f>'- 51 -'!C26</f>
        <v>1419717.4722</v>
      </c>
      <c r="C26" s="151">
        <f>+Data!Z26</f>
        <v>14310661</v>
      </c>
      <c r="D26" s="151">
        <f t="shared" si="0"/>
        <v>15730378.472200001</v>
      </c>
      <c r="F26" s="151">
        <f>+Data!W26</f>
        <v>292889</v>
      </c>
    </row>
    <row r="27" spans="1:6" ht="14.1" customHeight="1">
      <c r="A27" s="355" t="s">
        <v>125</v>
      </c>
      <c r="B27" s="353">
        <f>'- 51 -'!C27</f>
        <v>1591957.2789</v>
      </c>
      <c r="C27" s="353">
        <f>+Data!Z27</f>
        <v>8064623</v>
      </c>
      <c r="D27" s="353">
        <f t="shared" si="0"/>
        <v>9656580.2788999993</v>
      </c>
      <c r="F27" s="353">
        <f>+Data!W27</f>
        <v>185741</v>
      </c>
    </row>
    <row r="28" spans="1:6" ht="14.1" customHeight="1">
      <c r="A28" s="237" t="s">
        <v>126</v>
      </c>
      <c r="B28" s="151">
        <f>'- 51 -'!C28</f>
        <v>2053538.6031000002</v>
      </c>
      <c r="C28" s="151">
        <f>+Data!Z28</f>
        <v>8611304</v>
      </c>
      <c r="D28" s="151">
        <f t="shared" si="0"/>
        <v>10664842.6031</v>
      </c>
      <c r="F28" s="151">
        <f>+Data!W28</f>
        <v>413176</v>
      </c>
    </row>
    <row r="29" spans="1:6" ht="14.1" customHeight="1">
      <c r="A29" s="355" t="s">
        <v>127</v>
      </c>
      <c r="B29" s="353">
        <f>'- 51 -'!C29</f>
        <v>14623234.902900001</v>
      </c>
      <c r="C29" s="353">
        <f>+Data!Z29</f>
        <v>87023661</v>
      </c>
      <c r="D29" s="353">
        <f t="shared" si="0"/>
        <v>101646895.9029</v>
      </c>
      <c r="F29" s="353">
        <f>+Data!W29</f>
        <v>555452</v>
      </c>
    </row>
    <row r="30" spans="1:6" ht="14.1" customHeight="1">
      <c r="A30" s="237" t="s">
        <v>128</v>
      </c>
      <c r="B30" s="151">
        <f>'- 51 -'!C30</f>
        <v>1004266.7415</v>
      </c>
      <c r="C30" s="151">
        <f>+Data!Z30</f>
        <v>5635471</v>
      </c>
      <c r="D30" s="151">
        <f t="shared" si="0"/>
        <v>6639737.7414999995</v>
      </c>
      <c r="F30" s="151">
        <f>+Data!W30</f>
        <v>351865</v>
      </c>
    </row>
    <row r="31" spans="1:6" ht="14.1" customHeight="1">
      <c r="A31" s="355" t="s">
        <v>129</v>
      </c>
      <c r="B31" s="353">
        <f>'- 51 -'!C31</f>
        <v>3615076.9854000001</v>
      </c>
      <c r="C31" s="353">
        <f>+Data!Z31</f>
        <v>15526348</v>
      </c>
      <c r="D31" s="353">
        <f t="shared" si="0"/>
        <v>19141424.985399999</v>
      </c>
      <c r="F31" s="353">
        <f>+Data!W31</f>
        <v>334327</v>
      </c>
    </row>
    <row r="32" spans="1:6" ht="14.1" customHeight="1">
      <c r="A32" s="237" t="s">
        <v>130</v>
      </c>
      <c r="B32" s="151">
        <f>'- 51 -'!C32</f>
        <v>1496371.6845</v>
      </c>
      <c r="C32" s="151">
        <f>+Data!Z32</f>
        <v>13495378</v>
      </c>
      <c r="D32" s="151">
        <f t="shared" si="0"/>
        <v>14991749.6845</v>
      </c>
      <c r="F32" s="151">
        <f>+Data!W32</f>
        <v>429590</v>
      </c>
    </row>
    <row r="33" spans="1:6" ht="14.1" customHeight="1">
      <c r="A33" s="355" t="s">
        <v>131</v>
      </c>
      <c r="B33" s="353">
        <f>'- 51 -'!C33</f>
        <v>1839134.7594000001</v>
      </c>
      <c r="C33" s="353">
        <f>+Data!Z33</f>
        <v>13283988</v>
      </c>
      <c r="D33" s="353">
        <f t="shared" si="0"/>
        <v>15123122.759400001</v>
      </c>
      <c r="F33" s="353">
        <f>+Data!W33</f>
        <v>412249</v>
      </c>
    </row>
    <row r="34" spans="1:6" ht="14.1" customHeight="1">
      <c r="A34" s="237" t="s">
        <v>132</v>
      </c>
      <c r="B34" s="151">
        <f>'- 51 -'!C34</f>
        <v>2668605.6366000003</v>
      </c>
      <c r="C34" s="151">
        <f>+Data!Z34</f>
        <v>15931492</v>
      </c>
      <c r="D34" s="151">
        <f t="shared" si="0"/>
        <v>18600097.636599999</v>
      </c>
      <c r="F34" s="151">
        <f>+Data!W34</f>
        <v>450476</v>
      </c>
    </row>
    <row r="35" spans="1:6" ht="14.1" customHeight="1">
      <c r="A35" s="355" t="s">
        <v>133</v>
      </c>
      <c r="B35" s="353">
        <f>'- 51 -'!C35</f>
        <v>10210413.803400001</v>
      </c>
      <c r="C35" s="353">
        <f>+Data!Z35</f>
        <v>79083647</v>
      </c>
      <c r="D35" s="353">
        <f t="shared" si="0"/>
        <v>89294060.803399995</v>
      </c>
      <c r="F35" s="353">
        <f>+Data!W35</f>
        <v>377253</v>
      </c>
    </row>
    <row r="36" spans="1:6" ht="14.1" customHeight="1">
      <c r="A36" s="237" t="s">
        <v>134</v>
      </c>
      <c r="B36" s="151">
        <f>'- 51 -'!C36</f>
        <v>1938292.983</v>
      </c>
      <c r="C36" s="151">
        <f>+Data!Z36</f>
        <v>9957275</v>
      </c>
      <c r="D36" s="151">
        <f t="shared" si="0"/>
        <v>11895567.982999999</v>
      </c>
      <c r="F36" s="151">
        <f>+Data!W36</f>
        <v>474985</v>
      </c>
    </row>
    <row r="37" spans="1:6" ht="14.1" customHeight="1">
      <c r="A37" s="355" t="s">
        <v>135</v>
      </c>
      <c r="B37" s="353">
        <f>'- 51 -'!C37</f>
        <v>1925825.5845000001</v>
      </c>
      <c r="C37" s="353">
        <f>+Data!Z37</f>
        <v>22231837</v>
      </c>
      <c r="D37" s="353">
        <f t="shared" si="0"/>
        <v>24157662.5845</v>
      </c>
      <c r="F37" s="353">
        <f>+Data!W37</f>
        <v>278573</v>
      </c>
    </row>
    <row r="38" spans="1:6" ht="14.1" customHeight="1">
      <c r="A38" s="237" t="s">
        <v>136</v>
      </c>
      <c r="B38" s="151">
        <f>'- 51 -'!C38</f>
        <v>3789891.0774000003</v>
      </c>
      <c r="C38" s="151">
        <f>+Data!Z38</f>
        <v>47391159</v>
      </c>
      <c r="D38" s="151">
        <f t="shared" si="0"/>
        <v>51181050.077399999</v>
      </c>
      <c r="F38" s="151">
        <f>+Data!W38</f>
        <v>297274</v>
      </c>
    </row>
    <row r="39" spans="1:6" ht="14.1" customHeight="1">
      <c r="A39" s="355" t="s">
        <v>137</v>
      </c>
      <c r="B39" s="353">
        <f>'- 51 -'!C39</f>
        <v>4900591.3328999998</v>
      </c>
      <c r="C39" s="353">
        <f>+Data!Z39</f>
        <v>11213817</v>
      </c>
      <c r="D39" s="353">
        <f t="shared" si="0"/>
        <v>16114408.332899999</v>
      </c>
      <c r="F39" s="353">
        <f>+Data!W39</f>
        <v>639816</v>
      </c>
    </row>
    <row r="40" spans="1:6" ht="14.1" customHeight="1">
      <c r="A40" s="237" t="s">
        <v>138</v>
      </c>
      <c r="B40" s="151">
        <f>'- 51 -'!C40</f>
        <v>16563304.332</v>
      </c>
      <c r="C40" s="151">
        <f>+Data!Z40</f>
        <v>52893634</v>
      </c>
      <c r="D40" s="151">
        <f t="shared" si="0"/>
        <v>69456938.332000002</v>
      </c>
      <c r="F40" s="151">
        <f>+Data!W40</f>
        <v>540929</v>
      </c>
    </row>
    <row r="41" spans="1:6" ht="14.1" customHeight="1">
      <c r="A41" s="355" t="s">
        <v>139</v>
      </c>
      <c r="B41" s="353">
        <f>'- 51 -'!C41</f>
        <v>4339675.1970000006</v>
      </c>
      <c r="C41" s="353">
        <f>+Data!Z41</f>
        <v>31375938</v>
      </c>
      <c r="D41" s="353">
        <f t="shared" si="0"/>
        <v>35715613.196999997</v>
      </c>
      <c r="F41" s="353">
        <f>+Data!W41</f>
        <v>469301</v>
      </c>
    </row>
    <row r="42" spans="1:6" ht="14.1" customHeight="1">
      <c r="A42" s="237" t="s">
        <v>140</v>
      </c>
      <c r="B42" s="151">
        <f>'- 51 -'!C42</f>
        <v>841686.33870000008</v>
      </c>
      <c r="C42" s="151">
        <f>+Data!Z42</f>
        <v>6870396</v>
      </c>
      <c r="D42" s="151">
        <f t="shared" si="0"/>
        <v>7712082.3387000002</v>
      </c>
      <c r="F42" s="151">
        <f>+Data!W42</f>
        <v>299120</v>
      </c>
    </row>
    <row r="43" spans="1:6" ht="14.1" customHeight="1">
      <c r="A43" s="355" t="s">
        <v>141</v>
      </c>
      <c r="B43" s="353">
        <f>'- 51 -'!C43</f>
        <v>698268.00870000001</v>
      </c>
      <c r="C43" s="353">
        <f>+Data!Z43</f>
        <v>6287461</v>
      </c>
      <c r="D43" s="353">
        <f t="shared" si="0"/>
        <v>6985729.0087000001</v>
      </c>
      <c r="F43" s="353">
        <f>+Data!W43</f>
        <v>431452</v>
      </c>
    </row>
    <row r="44" spans="1:6" ht="14.1" customHeight="1">
      <c r="A44" s="237" t="s">
        <v>142</v>
      </c>
      <c r="B44" s="151">
        <f>'- 51 -'!C44</f>
        <v>152398.54889999999</v>
      </c>
      <c r="C44" s="151">
        <f>+Data!Z44</f>
        <v>3143627</v>
      </c>
      <c r="D44" s="151">
        <f t="shared" si="0"/>
        <v>3296025.5488999998</v>
      </c>
      <c r="F44" s="151">
        <f>+Data!W44</f>
        <v>212427</v>
      </c>
    </row>
    <row r="45" spans="1:6" ht="14.1" customHeight="1">
      <c r="A45" s="355" t="s">
        <v>143</v>
      </c>
      <c r="B45" s="353">
        <f>'- 51 -'!C45</f>
        <v>1038091.7799000001</v>
      </c>
      <c r="C45" s="353">
        <f>+Data!Z45</f>
        <v>7766138</v>
      </c>
      <c r="D45" s="353">
        <f t="shared" si="0"/>
        <v>8804229.7798999995</v>
      </c>
      <c r="F45" s="353">
        <f>+Data!W45</f>
        <v>286085</v>
      </c>
    </row>
    <row r="46" spans="1:6" ht="14.1" customHeight="1">
      <c r="A46" s="237" t="s">
        <v>144</v>
      </c>
      <c r="B46" s="151">
        <f>'- 51 -'!C46</f>
        <v>47776892.5449</v>
      </c>
      <c r="C46" s="151">
        <f>+Data!Z46</f>
        <v>164402479</v>
      </c>
      <c r="D46" s="151">
        <f t="shared" si="0"/>
        <v>212179371.5449</v>
      </c>
      <c r="F46" s="151">
        <f>+Data!W46</f>
        <v>362928</v>
      </c>
    </row>
    <row r="47" spans="1:6" ht="5.0999999999999996" customHeight="1">
      <c r="A47" s="130"/>
      <c r="B47" s="152"/>
      <c r="C47" s="152"/>
      <c r="D47" s="152"/>
      <c r="F47" s="152"/>
    </row>
    <row r="48" spans="1:6" ht="14.1" customHeight="1">
      <c r="A48" s="356" t="s">
        <v>145</v>
      </c>
      <c r="B48" s="357">
        <f>SUM(B11:B46)</f>
        <v>172253950.93079996</v>
      </c>
      <c r="C48" s="357">
        <f>+Data!Z48</f>
        <v>898133898</v>
      </c>
      <c r="D48" s="357">
        <f>SUM(D11:D46)</f>
        <v>1070387848.9308002</v>
      </c>
      <c r="F48" s="357">
        <f>+Data!W48</f>
        <v>379006.21142656368</v>
      </c>
    </row>
    <row r="49" spans="1:6" ht="50.1" customHeight="1">
      <c r="A49" s="244" t="s">
        <v>7</v>
      </c>
      <c r="B49" s="23"/>
      <c r="C49" s="23"/>
      <c r="D49" s="23"/>
      <c r="E49" s="23"/>
      <c r="F49" s="23"/>
    </row>
    <row r="50" spans="1:6" ht="15" customHeight="1">
      <c r="A50" s="607" t="s">
        <v>571</v>
      </c>
      <c r="B50" s="607"/>
      <c r="C50" s="607"/>
      <c r="D50" s="607"/>
      <c r="E50" s="607"/>
      <c r="F50" s="607"/>
    </row>
    <row r="51" spans="1:6" ht="12" customHeight="1">
      <c r="A51" s="608"/>
      <c r="B51" s="608"/>
      <c r="C51" s="608"/>
      <c r="D51" s="608"/>
      <c r="E51" s="608"/>
      <c r="F51" s="608"/>
    </row>
    <row r="52" spans="1:6" ht="12" customHeight="1">
      <c r="A52" s="608"/>
      <c r="B52" s="608"/>
      <c r="C52" s="608"/>
      <c r="D52" s="608"/>
      <c r="E52" s="608"/>
      <c r="F52" s="608"/>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sheetPr codeName="Sheet4"/>
  <dimension ref="A1:G55"/>
  <sheetViews>
    <sheetView showGridLines="0" showZeros="0" workbookViewId="0"/>
  </sheetViews>
  <sheetFormatPr defaultColWidth="15.83203125" defaultRowHeight="12"/>
  <cols>
    <col min="1" max="1" width="34.83203125" style="2" customWidth="1"/>
    <col min="2" max="3" width="18.83203125" style="2" customWidth="1"/>
    <col min="4" max="4" width="1.83203125" style="2" customWidth="1"/>
    <col min="5" max="6" width="18.83203125" style="2" customWidth="1"/>
    <col min="7" max="7" width="21.1640625" style="2" customWidth="1"/>
    <col min="8" max="16384" width="15.83203125" style="2"/>
  </cols>
  <sheetData>
    <row r="1" spans="1:7" ht="6.95" customHeight="1">
      <c r="A1" s="7"/>
      <c r="B1" s="7"/>
      <c r="C1" s="7"/>
      <c r="D1" s="8"/>
      <c r="E1" s="8"/>
    </row>
    <row r="2" spans="1:7" ht="15.95" customHeight="1">
      <c r="A2" s="63"/>
      <c r="B2" s="9" t="s">
        <v>10</v>
      </c>
      <c r="C2" s="10"/>
      <c r="D2" s="10"/>
      <c r="E2" s="73"/>
      <c r="F2" s="81"/>
      <c r="G2" s="81" t="s">
        <v>12</v>
      </c>
    </row>
    <row r="3" spans="1:7" ht="15.95" customHeight="1">
      <c r="A3" s="544"/>
      <c r="B3" s="11" t="str">
        <f>STATDATE</f>
        <v>ACTUAL SEPTEMBER 30, 2015</v>
      </c>
      <c r="C3" s="12"/>
      <c r="D3" s="12"/>
      <c r="E3" s="75"/>
      <c r="F3" s="75"/>
      <c r="G3" s="75"/>
    </row>
    <row r="4" spans="1:7" ht="15.95" customHeight="1">
      <c r="D4" s="8"/>
      <c r="E4" s="8"/>
    </row>
    <row r="5" spans="1:7" ht="15.95" customHeight="1"/>
    <row r="6" spans="1:7" ht="15.95" customHeight="1">
      <c r="B6" s="493"/>
      <c r="C6" s="494"/>
      <c r="D6" s="184"/>
      <c r="E6" s="413"/>
    </row>
    <row r="7" spans="1:7" ht="15.95" customHeight="1">
      <c r="B7" s="495" t="s">
        <v>334</v>
      </c>
      <c r="C7" s="496"/>
      <c r="D7" s="184"/>
      <c r="E7" s="414" t="s">
        <v>31</v>
      </c>
    </row>
    <row r="8" spans="1:7" ht="15.95" customHeight="1">
      <c r="A8" s="33"/>
      <c r="B8" s="618" t="s">
        <v>458</v>
      </c>
      <c r="C8" s="138"/>
      <c r="D8" s="15"/>
      <c r="E8" s="617" t="s">
        <v>457</v>
      </c>
    </row>
    <row r="9" spans="1:7" ht="15.95" customHeight="1">
      <c r="A9" s="82" t="s">
        <v>42</v>
      </c>
      <c r="B9" s="603"/>
      <c r="C9" s="78" t="s">
        <v>31</v>
      </c>
      <c r="D9" s="84"/>
      <c r="E9" s="598"/>
    </row>
    <row r="10" spans="1:7" ht="5.0999999999999996" customHeight="1">
      <c r="A10" s="6"/>
      <c r="B10" s="85"/>
      <c r="C10" s="6"/>
      <c r="D10" s="86"/>
    </row>
    <row r="11" spans="1:7" ht="14.1" customHeight="1">
      <c r="A11" s="285" t="s">
        <v>110</v>
      </c>
      <c r="B11" s="292">
        <v>0</v>
      </c>
      <c r="C11" s="292">
        <f>SUM('- 6 -'!B11:H11,B11)</f>
        <v>1676</v>
      </c>
      <c r="D11" s="87"/>
      <c r="E11" s="292">
        <f>C11</f>
        <v>1676</v>
      </c>
    </row>
    <row r="12" spans="1:7" ht="14.1" customHeight="1">
      <c r="A12" s="19" t="s">
        <v>111</v>
      </c>
      <c r="B12" s="70">
        <v>161.5</v>
      </c>
      <c r="C12" s="70">
        <f>SUM('- 6 -'!B12:H12,B12)</f>
        <v>2124.9</v>
      </c>
      <c r="D12" s="87"/>
      <c r="E12" s="70">
        <f t="shared" ref="E12:E46" si="0">C12</f>
        <v>2124.9</v>
      </c>
    </row>
    <row r="13" spans="1:7" ht="14.1" customHeight="1">
      <c r="A13" s="285" t="s">
        <v>112</v>
      </c>
      <c r="B13" s="292">
        <v>385.9</v>
      </c>
      <c r="C13" s="292">
        <f>SUM('- 6 -'!B13:H13,B13)</f>
        <v>8250</v>
      </c>
      <c r="D13" s="87"/>
      <c r="E13" s="292">
        <f t="shared" si="0"/>
        <v>8250</v>
      </c>
    </row>
    <row r="14" spans="1:7" ht="14.1" customHeight="1">
      <c r="A14" s="19" t="s">
        <v>359</v>
      </c>
      <c r="B14" s="70">
        <v>0</v>
      </c>
      <c r="C14" s="70">
        <f>SUM('- 6 -'!B14:H14,B14)</f>
        <v>5343</v>
      </c>
      <c r="D14" s="87"/>
      <c r="E14" s="70">
        <f t="shared" si="0"/>
        <v>5343</v>
      </c>
    </row>
    <row r="15" spans="1:7" ht="14.1" customHeight="1">
      <c r="A15" s="285" t="s">
        <v>113</v>
      </c>
      <c r="B15" s="292">
        <v>20</v>
      </c>
      <c r="C15" s="292">
        <f>SUM('- 6 -'!B15:H15,B15)</f>
        <v>1410</v>
      </c>
      <c r="D15" s="87"/>
      <c r="E15" s="292">
        <f t="shared" si="0"/>
        <v>1410</v>
      </c>
    </row>
    <row r="16" spans="1:7" ht="14.1" customHeight="1">
      <c r="A16" s="19" t="s">
        <v>114</v>
      </c>
      <c r="B16" s="70">
        <v>7.5</v>
      </c>
      <c r="C16" s="70">
        <f>SUM('- 6 -'!B16:H16,B16)</f>
        <v>932.5</v>
      </c>
      <c r="D16" s="87"/>
      <c r="E16" s="70">
        <f t="shared" si="0"/>
        <v>932.5</v>
      </c>
    </row>
    <row r="17" spans="1:5" ht="14.1" customHeight="1">
      <c r="A17" s="285" t="s">
        <v>115</v>
      </c>
      <c r="B17" s="292">
        <v>22.714285714285715</v>
      </c>
      <c r="C17" s="292">
        <f>SUM('- 6 -'!B17:H17,B17)</f>
        <v>1342.0142857142857</v>
      </c>
      <c r="D17" s="87"/>
      <c r="E17" s="292">
        <f t="shared" si="0"/>
        <v>1342.0142857142857</v>
      </c>
    </row>
    <row r="18" spans="1:5" ht="14.1" customHeight="1">
      <c r="A18" s="19" t="s">
        <v>116</v>
      </c>
      <c r="B18" s="70">
        <v>50</v>
      </c>
      <c r="C18" s="70">
        <f>SUM('- 6 -'!B18:H18,B18)</f>
        <v>6183</v>
      </c>
      <c r="D18" s="87"/>
      <c r="E18" s="70">
        <f t="shared" si="0"/>
        <v>6183</v>
      </c>
    </row>
    <row r="19" spans="1:5" ht="14.1" customHeight="1">
      <c r="A19" s="285" t="s">
        <v>117</v>
      </c>
      <c r="B19" s="292">
        <v>117.2</v>
      </c>
      <c r="C19" s="292">
        <f>SUM('- 6 -'!B19:H19,B19)</f>
        <v>4234.7</v>
      </c>
      <c r="D19" s="87"/>
      <c r="E19" s="292">
        <f t="shared" si="0"/>
        <v>4234.7</v>
      </c>
    </row>
    <row r="20" spans="1:5" ht="14.1" customHeight="1">
      <c r="A20" s="19" t="s">
        <v>118</v>
      </c>
      <c r="B20" s="70">
        <v>444.15</v>
      </c>
      <c r="C20" s="70">
        <f>SUM('- 6 -'!B20:H20,B20)</f>
        <v>7565.45</v>
      </c>
      <c r="D20" s="87"/>
      <c r="E20" s="70">
        <f t="shared" si="0"/>
        <v>7565.45</v>
      </c>
    </row>
    <row r="21" spans="1:5" ht="14.1" customHeight="1">
      <c r="A21" s="285" t="s">
        <v>119</v>
      </c>
      <c r="B21" s="292">
        <v>0</v>
      </c>
      <c r="C21" s="292">
        <f>SUM('- 6 -'!B21:H21,B21)</f>
        <v>2686.1</v>
      </c>
      <c r="D21" s="87"/>
      <c r="E21" s="292">
        <f t="shared" si="0"/>
        <v>2686.1</v>
      </c>
    </row>
    <row r="22" spans="1:5" ht="14.1" customHeight="1">
      <c r="A22" s="19" t="s">
        <v>120</v>
      </c>
      <c r="B22" s="70">
        <v>0</v>
      </c>
      <c r="C22" s="70">
        <f>SUM('- 6 -'!B22:H22,B22)</f>
        <v>1531.9</v>
      </c>
      <c r="D22" s="87"/>
      <c r="E22" s="70">
        <f t="shared" si="0"/>
        <v>1531.9</v>
      </c>
    </row>
    <row r="23" spans="1:5" ht="14.1" customHeight="1">
      <c r="A23" s="285" t="s">
        <v>121</v>
      </c>
      <c r="B23" s="292">
        <v>21</v>
      </c>
      <c r="C23" s="292">
        <f>SUM('- 6 -'!B23:H23,B23)</f>
        <v>1110.5</v>
      </c>
      <c r="D23" s="87"/>
      <c r="E23" s="292">
        <f t="shared" si="0"/>
        <v>1110.5</v>
      </c>
    </row>
    <row r="24" spans="1:5" ht="14.1" customHeight="1">
      <c r="A24" s="19" t="s">
        <v>122</v>
      </c>
      <c r="B24" s="70">
        <v>258.5</v>
      </c>
      <c r="C24" s="70">
        <f>SUM('- 6 -'!B24:H24,B24)</f>
        <v>3991.5</v>
      </c>
      <c r="D24" s="87"/>
      <c r="E24" s="70">
        <f t="shared" si="0"/>
        <v>3991.5</v>
      </c>
    </row>
    <row r="25" spans="1:5" ht="14.1" customHeight="1">
      <c r="A25" s="285" t="s">
        <v>123</v>
      </c>
      <c r="B25" s="292">
        <v>84.2</v>
      </c>
      <c r="C25" s="292">
        <f>SUM('- 6 -'!B25:H25,B25)</f>
        <v>14156.600000000002</v>
      </c>
      <c r="D25" s="87"/>
      <c r="E25" s="292">
        <f t="shared" si="0"/>
        <v>14156.600000000002</v>
      </c>
    </row>
    <row r="26" spans="1:5" ht="14.1" customHeight="1">
      <c r="A26" s="19" t="s">
        <v>124</v>
      </c>
      <c r="B26" s="70">
        <v>135.5</v>
      </c>
      <c r="C26" s="70">
        <f>SUM('- 6 -'!B26:H26,B26)</f>
        <v>3076</v>
      </c>
      <c r="D26" s="87"/>
      <c r="E26" s="70">
        <f t="shared" si="0"/>
        <v>3076</v>
      </c>
    </row>
    <row r="27" spans="1:5" ht="14.1" customHeight="1">
      <c r="A27" s="285" t="s">
        <v>125</v>
      </c>
      <c r="B27" s="292">
        <v>120.71</v>
      </c>
      <c r="C27" s="292">
        <f>SUM('- 6 -'!B27:H27,B27)</f>
        <v>2905.21</v>
      </c>
      <c r="D27" s="87"/>
      <c r="E27" s="292">
        <f t="shared" si="0"/>
        <v>2905.21</v>
      </c>
    </row>
    <row r="28" spans="1:5" ht="14.1" customHeight="1">
      <c r="A28" s="19" t="s">
        <v>126</v>
      </c>
      <c r="B28" s="70">
        <v>0</v>
      </c>
      <c r="C28" s="70">
        <f>SUM('- 6 -'!B28:H28,B28)</f>
        <v>1989.5</v>
      </c>
      <c r="D28" s="87"/>
      <c r="E28" s="70">
        <f t="shared" si="0"/>
        <v>1989.5</v>
      </c>
    </row>
    <row r="29" spans="1:5" ht="14.1" customHeight="1">
      <c r="A29" s="285" t="s">
        <v>127</v>
      </c>
      <c r="B29" s="292">
        <v>0</v>
      </c>
      <c r="C29" s="292">
        <f>SUM('- 6 -'!B29:H29,B29)</f>
        <v>12693.3</v>
      </c>
      <c r="D29" s="87"/>
      <c r="E29" s="292">
        <f t="shared" si="0"/>
        <v>12693.3</v>
      </c>
    </row>
    <row r="30" spans="1:5" ht="14.1" customHeight="1">
      <c r="A30" s="19" t="s">
        <v>128</v>
      </c>
      <c r="B30" s="70">
        <v>27.7</v>
      </c>
      <c r="C30" s="70">
        <f>SUM('- 6 -'!B30:H30,B30)</f>
        <v>1004</v>
      </c>
      <c r="D30" s="87"/>
      <c r="E30" s="70">
        <f t="shared" si="0"/>
        <v>1004</v>
      </c>
    </row>
    <row r="31" spans="1:5" ht="14.1" customHeight="1">
      <c r="A31" s="285" t="s">
        <v>129</v>
      </c>
      <c r="B31" s="292">
        <v>132.6</v>
      </c>
      <c r="C31" s="292">
        <f>SUM('- 6 -'!B31:H31,B31)</f>
        <v>3268.5</v>
      </c>
      <c r="D31" s="87"/>
      <c r="E31" s="292">
        <f t="shared" si="0"/>
        <v>3268.5</v>
      </c>
    </row>
    <row r="32" spans="1:5" ht="14.1" customHeight="1">
      <c r="A32" s="19" t="s">
        <v>130</v>
      </c>
      <c r="B32" s="70">
        <v>112.29</v>
      </c>
      <c r="C32" s="70">
        <f>SUM('- 6 -'!B32:H32,B32)</f>
        <v>2112.2000000000003</v>
      </c>
      <c r="D32" s="87"/>
      <c r="E32" s="70">
        <f t="shared" si="0"/>
        <v>2112.2000000000003</v>
      </c>
    </row>
    <row r="33" spans="1:7" ht="14.1" customHeight="1">
      <c r="A33" s="285" t="s">
        <v>131</v>
      </c>
      <c r="B33" s="292">
        <v>57.4</v>
      </c>
      <c r="C33" s="292">
        <f>SUM('- 6 -'!B33:H33,B33)</f>
        <v>2034.1000000000001</v>
      </c>
      <c r="D33" s="87"/>
      <c r="E33" s="292">
        <f t="shared" si="0"/>
        <v>2034.1000000000001</v>
      </c>
    </row>
    <row r="34" spans="1:7" ht="14.1" customHeight="1">
      <c r="A34" s="19" t="s">
        <v>132</v>
      </c>
      <c r="B34" s="70">
        <v>21.23</v>
      </c>
      <c r="C34" s="70">
        <f>SUM('- 6 -'!B34:H34,B34)</f>
        <v>1981.56</v>
      </c>
      <c r="D34" s="87"/>
      <c r="E34" s="70">
        <f t="shared" si="0"/>
        <v>1981.56</v>
      </c>
    </row>
    <row r="35" spans="1:7" ht="14.1" customHeight="1">
      <c r="A35" s="285" t="s">
        <v>133</v>
      </c>
      <c r="B35" s="292">
        <v>622</v>
      </c>
      <c r="C35" s="292">
        <f>SUM('- 6 -'!B35:H35,B35)</f>
        <v>15428.5</v>
      </c>
      <c r="D35" s="87"/>
      <c r="E35" s="292">
        <f t="shared" si="0"/>
        <v>15428.5</v>
      </c>
    </row>
    <row r="36" spans="1:7" ht="14.1" customHeight="1">
      <c r="A36" s="19" t="s">
        <v>134</v>
      </c>
      <c r="B36" s="70">
        <v>8.9</v>
      </c>
      <c r="C36" s="70">
        <f>SUM('- 6 -'!B36:H36,B36)</f>
        <v>1636.5</v>
      </c>
      <c r="D36" s="87"/>
      <c r="E36" s="70">
        <f t="shared" si="0"/>
        <v>1636.5</v>
      </c>
    </row>
    <row r="37" spans="1:7" ht="14.1" customHeight="1">
      <c r="A37" s="285" t="s">
        <v>135</v>
      </c>
      <c r="B37" s="292">
        <v>0</v>
      </c>
      <c r="C37" s="292">
        <f>SUM('- 6 -'!B37:H37,B37)</f>
        <v>4103.5</v>
      </c>
      <c r="D37" s="87"/>
      <c r="E37" s="292">
        <f t="shared" si="0"/>
        <v>4103.5</v>
      </c>
    </row>
    <row r="38" spans="1:7" ht="14.1" customHeight="1">
      <c r="A38" s="19" t="s">
        <v>136</v>
      </c>
      <c r="B38" s="70">
        <v>179.2</v>
      </c>
      <c r="C38" s="70">
        <f>SUM('- 6 -'!B38:H38,B38)</f>
        <v>10799.300000000001</v>
      </c>
      <c r="D38" s="87"/>
      <c r="E38" s="70">
        <f t="shared" si="0"/>
        <v>10799.300000000001</v>
      </c>
    </row>
    <row r="39" spans="1:7" ht="14.1" customHeight="1">
      <c r="A39" s="285" t="s">
        <v>137</v>
      </c>
      <c r="B39" s="292">
        <v>47</v>
      </c>
      <c r="C39" s="292">
        <f>SUM('- 6 -'!B39:H39,B39)</f>
        <v>1584.9</v>
      </c>
      <c r="D39" s="87"/>
      <c r="E39" s="292">
        <f t="shared" si="0"/>
        <v>1584.9</v>
      </c>
    </row>
    <row r="40" spans="1:7" ht="14.1" customHeight="1">
      <c r="A40" s="19" t="s">
        <v>138</v>
      </c>
      <c r="B40" s="70">
        <v>281.60000000000002</v>
      </c>
      <c r="C40" s="70">
        <f>SUM('- 6 -'!B40:H40,B40)</f>
        <v>7958.9000000000005</v>
      </c>
      <c r="D40" s="87"/>
      <c r="E40" s="70">
        <f t="shared" si="0"/>
        <v>7958.9000000000005</v>
      </c>
    </row>
    <row r="41" spans="1:7" ht="14.1" customHeight="1">
      <c r="A41" s="285" t="s">
        <v>139</v>
      </c>
      <c r="B41" s="292">
        <v>0</v>
      </c>
      <c r="C41" s="292">
        <f>SUM('- 6 -'!B41:H41,B41)</f>
        <v>4386</v>
      </c>
      <c r="D41" s="87"/>
      <c r="E41" s="292">
        <f t="shared" si="0"/>
        <v>4386</v>
      </c>
    </row>
    <row r="42" spans="1:7" ht="14.1" customHeight="1">
      <c r="A42" s="19" t="s">
        <v>140</v>
      </c>
      <c r="B42" s="70">
        <v>140.6</v>
      </c>
      <c r="C42" s="70">
        <f>SUM('- 6 -'!B42:H42,B42)</f>
        <v>1384.1999999999998</v>
      </c>
      <c r="D42" s="87"/>
      <c r="E42" s="70">
        <f t="shared" si="0"/>
        <v>1384.1999999999998</v>
      </c>
    </row>
    <row r="43" spans="1:7" ht="14.1" customHeight="1">
      <c r="A43" s="285" t="s">
        <v>141</v>
      </c>
      <c r="B43" s="292">
        <v>28.9</v>
      </c>
      <c r="C43" s="292">
        <f>SUM('- 6 -'!B43:H43,B43)</f>
        <v>946.69999999999993</v>
      </c>
      <c r="D43" s="87"/>
      <c r="E43" s="292">
        <f t="shared" si="0"/>
        <v>946.69999999999993</v>
      </c>
    </row>
    <row r="44" spans="1:7" ht="14.1" customHeight="1">
      <c r="A44" s="19" t="s">
        <v>142</v>
      </c>
      <c r="B44" s="70">
        <v>0</v>
      </c>
      <c r="C44" s="70">
        <f>SUM('- 6 -'!B44:H44,B44)</f>
        <v>681</v>
      </c>
      <c r="D44" s="87"/>
      <c r="E44" s="70">
        <f t="shared" si="0"/>
        <v>681</v>
      </c>
    </row>
    <row r="45" spans="1:7" ht="14.1" customHeight="1">
      <c r="A45" s="285" t="s">
        <v>143</v>
      </c>
      <c r="B45" s="292">
        <v>47</v>
      </c>
      <c r="C45" s="292">
        <f>SUM('- 6 -'!B45:H45,B45)</f>
        <v>1660</v>
      </c>
      <c r="D45" s="87"/>
      <c r="E45" s="292">
        <f t="shared" si="0"/>
        <v>1660</v>
      </c>
    </row>
    <row r="46" spans="1:7" ht="14.1" customHeight="1">
      <c r="A46" s="19" t="s">
        <v>144</v>
      </c>
      <c r="B46" s="70">
        <v>893.8</v>
      </c>
      <c r="C46" s="70">
        <f>SUM('- 6 -'!B46:H46,B46)</f>
        <v>29835</v>
      </c>
      <c r="D46" s="87"/>
      <c r="E46" s="70">
        <f t="shared" si="0"/>
        <v>29835</v>
      </c>
    </row>
    <row r="47" spans="1:7" ht="5.0999999999999996" customHeight="1">
      <c r="A47"/>
      <c r="B47"/>
      <c r="C47"/>
      <c r="D47"/>
      <c r="E47"/>
      <c r="F47"/>
      <c r="G47"/>
    </row>
    <row r="48" spans="1:7" ht="14.1" customHeight="1">
      <c r="A48" s="287" t="s">
        <v>145</v>
      </c>
      <c r="B48" s="295">
        <f>SUM(B11:B46)</f>
        <v>4429.0942857142854</v>
      </c>
      <c r="C48" s="295">
        <f>SUM(C11:C46)</f>
        <v>174007.03428571433</v>
      </c>
      <c r="D48" s="88"/>
      <c r="E48" s="295">
        <f>SUM(E11:E46)</f>
        <v>174007.03428571433</v>
      </c>
    </row>
    <row r="49" spans="1:7" ht="5.0999999999999996" customHeight="1">
      <c r="A49" s="21" t="s">
        <v>7</v>
      </c>
      <c r="B49" s="71"/>
      <c r="C49" s="71"/>
      <c r="D49" s="86"/>
      <c r="E49" s="71"/>
    </row>
    <row r="50" spans="1:7" ht="14.1" customHeight="1">
      <c r="A50" s="19" t="s">
        <v>146</v>
      </c>
      <c r="B50" s="70">
        <v>0</v>
      </c>
      <c r="C50" s="70">
        <f>SUM('- 6 -'!B50:H50,B50)</f>
        <v>171</v>
      </c>
      <c r="D50" s="87"/>
      <c r="E50" s="70">
        <f>C50</f>
        <v>171</v>
      </c>
    </row>
    <row r="51" spans="1:7" ht="14.1" customHeight="1">
      <c r="A51" s="285" t="s">
        <v>612</v>
      </c>
      <c r="B51" s="292">
        <v>897.5</v>
      </c>
      <c r="C51" s="292">
        <f>SUM('- 6 -'!B51:H51,B51)</f>
        <v>1016</v>
      </c>
      <c r="D51" s="87"/>
      <c r="E51" s="292">
        <f>C51</f>
        <v>1016</v>
      </c>
    </row>
    <row r="52" spans="1:7" ht="50.1" customHeight="1">
      <c r="A52" s="434"/>
      <c r="B52" s="434"/>
      <c r="C52" s="434"/>
      <c r="D52" s="434"/>
      <c r="E52" s="434"/>
      <c r="F52" s="434"/>
      <c r="G52" s="434"/>
    </row>
    <row r="53" spans="1:7">
      <c r="A53" s="619" t="s">
        <v>459</v>
      </c>
      <c r="B53" s="619"/>
      <c r="C53" s="619"/>
      <c r="D53" s="619"/>
      <c r="E53" s="619"/>
      <c r="F53" s="619"/>
      <c r="G53" s="619"/>
    </row>
    <row r="54" spans="1:7">
      <c r="A54" s="620"/>
      <c r="B54" s="620"/>
      <c r="C54" s="620"/>
      <c r="D54" s="620"/>
      <c r="E54" s="620"/>
      <c r="F54" s="620"/>
      <c r="G54" s="620"/>
    </row>
    <row r="55" spans="1:7">
      <c r="A55" s="25"/>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sheetPr codeName="Sheet45">
    <pageSetUpPr fitToPage="1"/>
  </sheetPr>
  <dimension ref="A1:G54"/>
  <sheetViews>
    <sheetView showGridLines="0" showZeros="0" workbookViewId="0"/>
  </sheetViews>
  <sheetFormatPr defaultColWidth="19.83203125" defaultRowHeight="12"/>
  <cols>
    <col min="1" max="1" width="32.83203125" style="2" customWidth="1"/>
    <col min="2" max="2" width="18.1640625" style="2" customWidth="1"/>
    <col min="3" max="3" width="19.33203125" style="2" customWidth="1"/>
    <col min="4" max="4" width="15" style="2" customWidth="1"/>
    <col min="5" max="6" width="16" style="2" customWidth="1"/>
    <col min="7" max="7" width="15.6640625" style="2" customWidth="1"/>
    <col min="8" max="16384" width="19.83203125" style="2"/>
  </cols>
  <sheetData>
    <row r="1" spans="1:7" ht="6.95" customHeight="1">
      <c r="A1" s="7"/>
      <c r="B1" s="7"/>
      <c r="C1" s="7"/>
      <c r="D1" s="7"/>
      <c r="E1" s="7"/>
      <c r="F1" s="7"/>
      <c r="G1" s="7"/>
    </row>
    <row r="2" spans="1:7" ht="15.95" customHeight="1">
      <c r="A2" s="261"/>
      <c r="B2" s="266" t="str">
        <f>REVYEAR</f>
        <v>ANALYSIS OF OPERATING FUND REVENUE: 2015/2016 ACTUAL</v>
      </c>
      <c r="C2" s="266"/>
      <c r="D2" s="267"/>
      <c r="E2" s="264"/>
      <c r="F2" s="264"/>
      <c r="G2" s="215" t="s">
        <v>98</v>
      </c>
    </row>
    <row r="3" spans="1:7" ht="9.75" customHeight="1">
      <c r="A3" s="539"/>
      <c r="B3" s="7"/>
      <c r="C3" s="7"/>
      <c r="D3" s="7"/>
      <c r="E3" s="7"/>
      <c r="F3" s="7"/>
      <c r="G3" s="7"/>
    </row>
    <row r="4" spans="1:7" ht="15.95" customHeight="1">
      <c r="B4" s="789" t="s">
        <v>576</v>
      </c>
      <c r="C4" s="790"/>
      <c r="D4" s="790"/>
      <c r="E4" s="790"/>
      <c r="F4" s="790"/>
      <c r="G4" s="791"/>
    </row>
    <row r="5" spans="1:7" ht="15.95" customHeight="1">
      <c r="B5" s="792"/>
      <c r="C5" s="793"/>
      <c r="D5" s="793"/>
      <c r="E5" s="793"/>
      <c r="F5" s="793"/>
      <c r="G5" s="794"/>
    </row>
    <row r="6" spans="1:7" ht="15.95" customHeight="1">
      <c r="B6" s="786" t="s">
        <v>51</v>
      </c>
      <c r="C6" s="787"/>
      <c r="D6" s="787"/>
      <c r="E6" s="787"/>
      <c r="F6" s="787"/>
      <c r="G6" s="788"/>
    </row>
    <row r="7" spans="1:7" ht="15.95" customHeight="1">
      <c r="B7" s="220"/>
      <c r="C7" s="795" t="s">
        <v>365</v>
      </c>
      <c r="D7" s="33"/>
      <c r="E7" s="33"/>
      <c r="F7" s="33"/>
      <c r="G7" s="33"/>
    </row>
    <row r="8" spans="1:7" ht="20.25" customHeight="1">
      <c r="A8" s="67"/>
      <c r="B8" s="798" t="s">
        <v>572</v>
      </c>
      <c r="C8" s="796"/>
      <c r="D8" s="535"/>
      <c r="E8" s="800" t="s">
        <v>573</v>
      </c>
      <c r="F8" s="800" t="s">
        <v>574</v>
      </c>
      <c r="G8" s="800" t="s">
        <v>575</v>
      </c>
    </row>
    <row r="9" spans="1:7" ht="13.5">
      <c r="A9" s="35" t="s">
        <v>42</v>
      </c>
      <c r="B9" s="799"/>
      <c r="C9" s="797"/>
      <c r="D9" s="536" t="s">
        <v>388</v>
      </c>
      <c r="E9" s="801"/>
      <c r="F9" s="801"/>
      <c r="G9" s="801"/>
    </row>
    <row r="10" spans="1:7" ht="5.0999999999999996" customHeight="1">
      <c r="A10" s="6"/>
      <c r="E10" s="7"/>
      <c r="F10" s="7"/>
      <c r="G10" s="7"/>
    </row>
    <row r="11" spans="1:7" ht="14.1" customHeight="1">
      <c r="A11" s="355" t="s">
        <v>110</v>
      </c>
      <c r="B11" s="353">
        <v>3063930</v>
      </c>
      <c r="C11" s="353">
        <v>99194</v>
      </c>
      <c r="D11" s="353">
        <v>182507</v>
      </c>
      <c r="E11" s="353">
        <v>95400</v>
      </c>
      <c r="F11" s="353">
        <v>98580</v>
      </c>
      <c r="G11" s="353">
        <v>146280</v>
      </c>
    </row>
    <row r="12" spans="1:7" ht="14.1" customHeight="1">
      <c r="A12" s="237" t="s">
        <v>111</v>
      </c>
      <c r="B12" s="151">
        <v>3863057</v>
      </c>
      <c r="C12" s="151">
        <v>0</v>
      </c>
      <c r="D12" s="151">
        <v>394313</v>
      </c>
      <c r="E12" s="151">
        <v>60141</v>
      </c>
      <c r="F12" s="151">
        <v>124291</v>
      </c>
      <c r="G12" s="151">
        <v>184432</v>
      </c>
    </row>
    <row r="13" spans="1:7" ht="14.1" customHeight="1">
      <c r="A13" s="355" t="s">
        <v>112</v>
      </c>
      <c r="B13" s="353">
        <v>15416591</v>
      </c>
      <c r="C13" s="353">
        <v>0</v>
      </c>
      <c r="D13" s="353">
        <v>118379</v>
      </c>
      <c r="E13" s="353">
        <v>479976</v>
      </c>
      <c r="F13" s="353">
        <v>496024</v>
      </c>
      <c r="G13" s="353">
        <v>736032</v>
      </c>
    </row>
    <row r="14" spans="1:7" ht="14.1" customHeight="1">
      <c r="A14" s="237" t="s">
        <v>359</v>
      </c>
      <c r="B14" s="151">
        <v>9639818</v>
      </c>
      <c r="C14" s="151">
        <v>30697</v>
      </c>
      <c r="D14" s="151">
        <v>761363</v>
      </c>
      <c r="E14" s="151">
        <v>300150</v>
      </c>
      <c r="F14" s="151">
        <v>310155</v>
      </c>
      <c r="G14" s="151">
        <v>460230</v>
      </c>
    </row>
    <row r="15" spans="1:7" ht="14.1" customHeight="1">
      <c r="A15" s="355" t="s">
        <v>113</v>
      </c>
      <c r="B15" s="353">
        <v>2763896</v>
      </c>
      <c r="C15" s="353">
        <v>0</v>
      </c>
      <c r="D15" s="353">
        <v>241638</v>
      </c>
      <c r="E15" s="353">
        <v>86058</v>
      </c>
      <c r="F15" s="353">
        <v>88927</v>
      </c>
      <c r="G15" s="353">
        <v>131956</v>
      </c>
    </row>
    <row r="16" spans="1:7" ht="14.1" customHeight="1">
      <c r="A16" s="237" t="s">
        <v>114</v>
      </c>
      <c r="B16" s="151">
        <v>1727363</v>
      </c>
      <c r="C16" s="151">
        <v>42139</v>
      </c>
      <c r="D16" s="151">
        <v>0</v>
      </c>
      <c r="E16" s="151">
        <v>53784</v>
      </c>
      <c r="F16" s="151">
        <v>55577</v>
      </c>
      <c r="G16" s="151">
        <v>82469</v>
      </c>
    </row>
    <row r="17" spans="1:7" ht="14.1" customHeight="1">
      <c r="A17" s="355" t="s">
        <v>115</v>
      </c>
      <c r="B17" s="353">
        <v>2441124</v>
      </c>
      <c r="C17" s="353">
        <v>11753</v>
      </c>
      <c r="D17" s="353">
        <v>286035</v>
      </c>
      <c r="E17" s="353">
        <v>76008</v>
      </c>
      <c r="F17" s="353">
        <v>78542</v>
      </c>
      <c r="G17" s="353">
        <v>116546</v>
      </c>
    </row>
    <row r="18" spans="1:7" ht="14.1" customHeight="1">
      <c r="A18" s="237" t="s">
        <v>116</v>
      </c>
      <c r="B18" s="151">
        <v>4573349</v>
      </c>
      <c r="C18" s="151">
        <v>0</v>
      </c>
      <c r="D18" s="151">
        <v>1021602</v>
      </c>
      <c r="E18" s="151">
        <v>142398</v>
      </c>
      <c r="F18" s="151">
        <v>147145</v>
      </c>
      <c r="G18" s="151">
        <v>218344</v>
      </c>
    </row>
    <row r="19" spans="1:7" ht="14.1" customHeight="1">
      <c r="A19" s="355" t="s">
        <v>117</v>
      </c>
      <c r="B19" s="353">
        <v>8043876</v>
      </c>
      <c r="C19" s="353">
        <v>25743</v>
      </c>
      <c r="D19" s="353">
        <v>195185</v>
      </c>
      <c r="E19" s="353">
        <v>250458</v>
      </c>
      <c r="F19" s="353">
        <v>258807</v>
      </c>
      <c r="G19" s="353">
        <v>384036</v>
      </c>
    </row>
    <row r="20" spans="1:7" ht="14.1" customHeight="1">
      <c r="A20" s="237" t="s">
        <v>118</v>
      </c>
      <c r="B20" s="151">
        <v>14198329</v>
      </c>
      <c r="C20" s="151">
        <v>0</v>
      </c>
      <c r="D20" s="151">
        <v>256504</v>
      </c>
      <c r="E20" s="151">
        <v>442086</v>
      </c>
      <c r="F20" s="151">
        <v>456822</v>
      </c>
      <c r="G20" s="151">
        <v>677865</v>
      </c>
    </row>
    <row r="21" spans="1:7" ht="14.1" customHeight="1">
      <c r="A21" s="355" t="s">
        <v>119</v>
      </c>
      <c r="B21" s="353">
        <v>5158579</v>
      </c>
      <c r="C21" s="353">
        <v>62805</v>
      </c>
      <c r="D21" s="353">
        <v>481413</v>
      </c>
      <c r="E21" s="353">
        <v>149619</v>
      </c>
      <c r="F21" s="353">
        <v>165974</v>
      </c>
      <c r="G21" s="353">
        <v>246284</v>
      </c>
    </row>
    <row r="22" spans="1:7" ht="14.1" customHeight="1">
      <c r="A22" s="237" t="s">
        <v>120</v>
      </c>
      <c r="B22" s="151">
        <v>2951971</v>
      </c>
      <c r="C22" s="151">
        <v>0</v>
      </c>
      <c r="D22" s="151">
        <v>24882</v>
      </c>
      <c r="E22" s="151">
        <v>91914</v>
      </c>
      <c r="F22" s="151">
        <v>94978</v>
      </c>
      <c r="G22" s="151">
        <v>140935</v>
      </c>
    </row>
    <row r="23" spans="1:7" ht="14.1" customHeight="1">
      <c r="A23" s="355" t="s">
        <v>121</v>
      </c>
      <c r="B23" s="353">
        <v>1956098</v>
      </c>
      <c r="C23" s="353">
        <v>0</v>
      </c>
      <c r="D23" s="353">
        <v>379168</v>
      </c>
      <c r="E23" s="353">
        <v>60906</v>
      </c>
      <c r="F23" s="353">
        <v>62936</v>
      </c>
      <c r="G23" s="353">
        <v>93389</v>
      </c>
    </row>
    <row r="24" spans="1:7" ht="14.1" customHeight="1">
      <c r="A24" s="237" t="s">
        <v>122</v>
      </c>
      <c r="B24" s="151">
        <v>7652502</v>
      </c>
      <c r="C24" s="151">
        <v>0</v>
      </c>
      <c r="D24" s="151">
        <v>348139</v>
      </c>
      <c r="E24" s="151">
        <v>238272</v>
      </c>
      <c r="F24" s="151">
        <v>246214</v>
      </c>
      <c r="G24" s="151">
        <v>365350</v>
      </c>
    </row>
    <row r="25" spans="1:7" ht="14.1" customHeight="1">
      <c r="A25" s="355" t="s">
        <v>123</v>
      </c>
      <c r="B25" s="353">
        <v>26291988</v>
      </c>
      <c r="C25" s="353">
        <v>11114</v>
      </c>
      <c r="D25" s="353">
        <v>0</v>
      </c>
      <c r="E25" s="353">
        <v>818640</v>
      </c>
      <c r="F25" s="353">
        <v>845928</v>
      </c>
      <c r="G25" s="353">
        <v>1255248</v>
      </c>
    </row>
    <row r="26" spans="1:7" ht="14.1" customHeight="1">
      <c r="A26" s="237" t="s">
        <v>124</v>
      </c>
      <c r="B26" s="151">
        <v>5633777</v>
      </c>
      <c r="C26" s="151">
        <v>0</v>
      </c>
      <c r="D26" s="151">
        <v>572586</v>
      </c>
      <c r="E26" s="151">
        <v>175416</v>
      </c>
      <c r="F26" s="151">
        <v>181263</v>
      </c>
      <c r="G26" s="151">
        <v>268971</v>
      </c>
    </row>
    <row r="27" spans="1:7" ht="14.1" customHeight="1">
      <c r="A27" s="355" t="s">
        <v>125</v>
      </c>
      <c r="B27" s="353">
        <v>5369586</v>
      </c>
      <c r="C27" s="353">
        <v>0</v>
      </c>
      <c r="D27" s="353">
        <v>0</v>
      </c>
      <c r="E27" s="353">
        <v>167190</v>
      </c>
      <c r="F27" s="353">
        <v>172763</v>
      </c>
      <c r="G27" s="353">
        <v>256358</v>
      </c>
    </row>
    <row r="28" spans="1:7" ht="14.1" customHeight="1">
      <c r="A28" s="237" t="s">
        <v>126</v>
      </c>
      <c r="B28" s="151">
        <v>2907843</v>
      </c>
      <c r="C28" s="151">
        <v>25779</v>
      </c>
      <c r="D28" s="151">
        <v>517261</v>
      </c>
      <c r="E28" s="151">
        <v>90540</v>
      </c>
      <c r="F28" s="151">
        <v>93558</v>
      </c>
      <c r="G28" s="151">
        <v>138828</v>
      </c>
    </row>
    <row r="29" spans="1:7" ht="14.1" customHeight="1">
      <c r="A29" s="355" t="s">
        <v>127</v>
      </c>
      <c r="B29" s="353">
        <v>23683367</v>
      </c>
      <c r="C29" s="353">
        <v>9380</v>
      </c>
      <c r="D29" s="353">
        <v>0</v>
      </c>
      <c r="E29" s="353">
        <v>737442</v>
      </c>
      <c r="F29" s="353">
        <v>762023</v>
      </c>
      <c r="G29" s="353">
        <v>1130744</v>
      </c>
    </row>
    <row r="30" spans="1:7" ht="14.1" customHeight="1">
      <c r="A30" s="237" t="s">
        <v>128</v>
      </c>
      <c r="B30" s="151">
        <v>2010825</v>
      </c>
      <c r="C30" s="151">
        <v>59628</v>
      </c>
      <c r="D30" s="151">
        <v>315739</v>
      </c>
      <c r="E30" s="151">
        <v>62610</v>
      </c>
      <c r="F30" s="151">
        <v>64697</v>
      </c>
      <c r="G30" s="151">
        <v>96002</v>
      </c>
    </row>
    <row r="31" spans="1:7" ht="14.1" customHeight="1">
      <c r="A31" s="355" t="s">
        <v>129</v>
      </c>
      <c r="B31" s="353">
        <v>5981023</v>
      </c>
      <c r="C31" s="353">
        <v>0</v>
      </c>
      <c r="D31" s="353">
        <v>196820</v>
      </c>
      <c r="E31" s="353">
        <v>176958</v>
      </c>
      <c r="F31" s="353">
        <v>192436</v>
      </c>
      <c r="G31" s="353">
        <v>285550</v>
      </c>
    </row>
    <row r="32" spans="1:7" ht="14.1" customHeight="1">
      <c r="A32" s="237" t="s">
        <v>130</v>
      </c>
      <c r="B32" s="151">
        <v>4017795</v>
      </c>
      <c r="C32" s="151">
        <v>0</v>
      </c>
      <c r="D32" s="151">
        <v>613965</v>
      </c>
      <c r="E32" s="151">
        <v>125100</v>
      </c>
      <c r="F32" s="151">
        <v>129270</v>
      </c>
      <c r="G32" s="151">
        <v>191820</v>
      </c>
    </row>
    <row r="33" spans="1:7" ht="14.1" customHeight="1">
      <c r="A33" s="355" t="s">
        <v>131</v>
      </c>
      <c r="B33" s="353">
        <v>3816038</v>
      </c>
      <c r="C33" s="353">
        <v>38589</v>
      </c>
      <c r="D33" s="353">
        <v>796069</v>
      </c>
      <c r="E33" s="353">
        <v>118818</v>
      </c>
      <c r="F33" s="353">
        <v>122779</v>
      </c>
      <c r="G33" s="353">
        <v>182188</v>
      </c>
    </row>
    <row r="34" spans="1:7" ht="14.1" customHeight="1">
      <c r="A34" s="237" t="s">
        <v>132</v>
      </c>
      <c r="B34" s="151">
        <v>3845136</v>
      </c>
      <c r="C34" s="151">
        <v>82075</v>
      </c>
      <c r="D34" s="151">
        <v>580983</v>
      </c>
      <c r="E34" s="151">
        <v>99821</v>
      </c>
      <c r="F34" s="151">
        <v>123715</v>
      </c>
      <c r="G34" s="151">
        <v>183577</v>
      </c>
    </row>
    <row r="35" spans="1:7" ht="14.1" customHeight="1">
      <c r="A35" s="355" t="s">
        <v>133</v>
      </c>
      <c r="B35" s="353">
        <v>29582533</v>
      </c>
      <c r="C35" s="353">
        <v>0</v>
      </c>
      <c r="D35" s="353">
        <v>0</v>
      </c>
      <c r="E35" s="353">
        <v>921096</v>
      </c>
      <c r="F35" s="353">
        <v>951799</v>
      </c>
      <c r="G35" s="353">
        <v>1412347</v>
      </c>
    </row>
    <row r="36" spans="1:7" ht="14.1" customHeight="1">
      <c r="A36" s="237" t="s">
        <v>134</v>
      </c>
      <c r="B36" s="151">
        <v>2935206</v>
      </c>
      <c r="C36" s="151">
        <v>77406</v>
      </c>
      <c r="D36" s="151">
        <v>443409</v>
      </c>
      <c r="E36" s="151">
        <v>91392</v>
      </c>
      <c r="F36" s="151">
        <v>94438</v>
      </c>
      <c r="G36" s="151">
        <v>140134</v>
      </c>
    </row>
    <row r="37" spans="1:7" ht="14.1" customHeight="1">
      <c r="A37" s="355" t="s">
        <v>135</v>
      </c>
      <c r="B37" s="353">
        <v>7608760</v>
      </c>
      <c r="C37" s="353">
        <v>0</v>
      </c>
      <c r="D37" s="353">
        <v>452878</v>
      </c>
      <c r="E37" s="353">
        <v>236910</v>
      </c>
      <c r="F37" s="353">
        <v>244807</v>
      </c>
      <c r="G37" s="353">
        <v>363262</v>
      </c>
    </row>
    <row r="38" spans="1:7" ht="14.1" customHeight="1">
      <c r="A38" s="237" t="s">
        <v>136</v>
      </c>
      <c r="B38" s="151">
        <v>20104776</v>
      </c>
      <c r="C38" s="151">
        <v>0</v>
      </c>
      <c r="D38" s="151">
        <v>0</v>
      </c>
      <c r="E38" s="151">
        <v>625292</v>
      </c>
      <c r="F38" s="151">
        <v>646858</v>
      </c>
      <c r="G38" s="151">
        <v>959854</v>
      </c>
    </row>
    <row r="39" spans="1:7" ht="14.1" customHeight="1">
      <c r="A39" s="355" t="s">
        <v>137</v>
      </c>
      <c r="B39" s="353">
        <v>2969892</v>
      </c>
      <c r="C39" s="353">
        <v>0</v>
      </c>
      <c r="D39" s="353">
        <v>520278</v>
      </c>
      <c r="E39" s="353">
        <v>92472</v>
      </c>
      <c r="F39" s="353">
        <v>95554</v>
      </c>
      <c r="G39" s="353">
        <v>141790</v>
      </c>
    </row>
    <row r="40" spans="1:7" ht="14.1" customHeight="1">
      <c r="A40" s="237" t="s">
        <v>138</v>
      </c>
      <c r="B40" s="151">
        <v>15030215</v>
      </c>
      <c r="C40" s="151">
        <v>0</v>
      </c>
      <c r="D40" s="151">
        <v>0</v>
      </c>
      <c r="E40" s="151">
        <v>467988</v>
      </c>
      <c r="F40" s="151">
        <v>483588</v>
      </c>
      <c r="G40" s="151">
        <v>717582</v>
      </c>
    </row>
    <row r="41" spans="1:7" ht="14.1" customHeight="1">
      <c r="A41" s="355" t="s">
        <v>139</v>
      </c>
      <c r="B41" s="353">
        <v>8290642</v>
      </c>
      <c r="C41" s="353">
        <v>0</v>
      </c>
      <c r="D41" s="353">
        <v>492156</v>
      </c>
      <c r="E41" s="353">
        <v>258192</v>
      </c>
      <c r="F41" s="353">
        <v>266798</v>
      </c>
      <c r="G41" s="353">
        <v>395894</v>
      </c>
    </row>
    <row r="42" spans="1:7" ht="14.1" customHeight="1">
      <c r="A42" s="237" t="s">
        <v>140</v>
      </c>
      <c r="B42" s="151">
        <v>2643073</v>
      </c>
      <c r="C42" s="151">
        <v>0</v>
      </c>
      <c r="D42" s="151">
        <v>279068</v>
      </c>
      <c r="E42" s="151">
        <v>82296</v>
      </c>
      <c r="F42" s="151">
        <v>85039</v>
      </c>
      <c r="G42" s="151">
        <v>126187</v>
      </c>
    </row>
    <row r="43" spans="1:7" ht="14.1" customHeight="1">
      <c r="A43" s="355" t="s">
        <v>141</v>
      </c>
      <c r="B43" s="353">
        <v>1850305</v>
      </c>
      <c r="C43" s="353">
        <v>49372</v>
      </c>
      <c r="D43" s="353">
        <v>249918</v>
      </c>
      <c r="E43" s="353">
        <v>57612</v>
      </c>
      <c r="F43" s="353">
        <v>59532</v>
      </c>
      <c r="G43" s="353">
        <v>88338</v>
      </c>
    </row>
    <row r="44" spans="1:7" ht="14.1" customHeight="1">
      <c r="A44" s="237" t="s">
        <v>142</v>
      </c>
      <c r="B44" s="151">
        <v>1344468</v>
      </c>
      <c r="C44" s="151">
        <v>38589</v>
      </c>
      <c r="D44" s="151">
        <v>299197</v>
      </c>
      <c r="E44" s="151">
        <v>41862</v>
      </c>
      <c r="F44" s="151">
        <v>43257</v>
      </c>
      <c r="G44" s="151">
        <v>64188</v>
      </c>
    </row>
    <row r="45" spans="1:7" ht="14.1" customHeight="1">
      <c r="A45" s="355" t="s">
        <v>143</v>
      </c>
      <c r="B45" s="353">
        <v>3071638</v>
      </c>
      <c r="C45" s="353">
        <v>0</v>
      </c>
      <c r="D45" s="353">
        <v>15347</v>
      </c>
      <c r="E45" s="353">
        <v>95640</v>
      </c>
      <c r="F45" s="353">
        <v>98828</v>
      </c>
      <c r="G45" s="353">
        <v>146648</v>
      </c>
    </row>
    <row r="46" spans="1:7" ht="14.1" customHeight="1">
      <c r="A46" s="237" t="s">
        <v>144</v>
      </c>
      <c r="B46" s="151">
        <v>56991603</v>
      </c>
      <c r="C46" s="151">
        <v>0</v>
      </c>
      <c r="D46" s="151">
        <v>0</v>
      </c>
      <c r="E46" s="151">
        <v>1815558</v>
      </c>
      <c r="F46" s="151">
        <v>1833669</v>
      </c>
      <c r="G46" s="151">
        <v>2720928</v>
      </c>
    </row>
    <row r="47" spans="1:7" ht="5.0999999999999996" customHeight="1">
      <c r="A47" s="130"/>
      <c r="B47" s="152"/>
      <c r="C47" s="152"/>
      <c r="D47" s="152"/>
      <c r="E47" s="152"/>
      <c r="F47" s="152"/>
      <c r="G47" s="152"/>
    </row>
    <row r="48" spans="1:7" ht="14.1" customHeight="1">
      <c r="A48" s="356" t="s">
        <v>145</v>
      </c>
      <c r="B48" s="357">
        <f t="shared" ref="B48:G48" si="0">SUM(B11:B46)</f>
        <v>319430972</v>
      </c>
      <c r="C48" s="357">
        <f t="shared" si="0"/>
        <v>664263</v>
      </c>
      <c r="D48" s="357">
        <f t="shared" si="0"/>
        <v>11036802</v>
      </c>
      <c r="E48" s="357">
        <f t="shared" si="0"/>
        <v>9886015</v>
      </c>
      <c r="F48" s="357">
        <f t="shared" si="0"/>
        <v>10277571</v>
      </c>
      <c r="G48" s="357">
        <f t="shared" si="0"/>
        <v>15250586</v>
      </c>
    </row>
    <row r="49" spans="1:7" ht="5.0999999999999996" customHeight="1">
      <c r="A49" s="130" t="s">
        <v>7</v>
      </c>
      <c r="B49" s="152"/>
      <c r="C49" s="152"/>
      <c r="D49" s="152"/>
      <c r="E49" s="152"/>
      <c r="F49" s="152"/>
      <c r="G49" s="152"/>
    </row>
    <row r="50" spans="1:7" ht="14.1" customHeight="1">
      <c r="A50" s="237" t="s">
        <v>146</v>
      </c>
      <c r="B50" s="151">
        <v>202794</v>
      </c>
      <c r="C50" s="151">
        <v>47206</v>
      </c>
      <c r="D50" s="151">
        <v>0</v>
      </c>
      <c r="E50" s="151">
        <v>9864</v>
      </c>
      <c r="F50" s="151">
        <v>10193</v>
      </c>
      <c r="G50" s="151">
        <v>15125</v>
      </c>
    </row>
    <row r="51" spans="1:7" ht="14.1" customHeight="1">
      <c r="A51" s="355" t="s">
        <v>612</v>
      </c>
      <c r="B51" s="353">
        <v>0</v>
      </c>
      <c r="C51" s="353">
        <v>0</v>
      </c>
      <c r="D51" s="353">
        <v>0</v>
      </c>
      <c r="E51" s="353">
        <v>0</v>
      </c>
      <c r="F51" s="353">
        <v>0</v>
      </c>
      <c r="G51" s="353">
        <v>0</v>
      </c>
    </row>
    <row r="52" spans="1:7" ht="50.1" customHeight="1">
      <c r="A52" s="23"/>
      <c r="B52" s="23"/>
      <c r="C52" s="23"/>
      <c r="D52" s="23"/>
      <c r="E52" s="23"/>
      <c r="F52" s="23"/>
      <c r="G52" s="23"/>
    </row>
    <row r="53" spans="1:7" ht="15" customHeight="1">
      <c r="A53" s="38" t="str">
        <f>"(1)  Based on a grant per eligible pupil at "&amp;Data!C89&amp;" "&amp;Data!B89</f>
        <v>(1)  Based on a grant per eligible pupil at September 30, 2014</v>
      </c>
      <c r="D53" s="38"/>
      <c r="E53" s="38"/>
      <c r="F53" s="38"/>
      <c r="G53" s="38"/>
    </row>
    <row r="54" spans="1:7" ht="12" customHeight="1">
      <c r="A54" s="38" t="s">
        <v>357</v>
      </c>
      <c r="D54" s="38"/>
      <c r="E54" s="38"/>
      <c r="F54" s="38"/>
      <c r="G54" s="38"/>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sheetPr codeName="Sheet451">
    <pageSetUpPr fitToPage="1"/>
  </sheetPr>
  <dimension ref="A1:G54"/>
  <sheetViews>
    <sheetView showGridLines="0" showZeros="0" workbookViewId="0"/>
  </sheetViews>
  <sheetFormatPr defaultColWidth="19.83203125" defaultRowHeight="12"/>
  <cols>
    <col min="1" max="1" width="32.83203125" style="2" customWidth="1"/>
    <col min="2" max="2" width="16.33203125" style="2" customWidth="1"/>
    <col min="3" max="3" width="16.6640625" style="2" customWidth="1"/>
    <col min="4" max="4" width="18.33203125" style="2" customWidth="1"/>
    <col min="5" max="5" width="15.83203125" style="2" customWidth="1"/>
    <col min="6" max="6" width="15.1640625" style="2" customWidth="1"/>
    <col min="7" max="7" width="15.83203125" style="2" customWidth="1"/>
    <col min="8" max="16384" width="19.83203125" style="2"/>
  </cols>
  <sheetData>
    <row r="1" spans="1:7" ht="6.95" customHeight="1">
      <c r="A1" s="7"/>
      <c r="B1" s="7"/>
      <c r="C1" s="7"/>
      <c r="D1" s="7"/>
      <c r="E1" s="7"/>
      <c r="F1" s="7"/>
      <c r="G1" s="7"/>
    </row>
    <row r="2" spans="1:7" ht="15.95" customHeight="1">
      <c r="A2" s="261"/>
      <c r="B2" s="266" t="str">
        <f>REVYEAR</f>
        <v>ANALYSIS OF OPERATING FUND REVENUE: 2015/2016 ACTUAL</v>
      </c>
      <c r="C2" s="267"/>
      <c r="D2" s="264"/>
      <c r="E2" s="264"/>
      <c r="F2" s="268"/>
      <c r="G2" s="215" t="s">
        <v>99</v>
      </c>
    </row>
    <row r="3" spans="1:7" ht="15.95" customHeight="1">
      <c r="A3" s="539"/>
      <c r="B3" s="205"/>
      <c r="C3" s="7"/>
      <c r="D3" s="7"/>
      <c r="E3" s="7"/>
      <c r="F3" s="7"/>
      <c r="G3" s="7"/>
    </row>
    <row r="4" spans="1:7" ht="15.95" customHeight="1">
      <c r="B4" s="802" t="s">
        <v>581</v>
      </c>
      <c r="C4" s="790"/>
      <c r="D4" s="790"/>
      <c r="E4" s="790"/>
      <c r="F4" s="790"/>
      <c r="G4" s="791"/>
    </row>
    <row r="5" spans="1:7" ht="15.95" customHeight="1">
      <c r="B5" s="792"/>
      <c r="C5" s="793"/>
      <c r="D5" s="793"/>
      <c r="E5" s="793"/>
      <c r="F5" s="793"/>
      <c r="G5" s="794"/>
    </row>
    <row r="6" spans="1:7" ht="15.95" customHeight="1">
      <c r="B6" s="803" t="s">
        <v>51</v>
      </c>
      <c r="C6" s="804"/>
      <c r="D6" s="804"/>
      <c r="E6" s="804"/>
      <c r="F6" s="804"/>
      <c r="G6" s="805"/>
    </row>
    <row r="7" spans="1:7" ht="15.95" customHeight="1">
      <c r="B7" s="220"/>
      <c r="C7" s="33"/>
      <c r="D7" s="33"/>
      <c r="E7" s="33"/>
      <c r="F7" s="33"/>
      <c r="G7" s="697" t="s">
        <v>580</v>
      </c>
    </row>
    <row r="8" spans="1:7" ht="15.95" customHeight="1">
      <c r="A8" s="67"/>
      <c r="B8" s="798" t="s">
        <v>617</v>
      </c>
      <c r="C8" s="800" t="s">
        <v>577</v>
      </c>
      <c r="D8" s="800" t="s">
        <v>578</v>
      </c>
      <c r="E8" s="800" t="s">
        <v>579</v>
      </c>
      <c r="F8" s="269"/>
      <c r="G8" s="800"/>
    </row>
    <row r="9" spans="1:7" ht="15.95" customHeight="1">
      <c r="A9" s="35" t="s">
        <v>42</v>
      </c>
      <c r="B9" s="799"/>
      <c r="C9" s="801"/>
      <c r="D9" s="801"/>
      <c r="E9" s="801"/>
      <c r="F9" s="83" t="s">
        <v>66</v>
      </c>
      <c r="G9" s="801"/>
    </row>
    <row r="10" spans="1:7" ht="5.0999999999999996" customHeight="1">
      <c r="A10" s="6"/>
      <c r="B10" s="7"/>
      <c r="F10" s="7"/>
      <c r="G10" s="7"/>
    </row>
    <row r="11" spans="1:7" ht="14.1" customHeight="1">
      <c r="A11" s="355" t="s">
        <v>110</v>
      </c>
      <c r="B11" s="353">
        <v>499790</v>
      </c>
      <c r="C11" s="353">
        <v>131970</v>
      </c>
      <c r="D11" s="353">
        <v>73140</v>
      </c>
      <c r="E11" s="353">
        <v>31375</v>
      </c>
      <c r="F11" s="353">
        <v>884925</v>
      </c>
      <c r="G11" s="353">
        <f>SUM('- 57 -'!$B11:G11,B11:F11)</f>
        <v>5307091</v>
      </c>
    </row>
    <row r="12" spans="1:7" ht="14.1" customHeight="1">
      <c r="A12" s="237" t="s">
        <v>111</v>
      </c>
      <c r="B12" s="151">
        <v>665467</v>
      </c>
      <c r="C12" s="151">
        <v>166390</v>
      </c>
      <c r="D12" s="151">
        <v>92216</v>
      </c>
      <c r="E12" s="151">
        <v>43625</v>
      </c>
      <c r="F12" s="151">
        <v>1231200</v>
      </c>
      <c r="G12" s="151">
        <f>SUM('- 57 -'!$B12:G12,B12:F12)</f>
        <v>6825132</v>
      </c>
    </row>
    <row r="13" spans="1:7" ht="14.1" customHeight="1">
      <c r="A13" s="355" t="s">
        <v>112</v>
      </c>
      <c r="B13" s="353">
        <v>2713869</v>
      </c>
      <c r="C13" s="353">
        <v>664023</v>
      </c>
      <c r="D13" s="353">
        <v>368017</v>
      </c>
      <c r="E13" s="353">
        <v>191502</v>
      </c>
      <c r="F13" s="353">
        <v>3027548</v>
      </c>
      <c r="G13" s="353">
        <f>SUM('- 57 -'!$B13:G13,B13:F13)</f>
        <v>24211961</v>
      </c>
    </row>
    <row r="14" spans="1:7" ht="14.1" customHeight="1">
      <c r="A14" s="237" t="s">
        <v>359</v>
      </c>
      <c r="B14" s="151">
        <v>1588790</v>
      </c>
      <c r="C14" s="151">
        <v>415208</v>
      </c>
      <c r="D14" s="151">
        <v>195098</v>
      </c>
      <c r="E14" s="151">
        <v>80250</v>
      </c>
      <c r="F14" s="151">
        <v>2611170</v>
      </c>
      <c r="G14" s="151">
        <f>SUM('- 57 -'!$B14:G14,B14:F14)</f>
        <v>16392929</v>
      </c>
    </row>
    <row r="15" spans="1:7" ht="14.1" customHeight="1">
      <c r="A15" s="355" t="s">
        <v>113</v>
      </c>
      <c r="B15" s="353">
        <v>473806</v>
      </c>
      <c r="C15" s="353">
        <v>119047</v>
      </c>
      <c r="D15" s="353">
        <v>55938</v>
      </c>
      <c r="E15" s="353">
        <v>32000</v>
      </c>
      <c r="F15" s="353">
        <v>856710</v>
      </c>
      <c r="G15" s="353">
        <f>SUM('- 57 -'!$B15:G15,B15:F15)</f>
        <v>4849976</v>
      </c>
    </row>
    <row r="16" spans="1:7" ht="14.1" customHeight="1">
      <c r="A16" s="237" t="s">
        <v>114</v>
      </c>
      <c r="B16" s="151">
        <v>317264</v>
      </c>
      <c r="C16" s="151">
        <v>74401</v>
      </c>
      <c r="D16" s="151">
        <v>45716</v>
      </c>
      <c r="E16" s="151">
        <v>24375</v>
      </c>
      <c r="F16" s="151">
        <v>601920</v>
      </c>
      <c r="G16" s="151">
        <f>SUM('- 57 -'!$B16:G16,B16:F16)</f>
        <v>3025008</v>
      </c>
    </row>
    <row r="17" spans="1:7" ht="14.1" customHeight="1">
      <c r="A17" s="355" t="s">
        <v>115</v>
      </c>
      <c r="B17" s="353">
        <v>395350</v>
      </c>
      <c r="C17" s="353">
        <v>105144</v>
      </c>
      <c r="D17" s="353">
        <v>58273</v>
      </c>
      <c r="E17" s="353">
        <v>27000</v>
      </c>
      <c r="F17" s="353">
        <v>855855</v>
      </c>
      <c r="G17" s="353">
        <f>SUM('- 57 -'!$B17:G17,B17:F17)</f>
        <v>4451630</v>
      </c>
    </row>
    <row r="18" spans="1:7" ht="14.1" customHeight="1">
      <c r="A18" s="237" t="s">
        <v>116</v>
      </c>
      <c r="B18" s="151">
        <v>1374866</v>
      </c>
      <c r="C18" s="151">
        <v>196984</v>
      </c>
      <c r="D18" s="151">
        <v>92559</v>
      </c>
      <c r="E18" s="151">
        <v>35250</v>
      </c>
      <c r="F18" s="151">
        <v>4072365</v>
      </c>
      <c r="G18" s="151">
        <f>SUM('- 57 -'!$B18:G18,B18:F18)</f>
        <v>11874862</v>
      </c>
    </row>
    <row r="19" spans="1:7" ht="14.1" customHeight="1">
      <c r="A19" s="355" t="s">
        <v>117</v>
      </c>
      <c r="B19" s="353">
        <v>1336203</v>
      </c>
      <c r="C19" s="353">
        <v>346467</v>
      </c>
      <c r="D19" s="353">
        <v>192018</v>
      </c>
      <c r="E19" s="353">
        <v>86013</v>
      </c>
      <c r="F19" s="353">
        <v>1710000</v>
      </c>
      <c r="G19" s="353">
        <f>SUM('- 57 -'!$B19:G19,B19:F19)</f>
        <v>12828806</v>
      </c>
    </row>
    <row r="20" spans="1:7" ht="14.1" customHeight="1">
      <c r="A20" s="237" t="s">
        <v>118</v>
      </c>
      <c r="B20" s="151">
        <v>2434422</v>
      </c>
      <c r="C20" s="151">
        <v>611552</v>
      </c>
      <c r="D20" s="151">
        <v>287356</v>
      </c>
      <c r="E20" s="151">
        <v>150263</v>
      </c>
      <c r="F20" s="151">
        <v>2827485</v>
      </c>
      <c r="G20" s="151">
        <f>SUM('- 57 -'!$B20:G20,B20:F20)</f>
        <v>22342684</v>
      </c>
    </row>
    <row r="21" spans="1:7" ht="14.1" customHeight="1">
      <c r="A21" s="355" t="s">
        <v>119</v>
      </c>
      <c r="B21" s="353">
        <v>866287</v>
      </c>
      <c r="C21" s="353">
        <v>222191</v>
      </c>
      <c r="D21" s="353">
        <v>104403</v>
      </c>
      <c r="E21" s="353">
        <v>58000</v>
      </c>
      <c r="F21" s="353">
        <v>1550115</v>
      </c>
      <c r="G21" s="353">
        <f>SUM('- 57 -'!$B21:G21,B21:F21)</f>
        <v>9065670</v>
      </c>
    </row>
    <row r="22" spans="1:7" ht="14.1" customHeight="1">
      <c r="A22" s="237" t="s">
        <v>120</v>
      </c>
      <c r="B22" s="151">
        <v>538355</v>
      </c>
      <c r="C22" s="151">
        <v>127148</v>
      </c>
      <c r="D22" s="151">
        <v>78127</v>
      </c>
      <c r="E22" s="151">
        <v>31125</v>
      </c>
      <c r="F22" s="151">
        <v>955890</v>
      </c>
      <c r="G22" s="151">
        <f>SUM('- 57 -'!$B22:G22,B22:F22)</f>
        <v>5035325</v>
      </c>
    </row>
    <row r="23" spans="1:7" ht="14.1" customHeight="1">
      <c r="A23" s="355" t="s">
        <v>121</v>
      </c>
      <c r="B23" s="353">
        <v>368044</v>
      </c>
      <c r="C23" s="353">
        <v>84253</v>
      </c>
      <c r="D23" s="353">
        <v>46695</v>
      </c>
      <c r="E23" s="353">
        <v>19250</v>
      </c>
      <c r="F23" s="353">
        <v>805410</v>
      </c>
      <c r="G23" s="353">
        <f>SUM('- 57 -'!$B23:G23,B23:F23)</f>
        <v>3876149</v>
      </c>
    </row>
    <row r="24" spans="1:7" ht="14.1" customHeight="1">
      <c r="A24" s="237" t="s">
        <v>122</v>
      </c>
      <c r="B24" s="151">
        <v>1329178</v>
      </c>
      <c r="C24" s="151">
        <v>329610</v>
      </c>
      <c r="D24" s="151">
        <v>154877</v>
      </c>
      <c r="E24" s="151">
        <v>98125</v>
      </c>
      <c r="F24" s="151">
        <v>2028915</v>
      </c>
      <c r="G24" s="151">
        <f>SUM('- 57 -'!$B24:G24,B24:F24)</f>
        <v>12791182</v>
      </c>
    </row>
    <row r="25" spans="1:7" ht="14.1" customHeight="1">
      <c r="A25" s="355" t="s">
        <v>123</v>
      </c>
      <c r="B25" s="353">
        <v>4747619</v>
      </c>
      <c r="C25" s="353">
        <v>1132452</v>
      </c>
      <c r="D25" s="353">
        <v>532116</v>
      </c>
      <c r="E25" s="353">
        <v>301875</v>
      </c>
      <c r="F25" s="353">
        <v>6413355</v>
      </c>
      <c r="G25" s="353">
        <f>SUM('- 57 -'!$B25:G25,B25:F25)</f>
        <v>42350335</v>
      </c>
    </row>
    <row r="26" spans="1:7" ht="14.1" customHeight="1">
      <c r="A26" s="237" t="s">
        <v>124</v>
      </c>
      <c r="B26" s="151">
        <v>1008675</v>
      </c>
      <c r="C26" s="151">
        <v>242659</v>
      </c>
      <c r="D26" s="151">
        <v>134486</v>
      </c>
      <c r="E26" s="151">
        <v>67163</v>
      </c>
      <c r="F26" s="151">
        <v>2299950</v>
      </c>
      <c r="G26" s="151">
        <f>SUM('- 57 -'!$B26:G26,B26:F26)</f>
        <v>10584946</v>
      </c>
    </row>
    <row r="27" spans="1:7" ht="14.1" customHeight="1">
      <c r="A27" s="355" t="s">
        <v>125</v>
      </c>
      <c r="B27" s="353">
        <v>1053011</v>
      </c>
      <c r="C27" s="353">
        <v>231280</v>
      </c>
      <c r="D27" s="353">
        <v>142112</v>
      </c>
      <c r="E27" s="353">
        <v>55750</v>
      </c>
      <c r="F27" s="353">
        <v>1307295</v>
      </c>
      <c r="G27" s="353">
        <f>SUM('- 57 -'!$B27:G27,B27:F27)</f>
        <v>8755345</v>
      </c>
    </row>
    <row r="28" spans="1:7" ht="14.1" customHeight="1">
      <c r="A28" s="237" t="s">
        <v>126</v>
      </c>
      <c r="B28" s="151">
        <v>487253</v>
      </c>
      <c r="C28" s="151">
        <v>125247</v>
      </c>
      <c r="D28" s="151">
        <v>69414</v>
      </c>
      <c r="E28" s="151">
        <v>33750</v>
      </c>
      <c r="F28" s="151">
        <v>1288485</v>
      </c>
      <c r="G28" s="151">
        <f>SUM('- 57 -'!$B28:G28,B28:F28)</f>
        <v>5777958</v>
      </c>
    </row>
    <row r="29" spans="1:7" ht="14.1" customHeight="1">
      <c r="A29" s="355" t="s">
        <v>127</v>
      </c>
      <c r="B29" s="353">
        <v>3980707</v>
      </c>
      <c r="C29" s="353">
        <v>1020128</v>
      </c>
      <c r="D29" s="353">
        <v>479337</v>
      </c>
      <c r="E29" s="353">
        <v>277038</v>
      </c>
      <c r="F29" s="353">
        <v>4951305</v>
      </c>
      <c r="G29" s="353">
        <f>SUM('- 57 -'!$B29:G29,B29:F29)</f>
        <v>37031471</v>
      </c>
    </row>
    <row r="30" spans="1:7" ht="14.1" customHeight="1">
      <c r="A30" s="237" t="s">
        <v>128</v>
      </c>
      <c r="B30" s="151">
        <v>344090</v>
      </c>
      <c r="C30" s="151">
        <v>86611</v>
      </c>
      <c r="D30" s="151">
        <v>48001</v>
      </c>
      <c r="E30" s="151">
        <v>24625</v>
      </c>
      <c r="F30" s="151">
        <v>791730</v>
      </c>
      <c r="G30" s="151">
        <f>SUM('- 57 -'!$B30:G30,B30:F30)</f>
        <v>3904558</v>
      </c>
    </row>
    <row r="31" spans="1:7" ht="14.1" customHeight="1">
      <c r="A31" s="355" t="s">
        <v>129</v>
      </c>
      <c r="B31" s="353">
        <v>1111169</v>
      </c>
      <c r="C31" s="353">
        <v>257615</v>
      </c>
      <c r="D31" s="353">
        <v>121048</v>
      </c>
      <c r="E31" s="353">
        <v>70750</v>
      </c>
      <c r="F31" s="353">
        <v>1816875</v>
      </c>
      <c r="G31" s="353">
        <f>SUM('- 57 -'!$B31:G31,B31:F31)</f>
        <v>10210244</v>
      </c>
    </row>
    <row r="32" spans="1:7" ht="14.1" customHeight="1">
      <c r="A32" s="237" t="s">
        <v>130</v>
      </c>
      <c r="B32" s="151">
        <v>682164</v>
      </c>
      <c r="C32" s="151">
        <v>173055</v>
      </c>
      <c r="D32" s="151">
        <v>81315</v>
      </c>
      <c r="E32" s="151">
        <v>37625</v>
      </c>
      <c r="F32" s="151">
        <v>1403055</v>
      </c>
      <c r="G32" s="151">
        <f>SUM('- 57 -'!$B32:G32,B32:F32)</f>
        <v>7455164</v>
      </c>
    </row>
    <row r="33" spans="1:7" ht="14.1" customHeight="1">
      <c r="A33" s="355" t="s">
        <v>131</v>
      </c>
      <c r="B33" s="353">
        <v>638889</v>
      </c>
      <c r="C33" s="353">
        <v>164365</v>
      </c>
      <c r="D33" s="353">
        <v>91094</v>
      </c>
      <c r="E33" s="353">
        <v>41500</v>
      </c>
      <c r="F33" s="353">
        <v>1756170</v>
      </c>
      <c r="G33" s="353">
        <f>SUM('- 57 -'!$B33:G33,B33:F33)</f>
        <v>7766499</v>
      </c>
    </row>
    <row r="34" spans="1:7" ht="14.1" customHeight="1">
      <c r="A34" s="237" t="s">
        <v>132</v>
      </c>
      <c r="B34" s="151">
        <v>637387</v>
      </c>
      <c r="C34" s="151">
        <v>165618</v>
      </c>
      <c r="D34" s="151">
        <v>77821</v>
      </c>
      <c r="E34" s="151">
        <v>44750</v>
      </c>
      <c r="F34" s="151">
        <v>1208970</v>
      </c>
      <c r="G34" s="151">
        <f>SUM('- 57 -'!$B34:G34,B34:F34)</f>
        <v>7049853</v>
      </c>
    </row>
    <row r="35" spans="1:7" ht="14.1" customHeight="1">
      <c r="A35" s="355" t="s">
        <v>133</v>
      </c>
      <c r="B35" s="353">
        <v>5109367</v>
      </c>
      <c r="C35" s="353">
        <v>1274183</v>
      </c>
      <c r="D35" s="353">
        <v>598712</v>
      </c>
      <c r="E35" s="353">
        <v>356625</v>
      </c>
      <c r="F35" s="353">
        <v>7008435</v>
      </c>
      <c r="G35" s="353">
        <f>SUM('- 57 -'!$B35:G35,B35:F35)</f>
        <v>47215097</v>
      </c>
    </row>
    <row r="36" spans="1:7" ht="14.1" customHeight="1">
      <c r="A36" s="237" t="s">
        <v>134</v>
      </c>
      <c r="B36" s="151">
        <v>510639</v>
      </c>
      <c r="C36" s="151">
        <v>126426</v>
      </c>
      <c r="D36" s="151">
        <v>70067</v>
      </c>
      <c r="E36" s="151">
        <v>29250</v>
      </c>
      <c r="F36" s="151">
        <v>1167930</v>
      </c>
      <c r="G36" s="151">
        <f>SUM('- 57 -'!$B36:G36,B36:F36)</f>
        <v>5686297</v>
      </c>
    </row>
    <row r="37" spans="1:7" ht="14.1" customHeight="1">
      <c r="A37" s="355" t="s">
        <v>135</v>
      </c>
      <c r="B37" s="353">
        <v>1296675</v>
      </c>
      <c r="C37" s="353">
        <v>327726</v>
      </c>
      <c r="D37" s="353">
        <v>153992</v>
      </c>
      <c r="E37" s="353">
        <v>70250</v>
      </c>
      <c r="F37" s="353">
        <v>1721115</v>
      </c>
      <c r="G37" s="353">
        <f>SUM('- 57 -'!$B37:G37,B37:F37)</f>
        <v>12476375</v>
      </c>
    </row>
    <row r="38" spans="1:7" ht="14.1" customHeight="1">
      <c r="A38" s="237" t="s">
        <v>136</v>
      </c>
      <c r="B38" s="151">
        <v>3635741</v>
      </c>
      <c r="C38" s="151">
        <v>865956</v>
      </c>
      <c r="D38" s="151">
        <v>406895</v>
      </c>
      <c r="E38" s="151">
        <v>251750</v>
      </c>
      <c r="F38" s="151">
        <v>3408030</v>
      </c>
      <c r="G38" s="151">
        <f>SUM('- 57 -'!$B38:G38,B38:F38)</f>
        <v>30905152</v>
      </c>
    </row>
    <row r="39" spans="1:7" ht="14.1" customHeight="1">
      <c r="A39" s="355" t="s">
        <v>137</v>
      </c>
      <c r="B39" s="353">
        <v>483664</v>
      </c>
      <c r="C39" s="353">
        <v>127920</v>
      </c>
      <c r="D39" s="353">
        <v>70895</v>
      </c>
      <c r="E39" s="353">
        <v>29400</v>
      </c>
      <c r="F39" s="353">
        <v>1036260</v>
      </c>
      <c r="G39" s="353">
        <f>SUM('- 57 -'!$B39:G39,B39:F39)</f>
        <v>5568125</v>
      </c>
    </row>
    <row r="40" spans="1:7" ht="14.1" customHeight="1">
      <c r="A40" s="237" t="s">
        <v>138</v>
      </c>
      <c r="B40" s="151">
        <v>2645557</v>
      </c>
      <c r="C40" s="151">
        <v>647383</v>
      </c>
      <c r="D40" s="151">
        <v>304192</v>
      </c>
      <c r="E40" s="151">
        <v>186125</v>
      </c>
      <c r="F40" s="151">
        <v>4186935</v>
      </c>
      <c r="G40" s="151">
        <f>SUM('- 57 -'!$B40:G40,B40:F40)</f>
        <v>24669565</v>
      </c>
    </row>
    <row r="41" spans="1:7" ht="14.1" customHeight="1">
      <c r="A41" s="355" t="s">
        <v>139</v>
      </c>
      <c r="B41" s="353">
        <v>1410584</v>
      </c>
      <c r="C41" s="353">
        <v>357166</v>
      </c>
      <c r="D41" s="353">
        <v>197947</v>
      </c>
      <c r="E41" s="353">
        <v>75375</v>
      </c>
      <c r="F41" s="353">
        <v>2177685</v>
      </c>
      <c r="G41" s="353">
        <f>SUM('- 57 -'!$B41:G41,B41:F41)</f>
        <v>13922439</v>
      </c>
    </row>
    <row r="42" spans="1:7" ht="14.1" customHeight="1">
      <c r="A42" s="237" t="s">
        <v>140</v>
      </c>
      <c r="B42" s="151">
        <v>483457</v>
      </c>
      <c r="C42" s="151">
        <v>113843</v>
      </c>
      <c r="D42" s="151">
        <v>69952</v>
      </c>
      <c r="E42" s="151">
        <v>29750</v>
      </c>
      <c r="F42" s="151">
        <v>1057635</v>
      </c>
      <c r="G42" s="151">
        <f>SUM('- 57 -'!$B42:G42,B42:F42)</f>
        <v>4970300</v>
      </c>
    </row>
    <row r="43" spans="1:7" ht="14.1" customHeight="1">
      <c r="A43" s="355" t="s">
        <v>141</v>
      </c>
      <c r="B43" s="353">
        <v>305463</v>
      </c>
      <c r="C43" s="353">
        <v>79697</v>
      </c>
      <c r="D43" s="353">
        <v>44169</v>
      </c>
      <c r="E43" s="353">
        <v>21250</v>
      </c>
      <c r="F43" s="353">
        <v>594225</v>
      </c>
      <c r="G43" s="353">
        <f>SUM('- 57 -'!$B43:G43,B43:F43)</f>
        <v>3399881</v>
      </c>
    </row>
    <row r="44" spans="1:7" ht="14.1" customHeight="1">
      <c r="A44" s="237" t="s">
        <v>142</v>
      </c>
      <c r="B44" s="151">
        <v>337978</v>
      </c>
      <c r="C44" s="151">
        <v>57909</v>
      </c>
      <c r="D44" s="151">
        <v>32094</v>
      </c>
      <c r="E44" s="151">
        <v>13250</v>
      </c>
      <c r="F44" s="151">
        <v>623295</v>
      </c>
      <c r="G44" s="151">
        <f>SUM('- 57 -'!$B44:G44,B44:F44)</f>
        <v>2896087</v>
      </c>
    </row>
    <row r="45" spans="1:7" ht="14.1" customHeight="1">
      <c r="A45" s="355" t="s">
        <v>143</v>
      </c>
      <c r="B45" s="353">
        <v>510552</v>
      </c>
      <c r="C45" s="353">
        <v>132302</v>
      </c>
      <c r="D45" s="353">
        <v>73324</v>
      </c>
      <c r="E45" s="353">
        <v>32500</v>
      </c>
      <c r="F45" s="353">
        <v>588240</v>
      </c>
      <c r="G45" s="353">
        <f>SUM('- 57 -'!$B45:G45,B45:F45)</f>
        <v>4765019</v>
      </c>
    </row>
    <row r="46" spans="1:7" ht="14.1" customHeight="1">
      <c r="A46" s="237" t="s">
        <v>144</v>
      </c>
      <c r="B46" s="151">
        <v>16554635</v>
      </c>
      <c r="C46" s="151">
        <v>2454750</v>
      </c>
      <c r="D46" s="151">
        <v>1153437</v>
      </c>
      <c r="E46" s="151">
        <v>707625</v>
      </c>
      <c r="F46" s="151">
        <v>14438385</v>
      </c>
      <c r="G46" s="151">
        <f>SUM('- 57 -'!$B46:G46,B46:F46)</f>
        <v>98670590</v>
      </c>
    </row>
    <row r="47" spans="1:7" ht="5.0999999999999996" customHeight="1">
      <c r="A47" s="130"/>
      <c r="B47" s="152"/>
      <c r="C47" s="152"/>
      <c r="D47" s="152"/>
      <c r="E47" s="152"/>
      <c r="F47" s="152"/>
      <c r="G47" s="152"/>
    </row>
    <row r="48" spans="1:7" ht="14.1" customHeight="1">
      <c r="A48" s="356" t="s">
        <v>145</v>
      </c>
      <c r="B48" s="357">
        <f t="shared" ref="B48:C48" si="0">SUM(B11:B46)</f>
        <v>62876967</v>
      </c>
      <c r="C48" s="357">
        <f t="shared" si="0"/>
        <v>13758679</v>
      </c>
      <c r="D48" s="357">
        <f t="shared" ref="D48:F48" si="1">SUM(D11:D46)</f>
        <v>6796853</v>
      </c>
      <c r="E48" s="357">
        <f t="shared" si="1"/>
        <v>3666129</v>
      </c>
      <c r="F48" s="357">
        <f t="shared" si="1"/>
        <v>85264868</v>
      </c>
      <c r="G48" s="357">
        <f t="shared" ref="G48" si="2">SUM(G11:G46)</f>
        <v>538909705</v>
      </c>
    </row>
    <row r="49" spans="1:7" ht="5.0999999999999996" customHeight="1">
      <c r="A49" s="130" t="s">
        <v>7</v>
      </c>
      <c r="B49" s="152"/>
      <c r="C49" s="152"/>
      <c r="D49" s="152"/>
      <c r="E49" s="152"/>
      <c r="F49" s="152"/>
      <c r="G49" s="152"/>
    </row>
    <row r="50" spans="1:7" ht="14.1" customHeight="1">
      <c r="A50" s="237" t="s">
        <v>146</v>
      </c>
      <c r="B50" s="151">
        <v>51809</v>
      </c>
      <c r="C50" s="151">
        <v>13645</v>
      </c>
      <c r="D50" s="151">
        <v>7562</v>
      </c>
      <c r="E50" s="151">
        <v>4625</v>
      </c>
      <c r="F50" s="151">
        <v>235125</v>
      </c>
      <c r="G50" s="151">
        <f>SUM('- 57 -'!$B50:G50,B50:F50)</f>
        <v>597948</v>
      </c>
    </row>
    <row r="51" spans="1:7" ht="14.1" customHeight="1">
      <c r="A51" s="355" t="s">
        <v>612</v>
      </c>
      <c r="B51" s="353">
        <v>0</v>
      </c>
      <c r="C51" s="353">
        <v>0</v>
      </c>
      <c r="D51" s="353">
        <v>0</v>
      </c>
      <c r="E51" s="353">
        <v>0</v>
      </c>
      <c r="F51" s="353">
        <v>0</v>
      </c>
      <c r="G51" s="353">
        <f>SUM('- 57 -'!$B51:G51,B51:F51)</f>
        <v>0</v>
      </c>
    </row>
    <row r="52" spans="1:7" ht="50.1" customHeight="1">
      <c r="A52" s="184"/>
      <c r="B52" s="184"/>
      <c r="C52" s="184"/>
      <c r="D52" s="184"/>
      <c r="E52" s="184"/>
      <c r="F52" s="184"/>
      <c r="G52" s="184"/>
    </row>
    <row r="53" spans="1:7" ht="15" customHeight="1">
      <c r="A53" s="577"/>
      <c r="B53" s="577"/>
      <c r="C53" s="184"/>
      <c r="D53" s="577"/>
      <c r="E53" s="577"/>
      <c r="F53" s="577"/>
      <c r="G53" s="577"/>
    </row>
    <row r="54" spans="1:7">
      <c r="A54" s="38"/>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sheetPr codeName="Sheet47">
    <pageSetUpPr fitToPage="1"/>
  </sheetPr>
  <dimension ref="A1:F56"/>
  <sheetViews>
    <sheetView showGridLines="0" showZeros="0" workbookViewId="0"/>
  </sheetViews>
  <sheetFormatPr defaultColWidth="19.83203125" defaultRowHeight="12"/>
  <cols>
    <col min="1" max="1" width="29.1640625" style="2" customWidth="1"/>
    <col min="2" max="2" width="22.83203125" style="2" customWidth="1"/>
    <col min="3" max="3" width="17.6640625" style="2" customWidth="1"/>
    <col min="4" max="4" width="18.1640625" style="2" customWidth="1"/>
    <col min="5" max="5" width="20.6640625" style="2" customWidth="1"/>
    <col min="6" max="6" width="23.5" style="2" customWidth="1"/>
    <col min="7" max="7" width="14.83203125" style="2" customWidth="1"/>
    <col min="8" max="16384" width="19.83203125" style="2"/>
  </cols>
  <sheetData>
    <row r="1" spans="1:6" ht="6.95" customHeight="1">
      <c r="A1" s="7"/>
      <c r="B1" s="7"/>
      <c r="C1" s="7"/>
      <c r="D1" s="7"/>
      <c r="E1" s="7"/>
      <c r="F1" s="7"/>
    </row>
    <row r="2" spans="1:6" ht="15.95" customHeight="1">
      <c r="A2" s="261"/>
      <c r="B2" s="204" t="str">
        <f>REVYEAR</f>
        <v>ANALYSIS OF OPERATING FUND REVENUE: 2015/2016 ACTUAL</v>
      </c>
      <c r="C2" s="262"/>
      <c r="D2" s="264"/>
      <c r="E2" s="264"/>
      <c r="F2" s="215" t="s">
        <v>100</v>
      </c>
    </row>
    <row r="3" spans="1:6" ht="15.95" customHeight="1">
      <c r="A3" s="539"/>
      <c r="B3" s="205"/>
      <c r="C3" s="7"/>
      <c r="D3" s="7"/>
      <c r="E3" s="7"/>
      <c r="F3" s="7"/>
    </row>
    <row r="4" spans="1:6" ht="15.95" customHeight="1">
      <c r="B4" s="802" t="s">
        <v>581</v>
      </c>
      <c r="C4" s="790"/>
      <c r="D4" s="790"/>
      <c r="E4" s="790"/>
      <c r="F4" s="791"/>
    </row>
    <row r="5" spans="1:6" ht="15.95" customHeight="1">
      <c r="B5" s="792"/>
      <c r="C5" s="793"/>
      <c r="D5" s="793"/>
      <c r="E5" s="793"/>
      <c r="F5" s="794"/>
    </row>
    <row r="6" spans="1:6" ht="15.95" customHeight="1">
      <c r="B6" s="803" t="s">
        <v>52</v>
      </c>
      <c r="C6" s="804"/>
      <c r="D6" s="804"/>
      <c r="E6" s="804"/>
      <c r="F6" s="805"/>
    </row>
    <row r="7" spans="1:6" ht="15.95" customHeight="1">
      <c r="B7" s="220"/>
      <c r="C7" s="220"/>
      <c r="D7" s="697" t="s">
        <v>583</v>
      </c>
      <c r="E7" s="697" t="s">
        <v>584</v>
      </c>
      <c r="F7" s="697" t="s">
        <v>585</v>
      </c>
    </row>
    <row r="8" spans="1:6" ht="15.95" customHeight="1">
      <c r="A8" s="67"/>
      <c r="B8" s="807" t="s">
        <v>366</v>
      </c>
      <c r="C8" s="800" t="s">
        <v>582</v>
      </c>
      <c r="D8" s="800"/>
      <c r="E8" s="800"/>
      <c r="F8" s="800"/>
    </row>
    <row r="9" spans="1:6" ht="15.95" customHeight="1">
      <c r="A9" s="35" t="s">
        <v>42</v>
      </c>
      <c r="B9" s="808"/>
      <c r="C9" s="801"/>
      <c r="D9" s="801"/>
      <c r="E9" s="801"/>
      <c r="F9" s="801"/>
    </row>
    <row r="10" spans="1:6" ht="5.0999999999999996" customHeight="1">
      <c r="A10" s="6"/>
      <c r="B10" s="7"/>
      <c r="C10" s="7"/>
      <c r="D10" s="7"/>
      <c r="E10" s="7"/>
    </row>
    <row r="11" spans="1:6" ht="14.1" customHeight="1">
      <c r="A11" s="355" t="s">
        <v>110</v>
      </c>
      <c r="B11" s="353">
        <v>682982</v>
      </c>
      <c r="C11" s="353">
        <f>SUM(Data!S11:U11)</f>
        <v>603385</v>
      </c>
      <c r="D11" s="353">
        <v>229500</v>
      </c>
      <c r="E11" s="353">
        <v>59455</v>
      </c>
      <c r="F11" s="353">
        <v>37500</v>
      </c>
    </row>
    <row r="12" spans="1:6" ht="14.1" customHeight="1">
      <c r="A12" s="237" t="s">
        <v>111</v>
      </c>
      <c r="B12" s="151">
        <v>1228710</v>
      </c>
      <c r="C12" s="151">
        <f>SUM(Data!S12:U12)</f>
        <v>987956</v>
      </c>
      <c r="D12" s="151">
        <v>99325</v>
      </c>
      <c r="E12" s="151">
        <v>190630</v>
      </c>
      <c r="F12" s="151">
        <v>51000</v>
      </c>
    </row>
    <row r="13" spans="1:6" ht="14.1" customHeight="1">
      <c r="A13" s="355" t="s">
        <v>112</v>
      </c>
      <c r="B13" s="353">
        <v>1011456</v>
      </c>
      <c r="C13" s="353">
        <f>SUM(Data!S13:U13)</f>
        <v>3046254</v>
      </c>
      <c r="D13" s="353">
        <v>638100</v>
      </c>
      <c r="E13" s="353">
        <v>596419</v>
      </c>
      <c r="F13" s="353">
        <v>351500</v>
      </c>
    </row>
    <row r="14" spans="1:6" ht="14.1" customHeight="1">
      <c r="A14" s="237" t="s">
        <v>359</v>
      </c>
      <c r="B14" s="151">
        <v>3330322</v>
      </c>
      <c r="C14" s="151">
        <f>SUM(Data!S14:U14)</f>
        <v>1263668</v>
      </c>
      <c r="D14" s="151">
        <v>245475</v>
      </c>
      <c r="E14" s="151">
        <v>104225</v>
      </c>
      <c r="F14" s="151">
        <v>501500</v>
      </c>
    </row>
    <row r="15" spans="1:6" ht="14.1" customHeight="1">
      <c r="A15" s="355" t="s">
        <v>113</v>
      </c>
      <c r="B15" s="353">
        <v>900197</v>
      </c>
      <c r="C15" s="353">
        <f>SUM(Data!S15:U15)</f>
        <v>879892</v>
      </c>
      <c r="D15" s="353">
        <v>9150</v>
      </c>
      <c r="E15" s="353">
        <v>82171</v>
      </c>
      <c r="F15" s="353">
        <v>122000</v>
      </c>
    </row>
    <row r="16" spans="1:6" ht="14.1" customHeight="1">
      <c r="A16" s="237" t="s">
        <v>114</v>
      </c>
      <c r="B16" s="151">
        <v>112059</v>
      </c>
      <c r="C16" s="151">
        <f>SUM(Data!S16:U16)</f>
        <v>439759</v>
      </c>
      <c r="D16" s="151">
        <v>1550</v>
      </c>
      <c r="E16" s="151">
        <v>37483</v>
      </c>
      <c r="F16" s="151">
        <v>78500</v>
      </c>
    </row>
    <row r="17" spans="1:6" ht="14.1" customHeight="1">
      <c r="A17" s="355" t="s">
        <v>115</v>
      </c>
      <c r="B17" s="353">
        <v>905916</v>
      </c>
      <c r="C17" s="353">
        <f>SUM(Data!S17:U17)</f>
        <v>560596</v>
      </c>
      <c r="D17" s="353">
        <v>18200</v>
      </c>
      <c r="E17" s="353">
        <v>53240</v>
      </c>
      <c r="F17" s="353">
        <v>17000</v>
      </c>
    </row>
    <row r="18" spans="1:6" ht="14.1" customHeight="1">
      <c r="A18" s="237" t="s">
        <v>116</v>
      </c>
      <c r="B18" s="151">
        <v>1308322</v>
      </c>
      <c r="C18" s="151">
        <f>SUM(Data!S18:U18)</f>
        <v>1736092</v>
      </c>
      <c r="D18" s="151">
        <v>800</v>
      </c>
      <c r="E18" s="151">
        <v>115885</v>
      </c>
      <c r="F18" s="151">
        <v>825300</v>
      </c>
    </row>
    <row r="19" spans="1:6" ht="14.1" customHeight="1">
      <c r="A19" s="355" t="s">
        <v>117</v>
      </c>
      <c r="B19" s="353">
        <v>1489828</v>
      </c>
      <c r="C19" s="353">
        <f>SUM(Data!S19:U19)</f>
        <v>1779865</v>
      </c>
      <c r="D19" s="353">
        <v>593450</v>
      </c>
      <c r="E19" s="353">
        <v>331705</v>
      </c>
      <c r="F19" s="353">
        <v>25500</v>
      </c>
    </row>
    <row r="20" spans="1:6" ht="14.1" customHeight="1">
      <c r="A20" s="237" t="s">
        <v>118</v>
      </c>
      <c r="B20" s="151">
        <v>2645484</v>
      </c>
      <c r="C20" s="151">
        <f>SUM(Data!S20:U20)</f>
        <v>3335551</v>
      </c>
      <c r="D20" s="151">
        <v>519450</v>
      </c>
      <c r="E20" s="151">
        <v>545628</v>
      </c>
      <c r="F20" s="151">
        <v>161500</v>
      </c>
    </row>
    <row r="21" spans="1:6" ht="14.1" customHeight="1">
      <c r="A21" s="355" t="s">
        <v>119</v>
      </c>
      <c r="B21" s="353">
        <v>1220169</v>
      </c>
      <c r="C21" s="353">
        <f>SUM(Data!S21:U21)</f>
        <v>1291197</v>
      </c>
      <c r="D21" s="353">
        <v>45850</v>
      </c>
      <c r="E21" s="353">
        <v>77853</v>
      </c>
      <c r="F21" s="353">
        <v>127500</v>
      </c>
    </row>
    <row r="22" spans="1:6" ht="14.1" customHeight="1">
      <c r="A22" s="237" t="s">
        <v>120</v>
      </c>
      <c r="B22" s="151">
        <v>295438</v>
      </c>
      <c r="C22" s="151">
        <f>SUM(Data!S22:U22)</f>
        <v>944372</v>
      </c>
      <c r="D22" s="151">
        <v>1500</v>
      </c>
      <c r="E22" s="151">
        <v>70895</v>
      </c>
      <c r="F22" s="151">
        <v>161500</v>
      </c>
    </row>
    <row r="23" spans="1:6" ht="14.1" customHeight="1">
      <c r="A23" s="355" t="s">
        <v>121</v>
      </c>
      <c r="B23" s="353">
        <v>984233</v>
      </c>
      <c r="C23" s="353">
        <f>SUM(Data!S23:U23)</f>
        <v>663386</v>
      </c>
      <c r="D23" s="353">
        <v>13650</v>
      </c>
      <c r="E23" s="353">
        <v>54065</v>
      </c>
      <c r="F23" s="353">
        <v>97500</v>
      </c>
    </row>
    <row r="24" spans="1:6" ht="14.1" customHeight="1">
      <c r="A24" s="237" t="s">
        <v>122</v>
      </c>
      <c r="B24" s="151">
        <v>1709458</v>
      </c>
      <c r="C24" s="151">
        <f>SUM(Data!S24:U24)</f>
        <v>2118513</v>
      </c>
      <c r="D24" s="151">
        <v>35950</v>
      </c>
      <c r="E24" s="151">
        <v>331293</v>
      </c>
      <c r="F24" s="151">
        <v>337500</v>
      </c>
    </row>
    <row r="25" spans="1:6" ht="14.1" customHeight="1">
      <c r="A25" s="355" t="s">
        <v>123</v>
      </c>
      <c r="B25" s="353">
        <v>1292914</v>
      </c>
      <c r="C25" s="353">
        <f>SUM(Data!S25:U25)</f>
        <v>8362769</v>
      </c>
      <c r="D25" s="353">
        <v>1029075</v>
      </c>
      <c r="E25" s="353">
        <v>659616</v>
      </c>
      <c r="F25" s="353">
        <v>759500</v>
      </c>
    </row>
    <row r="26" spans="1:6" ht="14.1" customHeight="1">
      <c r="A26" s="237" t="s">
        <v>124</v>
      </c>
      <c r="B26" s="151">
        <v>1577285</v>
      </c>
      <c r="C26" s="151">
        <f>SUM(Data!S26:U26)</f>
        <v>1193246</v>
      </c>
      <c r="D26" s="151">
        <v>13900</v>
      </c>
      <c r="E26" s="151">
        <v>219231</v>
      </c>
      <c r="F26" s="151">
        <v>232500</v>
      </c>
    </row>
    <row r="27" spans="1:6" ht="14.1" customHeight="1">
      <c r="A27" s="355" t="s">
        <v>125</v>
      </c>
      <c r="B27" s="353">
        <v>82963</v>
      </c>
      <c r="C27" s="353">
        <f>SUM(Data!S27:U27)</f>
        <v>1745074</v>
      </c>
      <c r="D27" s="353">
        <v>87850</v>
      </c>
      <c r="E27" s="353">
        <v>247280</v>
      </c>
      <c r="F27" s="353">
        <v>267000</v>
      </c>
    </row>
    <row r="28" spans="1:6" ht="14.1" customHeight="1">
      <c r="A28" s="237" t="s">
        <v>126</v>
      </c>
      <c r="B28" s="151">
        <v>1284191</v>
      </c>
      <c r="C28" s="151">
        <f>SUM(Data!S28:U28)</f>
        <v>585786</v>
      </c>
      <c r="D28" s="151">
        <v>28150</v>
      </c>
      <c r="E28" s="151">
        <v>82555</v>
      </c>
      <c r="F28" s="151">
        <v>86500</v>
      </c>
    </row>
    <row r="29" spans="1:6" ht="14.1" customHeight="1">
      <c r="A29" s="355" t="s">
        <v>127</v>
      </c>
      <c r="B29" s="353">
        <v>964763</v>
      </c>
      <c r="C29" s="353">
        <f>SUM(Data!S29:U29)</f>
        <v>6734029</v>
      </c>
      <c r="D29" s="353">
        <v>1475125</v>
      </c>
      <c r="E29" s="353">
        <v>245135</v>
      </c>
      <c r="F29" s="353">
        <v>314500</v>
      </c>
    </row>
    <row r="30" spans="1:6" ht="14.1" customHeight="1">
      <c r="A30" s="237" t="s">
        <v>128</v>
      </c>
      <c r="B30" s="151">
        <v>669055</v>
      </c>
      <c r="C30" s="151">
        <f>SUM(Data!S30:U30)</f>
        <v>554304</v>
      </c>
      <c r="D30" s="151">
        <v>53900</v>
      </c>
      <c r="E30" s="151">
        <v>46035</v>
      </c>
      <c r="F30" s="151">
        <v>45500</v>
      </c>
    </row>
    <row r="31" spans="1:6" ht="14.1" customHeight="1">
      <c r="A31" s="355" t="s">
        <v>129</v>
      </c>
      <c r="B31" s="353">
        <v>825984</v>
      </c>
      <c r="C31" s="353">
        <f>SUM(Data!S31:U31)</f>
        <v>1687887</v>
      </c>
      <c r="D31" s="353">
        <v>116900</v>
      </c>
      <c r="E31" s="353">
        <v>201520</v>
      </c>
      <c r="F31" s="353">
        <v>232000</v>
      </c>
    </row>
    <row r="32" spans="1:6" ht="14.1" customHeight="1">
      <c r="A32" s="237" t="s">
        <v>130</v>
      </c>
      <c r="B32" s="151">
        <v>1300923</v>
      </c>
      <c r="C32" s="151">
        <f>SUM(Data!S32:U32)</f>
        <v>796292</v>
      </c>
      <c r="D32" s="151">
        <v>98250</v>
      </c>
      <c r="E32" s="151">
        <v>87588</v>
      </c>
      <c r="F32" s="151">
        <v>93500</v>
      </c>
    </row>
    <row r="33" spans="1:6" ht="14.1" customHeight="1">
      <c r="A33" s="355" t="s">
        <v>131</v>
      </c>
      <c r="B33" s="353">
        <v>1414623</v>
      </c>
      <c r="C33" s="353">
        <f>SUM(Data!S33:U33)</f>
        <v>902096</v>
      </c>
      <c r="D33" s="353">
        <v>126150</v>
      </c>
      <c r="E33" s="353">
        <v>78541</v>
      </c>
      <c r="F33" s="353">
        <v>37500</v>
      </c>
    </row>
    <row r="34" spans="1:6" ht="14.1" customHeight="1">
      <c r="A34" s="237" t="s">
        <v>132</v>
      </c>
      <c r="B34" s="151">
        <v>1437059</v>
      </c>
      <c r="C34" s="151">
        <f>SUM(Data!S34:U34)</f>
        <v>1179256</v>
      </c>
      <c r="D34" s="151">
        <v>74900</v>
      </c>
      <c r="E34" s="151">
        <v>68943</v>
      </c>
      <c r="F34" s="151">
        <v>102000</v>
      </c>
    </row>
    <row r="35" spans="1:6" ht="14.1" customHeight="1">
      <c r="A35" s="355" t="s">
        <v>133</v>
      </c>
      <c r="B35" s="353">
        <v>1738097</v>
      </c>
      <c r="C35" s="353">
        <f>SUM(Data!S35:U35)</f>
        <v>8877093</v>
      </c>
      <c r="D35" s="353">
        <v>653600</v>
      </c>
      <c r="E35" s="353">
        <v>1012165</v>
      </c>
      <c r="F35" s="353">
        <v>816000</v>
      </c>
    </row>
    <row r="36" spans="1:6" ht="14.1" customHeight="1">
      <c r="A36" s="237" t="s">
        <v>134</v>
      </c>
      <c r="B36" s="151">
        <v>872296</v>
      </c>
      <c r="C36" s="151">
        <f>SUM(Data!S36:U36)</f>
        <v>589170</v>
      </c>
      <c r="D36" s="151">
        <v>39150</v>
      </c>
      <c r="E36" s="151">
        <v>24668</v>
      </c>
      <c r="F36" s="151">
        <v>71000</v>
      </c>
    </row>
    <row r="37" spans="1:6" ht="14.1" customHeight="1">
      <c r="A37" s="355" t="s">
        <v>135</v>
      </c>
      <c r="B37" s="353">
        <v>1822083</v>
      </c>
      <c r="C37" s="353">
        <f>SUM(Data!S37:U37)</f>
        <v>2534804</v>
      </c>
      <c r="D37" s="353">
        <v>173150</v>
      </c>
      <c r="E37" s="353">
        <v>147483</v>
      </c>
      <c r="F37" s="353">
        <v>374000</v>
      </c>
    </row>
    <row r="38" spans="1:6" ht="14.1" customHeight="1">
      <c r="A38" s="237" t="s">
        <v>136</v>
      </c>
      <c r="B38" s="151">
        <v>1081668</v>
      </c>
      <c r="C38" s="151">
        <f>SUM(Data!S38:U38)</f>
        <v>6162302</v>
      </c>
      <c r="D38" s="151">
        <v>839575</v>
      </c>
      <c r="E38" s="151">
        <v>493653</v>
      </c>
      <c r="F38" s="151">
        <v>341500</v>
      </c>
    </row>
    <row r="39" spans="1:6" ht="14.1" customHeight="1">
      <c r="A39" s="355" t="s">
        <v>137</v>
      </c>
      <c r="B39" s="353">
        <v>1104214</v>
      </c>
      <c r="C39" s="353">
        <f>SUM(Data!S39:U39)</f>
        <v>543913</v>
      </c>
      <c r="D39" s="353">
        <v>47700</v>
      </c>
      <c r="E39" s="353">
        <v>31460</v>
      </c>
      <c r="F39" s="353">
        <v>34000</v>
      </c>
    </row>
    <row r="40" spans="1:6" ht="14.1" customHeight="1">
      <c r="A40" s="237" t="s">
        <v>138</v>
      </c>
      <c r="B40" s="151">
        <v>677049</v>
      </c>
      <c r="C40" s="151">
        <f>SUM(Data!S40:U40)</f>
        <v>4597527</v>
      </c>
      <c r="D40" s="151">
        <v>340400</v>
      </c>
      <c r="E40" s="151">
        <v>609978</v>
      </c>
      <c r="F40" s="151">
        <v>356200</v>
      </c>
    </row>
    <row r="41" spans="1:6" ht="14.1" customHeight="1">
      <c r="A41" s="355" t="s">
        <v>139</v>
      </c>
      <c r="B41" s="353">
        <v>2807592</v>
      </c>
      <c r="C41" s="353">
        <f>SUM(Data!S41:U41)</f>
        <v>2520930</v>
      </c>
      <c r="D41" s="353">
        <v>83650</v>
      </c>
      <c r="E41" s="353">
        <v>154633</v>
      </c>
      <c r="F41" s="353">
        <v>241500</v>
      </c>
    </row>
    <row r="42" spans="1:6" ht="14.1" customHeight="1">
      <c r="A42" s="237" t="s">
        <v>140</v>
      </c>
      <c r="B42" s="151">
        <v>1033237</v>
      </c>
      <c r="C42" s="151">
        <f>SUM(Data!S42:U42)</f>
        <v>698870</v>
      </c>
      <c r="D42" s="151">
        <v>750</v>
      </c>
      <c r="E42" s="151">
        <v>204930</v>
      </c>
      <c r="F42" s="151">
        <v>140000</v>
      </c>
    </row>
    <row r="43" spans="1:6" ht="14.1" customHeight="1">
      <c r="A43" s="355" t="s">
        <v>141</v>
      </c>
      <c r="B43" s="353">
        <v>578601</v>
      </c>
      <c r="C43" s="353">
        <f>SUM(Data!S43:U43)</f>
        <v>314536</v>
      </c>
      <c r="D43" s="353">
        <v>45150</v>
      </c>
      <c r="E43" s="353">
        <v>34650</v>
      </c>
      <c r="F43" s="353">
        <v>25500</v>
      </c>
    </row>
    <row r="44" spans="1:6" ht="14.1" customHeight="1">
      <c r="A44" s="237" t="s">
        <v>142</v>
      </c>
      <c r="B44" s="151">
        <v>749987</v>
      </c>
      <c r="C44" s="151">
        <f>SUM(Data!S44:U44)</f>
        <v>457360</v>
      </c>
      <c r="D44" s="151">
        <v>16900</v>
      </c>
      <c r="E44" s="151">
        <v>23706</v>
      </c>
      <c r="F44" s="151">
        <v>93500</v>
      </c>
    </row>
    <row r="45" spans="1:6" ht="14.1" customHeight="1">
      <c r="A45" s="355" t="s">
        <v>143</v>
      </c>
      <c r="B45" s="353">
        <v>502588</v>
      </c>
      <c r="C45" s="353">
        <f>SUM(Data!S45:U45)</f>
        <v>615050</v>
      </c>
      <c r="D45" s="353">
        <v>118750</v>
      </c>
      <c r="E45" s="353">
        <v>88330</v>
      </c>
      <c r="F45" s="353">
        <v>25500</v>
      </c>
    </row>
    <row r="46" spans="1:6" ht="14.1" customHeight="1">
      <c r="A46" s="237" t="s">
        <v>144</v>
      </c>
      <c r="B46" s="151">
        <v>1395674</v>
      </c>
      <c r="C46" s="151">
        <f>SUM(Data!S46:U46)</f>
        <v>15733786</v>
      </c>
      <c r="D46" s="151">
        <v>2950815</v>
      </c>
      <c r="E46" s="151">
        <v>1866041</v>
      </c>
      <c r="F46" s="151">
        <v>2284400</v>
      </c>
    </row>
    <row r="47" spans="1:6" ht="5.0999999999999996" customHeight="1">
      <c r="A47" s="130"/>
      <c r="B47" s="152"/>
      <c r="C47" s="152"/>
      <c r="D47" s="152"/>
      <c r="E47" s="152"/>
      <c r="F47" s="152"/>
    </row>
    <row r="48" spans="1:6" ht="14.1" customHeight="1">
      <c r="A48" s="356" t="s">
        <v>145</v>
      </c>
      <c r="B48" s="357">
        <f t="shared" ref="B48:D48" si="0">SUM(B11:B46)</f>
        <v>43037420</v>
      </c>
      <c r="C48" s="357">
        <f>SUM(C11:C46)</f>
        <v>87036566</v>
      </c>
      <c r="D48" s="357">
        <f t="shared" si="0"/>
        <v>10865740</v>
      </c>
      <c r="E48" s="357">
        <f t="shared" ref="E48:F48" si="1">SUM(E11:E46)</f>
        <v>9279088</v>
      </c>
      <c r="F48" s="357">
        <f t="shared" si="1"/>
        <v>9868900</v>
      </c>
    </row>
    <row r="49" spans="1:6" ht="5.0999999999999996" customHeight="1">
      <c r="A49" s="130" t="s">
        <v>7</v>
      </c>
      <c r="B49" s="152"/>
      <c r="C49" s="152"/>
      <c r="D49" s="152"/>
      <c r="E49" s="152"/>
      <c r="F49" s="152"/>
    </row>
    <row r="50" spans="1:6" ht="14.1" customHeight="1">
      <c r="A50" s="237" t="s">
        <v>146</v>
      </c>
      <c r="B50" s="151">
        <v>1192</v>
      </c>
      <c r="C50" s="151">
        <f>SUM(Data!S50:U50)</f>
        <v>96641</v>
      </c>
      <c r="D50" s="151">
        <v>750</v>
      </c>
      <c r="E50" s="151">
        <v>14355</v>
      </c>
      <c r="F50" s="151">
        <v>0</v>
      </c>
    </row>
    <row r="51" spans="1:6" ht="14.1" customHeight="1">
      <c r="A51" s="355" t="s">
        <v>612</v>
      </c>
      <c r="B51" s="353">
        <v>0</v>
      </c>
      <c r="C51" s="353">
        <f>SUM(Data!S51:U51)</f>
        <v>0</v>
      </c>
      <c r="D51" s="353">
        <v>0</v>
      </c>
      <c r="E51" s="353">
        <v>0</v>
      </c>
      <c r="F51" s="353">
        <v>0</v>
      </c>
    </row>
    <row r="52" spans="1:6" ht="50.1" customHeight="1">
      <c r="A52" s="23"/>
      <c r="B52" s="23"/>
      <c r="C52" s="23"/>
      <c r="D52" s="23"/>
      <c r="E52" s="23"/>
      <c r="F52" s="23"/>
    </row>
    <row r="53" spans="1:6" ht="15" customHeight="1">
      <c r="A53" s="38" t="s">
        <v>358</v>
      </c>
      <c r="B53" s="243"/>
      <c r="C53" s="38"/>
      <c r="D53" s="38"/>
      <c r="E53" s="38"/>
      <c r="F53" s="38"/>
    </row>
    <row r="54" spans="1:6" ht="12" customHeight="1">
      <c r="A54" s="806"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$149,913,533 (Student Services,
       page 58 and Special Needs).</v>
      </c>
      <c r="B54" s="806"/>
      <c r="C54" s="806"/>
      <c r="D54" s="806"/>
      <c r="E54" s="806"/>
      <c r="F54" s="806"/>
    </row>
    <row r="55" spans="1:6" ht="12" customHeight="1">
      <c r="A55" s="806"/>
      <c r="B55" s="806"/>
      <c r="C55" s="806"/>
      <c r="D55" s="806"/>
      <c r="E55" s="806"/>
      <c r="F55" s="806"/>
    </row>
    <row r="56" spans="1:6" ht="14.1" customHeight="1">
      <c r="A56" s="38"/>
      <c r="B56" s="38"/>
      <c r="C56" s="265"/>
      <c r="D56" s="38"/>
      <c r="E56" s="38"/>
      <c r="F56" s="38"/>
    </row>
  </sheetData>
  <mergeCells count="8">
    <mergeCell ref="B4:F5"/>
    <mergeCell ref="B6:F6"/>
    <mergeCell ref="A54:F55"/>
    <mergeCell ref="C8:C9"/>
    <mergeCell ref="D7:D9"/>
    <mergeCell ref="E7:E9"/>
    <mergeCell ref="F7:F9"/>
    <mergeCell ref="B8:B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sheetPr codeName="Sheet46">
    <pageSetUpPr fitToPage="1"/>
  </sheetPr>
  <dimension ref="A1:F53"/>
  <sheetViews>
    <sheetView showGridLines="0" showZeros="0" workbookViewId="0"/>
  </sheetViews>
  <sheetFormatPr defaultColWidth="19.83203125" defaultRowHeight="12"/>
  <cols>
    <col min="1" max="1" width="34.1640625" style="2" customWidth="1"/>
    <col min="2" max="2" width="18.83203125" style="2" customWidth="1"/>
    <col min="3" max="3" width="19.83203125" style="2" customWidth="1"/>
    <col min="4" max="5" width="19.1640625" style="2" customWidth="1"/>
    <col min="6" max="6" width="17.83203125" style="2" customWidth="1"/>
    <col min="7" max="16384" width="19.83203125" style="2"/>
  </cols>
  <sheetData>
    <row r="1" spans="1:6" ht="6.95" customHeight="1">
      <c r="A1" s="7"/>
      <c r="B1" s="7"/>
      <c r="C1" s="7"/>
      <c r="D1" s="7"/>
      <c r="E1" s="7"/>
      <c r="F1" s="7"/>
    </row>
    <row r="2" spans="1:6" ht="15.95" customHeight="1">
      <c r="A2" s="261"/>
      <c r="B2" s="204" t="str">
        <f>REVYEAR</f>
        <v>ANALYSIS OF OPERATING FUND REVENUE: 2015/2016 ACTUAL</v>
      </c>
      <c r="C2" s="262"/>
      <c r="D2" s="262"/>
      <c r="E2" s="262"/>
      <c r="F2" s="215" t="s">
        <v>101</v>
      </c>
    </row>
    <row r="3" spans="1:6" ht="15.95" customHeight="1">
      <c r="A3" s="539"/>
      <c r="B3" s="7"/>
      <c r="C3" s="7"/>
      <c r="D3" s="7"/>
      <c r="E3" s="7"/>
      <c r="F3" s="7"/>
    </row>
    <row r="4" spans="1:6" ht="15.95" customHeight="1">
      <c r="B4" s="789" t="s">
        <v>581</v>
      </c>
      <c r="C4" s="790"/>
      <c r="D4" s="790"/>
      <c r="E4" s="790"/>
      <c r="F4" s="791"/>
    </row>
    <row r="5" spans="1:6" ht="15.95" customHeight="1">
      <c r="B5" s="792"/>
      <c r="C5" s="793"/>
      <c r="D5" s="793"/>
      <c r="E5" s="793"/>
      <c r="F5" s="794"/>
    </row>
    <row r="6" spans="1:6" ht="15.95" customHeight="1">
      <c r="B6" s="812" t="s">
        <v>52</v>
      </c>
      <c r="C6" s="813"/>
      <c r="D6" s="813"/>
      <c r="E6" s="813"/>
      <c r="F6" s="814"/>
    </row>
    <row r="7" spans="1:6" ht="15.95" customHeight="1">
      <c r="B7" s="726" t="s">
        <v>586</v>
      </c>
      <c r="C7" s="811" t="s">
        <v>587</v>
      </c>
      <c r="D7" s="697" t="s">
        <v>588</v>
      </c>
      <c r="E7" s="33"/>
      <c r="F7" s="697" t="s">
        <v>590</v>
      </c>
    </row>
    <row r="8" spans="1:6" ht="15.95" customHeight="1">
      <c r="A8" s="404"/>
      <c r="B8" s="809"/>
      <c r="C8" s="798"/>
      <c r="D8" s="800"/>
      <c r="E8" s="800" t="s">
        <v>589</v>
      </c>
      <c r="F8" s="800"/>
    </row>
    <row r="9" spans="1:6" ht="15.95" customHeight="1">
      <c r="A9" s="405" t="s">
        <v>42</v>
      </c>
      <c r="B9" s="810"/>
      <c r="C9" s="799"/>
      <c r="D9" s="801"/>
      <c r="E9" s="801"/>
      <c r="F9" s="801"/>
    </row>
    <row r="10" spans="1:6" ht="5.0999999999999996" customHeight="1">
      <c r="A10" s="6"/>
      <c r="B10" s="7"/>
      <c r="C10" s="7"/>
      <c r="D10" s="7"/>
      <c r="E10" s="7"/>
      <c r="F10" s="7"/>
    </row>
    <row r="11" spans="1:6" ht="14.1" customHeight="1">
      <c r="A11" s="355" t="s">
        <v>110</v>
      </c>
      <c r="B11" s="353">
        <v>3444</v>
      </c>
      <c r="C11" s="353">
        <v>20400</v>
      </c>
      <c r="D11" s="353">
        <v>120840</v>
      </c>
      <c r="E11" s="353">
        <f>Data!R11-SUM('- 59 -'!$B11:F11,B11:D11)</f>
        <v>360718</v>
      </c>
      <c r="F11" s="353">
        <f>SUM('- 59 -'!$B11:F11,B11:E11)</f>
        <v>2118224</v>
      </c>
    </row>
    <row r="12" spans="1:6" ht="14.1" customHeight="1">
      <c r="A12" s="237" t="s">
        <v>111</v>
      </c>
      <c r="B12" s="151">
        <v>28440</v>
      </c>
      <c r="C12" s="151">
        <v>29357</v>
      </c>
      <c r="D12" s="151">
        <v>152357</v>
      </c>
      <c r="E12" s="151">
        <f>Data!R12-SUM('- 59 -'!$B12:F12,B12:D12)</f>
        <v>309447</v>
      </c>
      <c r="F12" s="151">
        <f>SUM('- 59 -'!$B12:F12,B12:E12)</f>
        <v>3077222</v>
      </c>
    </row>
    <row r="13" spans="1:6" ht="14.1" customHeight="1">
      <c r="A13" s="355" t="s">
        <v>112</v>
      </c>
      <c r="B13" s="353">
        <v>196154</v>
      </c>
      <c r="C13" s="353">
        <v>153552</v>
      </c>
      <c r="D13" s="353">
        <v>665518</v>
      </c>
      <c r="E13" s="353">
        <f>Data!R13-SUM('- 59 -'!$B13:F13,B13:D13)</f>
        <v>588293</v>
      </c>
      <c r="F13" s="353">
        <f>SUM('- 59 -'!$B13:F13,B13:E13)</f>
        <v>7247246</v>
      </c>
    </row>
    <row r="14" spans="1:6" ht="14.1" customHeight="1">
      <c r="A14" s="237" t="s">
        <v>359</v>
      </c>
      <c r="B14" s="151">
        <v>1476567</v>
      </c>
      <c r="C14" s="151">
        <v>82599</v>
      </c>
      <c r="D14" s="151">
        <v>380190</v>
      </c>
      <c r="E14" s="151">
        <f>Data!R14-SUM('- 59 -'!$B14:F14,B14:D14)</f>
        <v>428041</v>
      </c>
      <c r="F14" s="151">
        <f>SUM('- 59 -'!$B14:F14,B14:E14)</f>
        <v>7812587</v>
      </c>
    </row>
    <row r="15" spans="1:6" ht="14.1" customHeight="1">
      <c r="A15" s="355" t="s">
        <v>113</v>
      </c>
      <c r="B15" s="353">
        <v>4381</v>
      </c>
      <c r="C15" s="353">
        <v>16058</v>
      </c>
      <c r="D15" s="353">
        <v>109007</v>
      </c>
      <c r="E15" s="353">
        <f>Data!R15-SUM('- 59 -'!$B15:F15,B15:D15)</f>
        <v>191978</v>
      </c>
      <c r="F15" s="353">
        <f>SUM('- 59 -'!$B15:F15,B15:E15)</f>
        <v>2314834</v>
      </c>
    </row>
    <row r="16" spans="1:6" ht="14.1" customHeight="1">
      <c r="A16" s="237" t="s">
        <v>114</v>
      </c>
      <c r="B16" s="151">
        <v>26799</v>
      </c>
      <c r="C16" s="151">
        <v>12580</v>
      </c>
      <c r="D16" s="151">
        <v>68126</v>
      </c>
      <c r="E16" s="151">
        <f>Data!R16-SUM('- 59 -'!$B16:F16,B16:D16)</f>
        <v>716835</v>
      </c>
      <c r="F16" s="151">
        <f>SUM('- 59 -'!$B16:F16,B16:E16)</f>
        <v>1493691</v>
      </c>
    </row>
    <row r="17" spans="1:6" ht="14.1" customHeight="1">
      <c r="A17" s="355" t="s">
        <v>115</v>
      </c>
      <c r="B17" s="353">
        <v>1656</v>
      </c>
      <c r="C17" s="353">
        <v>17850</v>
      </c>
      <c r="D17" s="353">
        <v>96277</v>
      </c>
      <c r="E17" s="353">
        <f>Data!R17-SUM('- 59 -'!$B17:F17,B17:D17)</f>
        <v>124919</v>
      </c>
      <c r="F17" s="353">
        <f>SUM('- 59 -'!$B17:F17,B17:E17)</f>
        <v>1795654</v>
      </c>
    </row>
    <row r="18" spans="1:6" ht="14.1" customHeight="1">
      <c r="A18" s="237" t="s">
        <v>116</v>
      </c>
      <c r="B18" s="151">
        <v>41</v>
      </c>
      <c r="C18" s="151">
        <v>45509</v>
      </c>
      <c r="D18" s="151">
        <v>185371</v>
      </c>
      <c r="E18" s="151">
        <f>Data!R18-SUM('- 59 -'!$B18:F18,B18:D18)</f>
        <v>2501393</v>
      </c>
      <c r="F18" s="151">
        <f>SUM('- 59 -'!$B18:F18,B18:E18)</f>
        <v>6718713</v>
      </c>
    </row>
    <row r="19" spans="1:6" ht="14.1" customHeight="1">
      <c r="A19" s="355" t="s">
        <v>117</v>
      </c>
      <c r="B19" s="353">
        <v>4488</v>
      </c>
      <c r="C19" s="353">
        <v>60113</v>
      </c>
      <c r="D19" s="353">
        <v>317247</v>
      </c>
      <c r="E19" s="353">
        <f>Data!R19-SUM('- 59 -'!$B19:F19,B19:D19)</f>
        <v>117599</v>
      </c>
      <c r="F19" s="353">
        <f>SUM('- 59 -'!$B19:F19,B19:E19)</f>
        <v>4719795</v>
      </c>
    </row>
    <row r="20" spans="1:6" ht="14.1" customHeight="1">
      <c r="A20" s="237" t="s">
        <v>118</v>
      </c>
      <c r="B20" s="151">
        <v>20469</v>
      </c>
      <c r="C20" s="151">
        <v>118932</v>
      </c>
      <c r="D20" s="151">
        <v>559976</v>
      </c>
      <c r="E20" s="151">
        <f>Data!R20-SUM('- 59 -'!$B20:F20,B20:D20)</f>
        <v>557977</v>
      </c>
      <c r="F20" s="151">
        <f>SUM('- 59 -'!$B20:F20,B20:E20)</f>
        <v>8464967</v>
      </c>
    </row>
    <row r="21" spans="1:6" ht="14.1" customHeight="1">
      <c r="A21" s="355" t="s">
        <v>119</v>
      </c>
      <c r="B21" s="353">
        <v>57237</v>
      </c>
      <c r="C21" s="353">
        <v>40641</v>
      </c>
      <c r="D21" s="353">
        <v>203452</v>
      </c>
      <c r="E21" s="353">
        <f>Data!R21-SUM('- 59 -'!$B21:F21,B21:D21)</f>
        <v>227950</v>
      </c>
      <c r="F21" s="353">
        <f>SUM('- 59 -'!$B21:F21,B21:E21)</f>
        <v>3291849</v>
      </c>
    </row>
    <row r="22" spans="1:6" ht="14.1" customHeight="1">
      <c r="A22" s="237" t="s">
        <v>120</v>
      </c>
      <c r="B22" s="151">
        <v>42877</v>
      </c>
      <c r="C22" s="151">
        <v>27316</v>
      </c>
      <c r="D22" s="151">
        <v>116424</v>
      </c>
      <c r="E22" s="151">
        <f>Data!R22-SUM('- 59 -'!$B22:F22,B22:D22)</f>
        <v>1139805</v>
      </c>
      <c r="F22" s="151">
        <f>SUM('- 59 -'!$B22:F22,B22:E22)</f>
        <v>2800127</v>
      </c>
    </row>
    <row r="23" spans="1:6" ht="14.1" customHeight="1">
      <c r="A23" s="355" t="s">
        <v>121</v>
      </c>
      <c r="B23" s="353">
        <v>2303</v>
      </c>
      <c r="C23" s="353">
        <v>12075</v>
      </c>
      <c r="D23" s="353">
        <v>77148</v>
      </c>
      <c r="E23" s="353">
        <f>Data!R23-SUM('- 59 -'!$B23:F23,B23:D23)</f>
        <v>238987</v>
      </c>
      <c r="F23" s="353">
        <f>SUM('- 59 -'!$B23:F23,B23:E23)</f>
        <v>2143347</v>
      </c>
    </row>
    <row r="24" spans="1:6" ht="14.1" customHeight="1">
      <c r="A24" s="237" t="s">
        <v>122</v>
      </c>
      <c r="B24" s="151">
        <v>98101</v>
      </c>
      <c r="C24" s="151">
        <v>53328</v>
      </c>
      <c r="D24" s="151">
        <v>366811</v>
      </c>
      <c r="E24" s="151">
        <f>Data!R24-SUM('- 59 -'!$B24:F24,B24:D24)</f>
        <v>287910</v>
      </c>
      <c r="F24" s="151">
        <f>SUM('- 59 -'!$B24:F24,B24:E24)</f>
        <v>5338864</v>
      </c>
    </row>
    <row r="25" spans="1:6" ht="14.1" customHeight="1">
      <c r="A25" s="355" t="s">
        <v>123</v>
      </c>
      <c r="B25" s="353">
        <v>1219042</v>
      </c>
      <c r="C25" s="353">
        <v>202851</v>
      </c>
      <c r="D25" s="353">
        <v>1036944</v>
      </c>
      <c r="E25" s="353">
        <f>Data!R25-SUM('- 59 -'!$B25:F25,B25:D25)</f>
        <v>746476</v>
      </c>
      <c r="F25" s="353">
        <f>SUM('- 59 -'!$B25:F25,B25:E25)</f>
        <v>15309187</v>
      </c>
    </row>
    <row r="26" spans="1:6" ht="14.1" customHeight="1">
      <c r="A26" s="237" t="s">
        <v>124</v>
      </c>
      <c r="B26" s="151">
        <v>64832</v>
      </c>
      <c r="C26" s="151">
        <v>42557</v>
      </c>
      <c r="D26" s="151">
        <v>282194</v>
      </c>
      <c r="E26" s="151">
        <f>Data!R26-SUM('- 59 -'!$B26:F26,B26:D26)</f>
        <v>255080</v>
      </c>
      <c r="F26" s="151">
        <f>SUM('- 59 -'!$B26:F26,B26:E26)</f>
        <v>3880825</v>
      </c>
    </row>
    <row r="27" spans="1:6" ht="14.1" customHeight="1">
      <c r="A27" s="355" t="s">
        <v>125</v>
      </c>
      <c r="B27" s="353">
        <v>71300</v>
      </c>
      <c r="C27" s="353">
        <v>57578</v>
      </c>
      <c r="D27" s="353">
        <v>211774</v>
      </c>
      <c r="E27" s="353">
        <f>Data!R27-SUM('- 59 -'!$B27:F27,B27:D27)</f>
        <v>2073065</v>
      </c>
      <c r="F27" s="353">
        <f>SUM('- 59 -'!$B27:F27,B27:E27)</f>
        <v>4843884</v>
      </c>
    </row>
    <row r="28" spans="1:6" ht="14.1" customHeight="1">
      <c r="A28" s="237" t="s">
        <v>126</v>
      </c>
      <c r="B28" s="151">
        <v>6091</v>
      </c>
      <c r="C28" s="151">
        <v>15876</v>
      </c>
      <c r="D28" s="151">
        <v>114684</v>
      </c>
      <c r="E28" s="151">
        <f>Data!R28-SUM('- 59 -'!$B28:F28,B28:D28)</f>
        <v>185188</v>
      </c>
      <c r="F28" s="151">
        <f>SUM('- 59 -'!$B28:F28,B28:E28)</f>
        <v>2389021</v>
      </c>
    </row>
    <row r="29" spans="1:6" ht="14.1" customHeight="1">
      <c r="A29" s="355" t="s">
        <v>127</v>
      </c>
      <c r="B29" s="353">
        <v>652761</v>
      </c>
      <c r="C29" s="353">
        <v>159969</v>
      </c>
      <c r="D29" s="353">
        <v>934093</v>
      </c>
      <c r="E29" s="353">
        <f>Data!R29-SUM('- 59 -'!$B29:F29,B29:D29)</f>
        <v>691116</v>
      </c>
      <c r="F29" s="353">
        <f>SUM('- 59 -'!$B29:F29,B29:E29)</f>
        <v>12171491</v>
      </c>
    </row>
    <row r="30" spans="1:6" ht="14.1" customHeight="1">
      <c r="A30" s="237" t="s">
        <v>128</v>
      </c>
      <c r="B30" s="151">
        <v>2773</v>
      </c>
      <c r="C30" s="151">
        <v>12691</v>
      </c>
      <c r="D30" s="151">
        <v>79306</v>
      </c>
      <c r="E30" s="151">
        <f>Data!R30-SUM('- 59 -'!$B30:F30,B30:D30)</f>
        <v>161296</v>
      </c>
      <c r="F30" s="151">
        <f>SUM('- 59 -'!$B30:F30,B30:E30)</f>
        <v>1624860</v>
      </c>
    </row>
    <row r="31" spans="1:6" ht="14.1" customHeight="1">
      <c r="A31" s="355" t="s">
        <v>129</v>
      </c>
      <c r="B31" s="353">
        <v>78766</v>
      </c>
      <c r="C31" s="353">
        <v>53529</v>
      </c>
      <c r="D31" s="353">
        <v>235889</v>
      </c>
      <c r="E31" s="353">
        <f>Data!R31-SUM('- 59 -'!$B31:F31,B31:D31)</f>
        <v>123691</v>
      </c>
      <c r="F31" s="353">
        <f>SUM('- 59 -'!$B31:F31,B31:E31)</f>
        <v>3556166</v>
      </c>
    </row>
    <row r="32" spans="1:6" ht="14.1" customHeight="1">
      <c r="A32" s="237" t="s">
        <v>130</v>
      </c>
      <c r="B32" s="151">
        <v>46185</v>
      </c>
      <c r="C32" s="151">
        <v>33660</v>
      </c>
      <c r="D32" s="151">
        <v>158460</v>
      </c>
      <c r="E32" s="151">
        <f>Data!R32-SUM('- 59 -'!$B32:F32,B32:D32)</f>
        <v>309330</v>
      </c>
      <c r="F32" s="151">
        <f>SUM('- 59 -'!$B32:F32,B32:E32)</f>
        <v>2924188</v>
      </c>
    </row>
    <row r="33" spans="1:6" ht="14.1" customHeight="1">
      <c r="A33" s="355" t="s">
        <v>131</v>
      </c>
      <c r="B33" s="353">
        <v>28972</v>
      </c>
      <c r="C33" s="353">
        <v>29844</v>
      </c>
      <c r="D33" s="353">
        <v>150503</v>
      </c>
      <c r="E33" s="353">
        <f>Data!R33-SUM('- 59 -'!$B33:F33,B33:D33)</f>
        <v>376382</v>
      </c>
      <c r="F33" s="353">
        <f>SUM('- 59 -'!$B33:F33,B33:E33)</f>
        <v>3144611</v>
      </c>
    </row>
    <row r="34" spans="1:6" ht="14.1" customHeight="1">
      <c r="A34" s="237" t="s">
        <v>132</v>
      </c>
      <c r="B34" s="151">
        <v>87710</v>
      </c>
      <c r="C34" s="151">
        <v>28407</v>
      </c>
      <c r="D34" s="151">
        <v>151650</v>
      </c>
      <c r="E34" s="151">
        <f>Data!R34-SUM('- 59 -'!$B34:F34,B34:D34)</f>
        <v>132272</v>
      </c>
      <c r="F34" s="151">
        <f>SUM('- 59 -'!$B34:F34,B34:E34)</f>
        <v>3262197</v>
      </c>
    </row>
    <row r="35" spans="1:6" ht="14.1" customHeight="1">
      <c r="A35" s="355" t="s">
        <v>133</v>
      </c>
      <c r="B35" s="353">
        <v>715905</v>
      </c>
      <c r="C35" s="353">
        <v>210287</v>
      </c>
      <c r="D35" s="353">
        <v>1296222</v>
      </c>
      <c r="E35" s="353">
        <f>Data!R35-SUM('- 59 -'!$B35:F35,B35:D35)</f>
        <v>226820</v>
      </c>
      <c r="F35" s="353">
        <f>SUM('- 59 -'!$B35:F35,B35:E35)</f>
        <v>15546189</v>
      </c>
    </row>
    <row r="36" spans="1:6" ht="14.1" customHeight="1">
      <c r="A36" s="237" t="s">
        <v>134</v>
      </c>
      <c r="B36" s="151">
        <v>4286</v>
      </c>
      <c r="C36" s="151">
        <v>26784</v>
      </c>
      <c r="D36" s="151">
        <v>115763</v>
      </c>
      <c r="E36" s="151">
        <f>Data!R36-SUM('- 59 -'!$B36:F36,B36:D36)</f>
        <v>146051</v>
      </c>
      <c r="F36" s="151">
        <f>SUM('- 59 -'!$B36:F36,B36:E36)</f>
        <v>1889168</v>
      </c>
    </row>
    <row r="37" spans="1:6" ht="14.1" customHeight="1">
      <c r="A37" s="355" t="s">
        <v>135</v>
      </c>
      <c r="B37" s="353">
        <v>331616</v>
      </c>
      <c r="C37" s="353">
        <v>59879</v>
      </c>
      <c r="D37" s="353">
        <v>300086</v>
      </c>
      <c r="E37" s="353">
        <f>Data!R37-SUM('- 59 -'!$B37:F37,B37:D37)</f>
        <v>442594</v>
      </c>
      <c r="F37" s="353">
        <f>SUM('- 59 -'!$B37:F37,B37:E37)</f>
        <v>6185695</v>
      </c>
    </row>
    <row r="38" spans="1:6" ht="14.1" customHeight="1">
      <c r="A38" s="237" t="s">
        <v>136</v>
      </c>
      <c r="B38" s="151">
        <v>421050</v>
      </c>
      <c r="C38" s="151">
        <v>141927</v>
      </c>
      <c r="D38" s="151">
        <v>792923</v>
      </c>
      <c r="E38" s="151">
        <f>Data!R38-SUM('- 59 -'!$B38:F38,B38:D38)</f>
        <v>720676</v>
      </c>
      <c r="F38" s="151">
        <f>SUM('- 59 -'!$B38:F38,B38:E38)</f>
        <v>10995274</v>
      </c>
    </row>
    <row r="39" spans="1:6" ht="14.1" customHeight="1">
      <c r="A39" s="355" t="s">
        <v>137</v>
      </c>
      <c r="B39" s="353">
        <v>3206</v>
      </c>
      <c r="C39" s="353">
        <v>23800</v>
      </c>
      <c r="D39" s="353">
        <v>117131</v>
      </c>
      <c r="E39" s="353">
        <f>Data!R39-SUM('- 59 -'!$B39:F39,B39:D39)</f>
        <v>201020</v>
      </c>
      <c r="F39" s="353">
        <f>SUM('- 59 -'!$B39:F39,B39:E39)</f>
        <v>2106444</v>
      </c>
    </row>
    <row r="40" spans="1:6" ht="14.1" customHeight="1">
      <c r="A40" s="237" t="s">
        <v>138</v>
      </c>
      <c r="B40" s="151">
        <v>360152</v>
      </c>
      <c r="C40" s="151">
        <v>103365</v>
      </c>
      <c r="D40" s="151">
        <v>710785</v>
      </c>
      <c r="E40" s="151">
        <f>Data!R40-SUM('- 59 -'!$B40:F40,B40:D40)</f>
        <v>192619</v>
      </c>
      <c r="F40" s="151">
        <f>SUM('- 59 -'!$B40:F40,B40:E40)</f>
        <v>7948075</v>
      </c>
    </row>
    <row r="41" spans="1:6" ht="14.1" customHeight="1">
      <c r="A41" s="355" t="s">
        <v>139</v>
      </c>
      <c r="B41" s="353">
        <v>163834</v>
      </c>
      <c r="C41" s="353">
        <v>56826</v>
      </c>
      <c r="D41" s="353">
        <v>327043</v>
      </c>
      <c r="E41" s="353">
        <f>Data!R41-SUM('- 59 -'!$B41:F41,B41:D41)</f>
        <v>231237</v>
      </c>
      <c r="F41" s="353">
        <f>SUM('- 59 -'!$B41:F41,B41:E41)</f>
        <v>6587245</v>
      </c>
    </row>
    <row r="42" spans="1:6" ht="14.1" customHeight="1">
      <c r="A42" s="237" t="s">
        <v>140</v>
      </c>
      <c r="B42" s="151">
        <v>26395</v>
      </c>
      <c r="C42" s="151">
        <v>19869</v>
      </c>
      <c r="D42" s="151">
        <v>104242</v>
      </c>
      <c r="E42" s="151">
        <f>Data!R42-SUM('- 59 -'!$B42:F42,B42:D42)</f>
        <v>145619</v>
      </c>
      <c r="F42" s="151">
        <f>SUM('- 59 -'!$B42:F42,B42:E42)</f>
        <v>2373912</v>
      </c>
    </row>
    <row r="43" spans="1:6" ht="14.1" customHeight="1">
      <c r="A43" s="355" t="s">
        <v>141</v>
      </c>
      <c r="B43" s="353">
        <v>384</v>
      </c>
      <c r="C43" s="353">
        <v>11730</v>
      </c>
      <c r="D43" s="353">
        <v>72975</v>
      </c>
      <c r="E43" s="353">
        <f>Data!R43-SUM('- 59 -'!$B43:F43,B43:D43)</f>
        <v>130301</v>
      </c>
      <c r="F43" s="353">
        <f>SUM('- 59 -'!$B43:F43,B43:E43)</f>
        <v>1213827</v>
      </c>
    </row>
    <row r="44" spans="1:6" ht="14.1" customHeight="1">
      <c r="A44" s="237" t="s">
        <v>142</v>
      </c>
      <c r="B44" s="151">
        <v>9829</v>
      </c>
      <c r="C44" s="151">
        <v>12021</v>
      </c>
      <c r="D44" s="151">
        <v>53025</v>
      </c>
      <c r="E44" s="151">
        <f>Data!R44-SUM('- 59 -'!$B44:F44,B44:D44)</f>
        <v>114084</v>
      </c>
      <c r="F44" s="151">
        <f>SUM('- 59 -'!$B44:F44,B44:E44)</f>
        <v>1530412</v>
      </c>
    </row>
    <row r="45" spans="1:6" ht="14.1" customHeight="1">
      <c r="A45" s="355" t="s">
        <v>143</v>
      </c>
      <c r="B45" s="353">
        <v>61812</v>
      </c>
      <c r="C45" s="353">
        <v>22920</v>
      </c>
      <c r="D45" s="353">
        <v>121144</v>
      </c>
      <c r="E45" s="353">
        <f>Data!R45-SUM('- 59 -'!$B45:F45,B45:D45)</f>
        <v>113626</v>
      </c>
      <c r="F45" s="353">
        <f>SUM('- 59 -'!$B45:F45,B45:E45)</f>
        <v>1669720</v>
      </c>
    </row>
    <row r="46" spans="1:6" ht="14.1" customHeight="1">
      <c r="A46" s="237" t="s">
        <v>144</v>
      </c>
      <c r="B46" s="151">
        <v>889545</v>
      </c>
      <c r="C46" s="151">
        <v>517270</v>
      </c>
      <c r="D46" s="151">
        <v>2361723</v>
      </c>
      <c r="E46" s="151">
        <f>Data!R46-SUM('- 59 -'!$B46:F46,B46:D46)</f>
        <v>135566</v>
      </c>
      <c r="F46" s="151">
        <f>SUM('- 59 -'!$B46:F46,B46:E46)</f>
        <v>28134820</v>
      </c>
    </row>
    <row r="47" spans="1:6" ht="5.0999999999999996" customHeight="1">
      <c r="A47" s="130"/>
      <c r="B47" s="152"/>
      <c r="C47" s="152"/>
      <c r="D47" s="152"/>
      <c r="E47" s="152"/>
      <c r="F47" s="152"/>
    </row>
    <row r="48" spans="1:6" ht="14.1" customHeight="1">
      <c r="A48" s="356" t="s">
        <v>145</v>
      </c>
      <c r="B48" s="357">
        <f t="shared" ref="B48:D48" si="0">SUM(B11:B46)</f>
        <v>7209403</v>
      </c>
      <c r="C48" s="357">
        <f t="shared" si="0"/>
        <v>2533950</v>
      </c>
      <c r="D48" s="357">
        <f t="shared" si="0"/>
        <v>13147303</v>
      </c>
      <c r="E48" s="357">
        <f>SUM(E11:E46)</f>
        <v>15645961</v>
      </c>
      <c r="F48" s="357">
        <f>SUM(F11:F46)</f>
        <v>198624331</v>
      </c>
    </row>
    <row r="49" spans="1:6" ht="5.0999999999999996" customHeight="1">
      <c r="A49" s="130" t="s">
        <v>7</v>
      </c>
      <c r="B49" s="152"/>
      <c r="C49" s="152"/>
      <c r="D49" s="152"/>
      <c r="E49" s="152"/>
      <c r="F49" s="152"/>
    </row>
    <row r="50" spans="1:6" ht="14.1" customHeight="1">
      <c r="A50" s="237" t="s">
        <v>146</v>
      </c>
      <c r="B50" s="151">
        <v>321</v>
      </c>
      <c r="C50" s="151">
        <v>5550</v>
      </c>
      <c r="D50" s="151">
        <v>12494</v>
      </c>
      <c r="E50" s="151">
        <f>Data!R50-SUM('- 59 -'!$B50:F50,B50:D50)</f>
        <v>49029</v>
      </c>
      <c r="F50" s="151">
        <f>SUM('- 59 -'!$B50:F50,B50:E50)</f>
        <v>180332</v>
      </c>
    </row>
    <row r="51" spans="1:6" ht="14.1" customHeight="1">
      <c r="A51" s="355" t="s">
        <v>612</v>
      </c>
      <c r="B51" s="353">
        <v>0</v>
      </c>
      <c r="C51" s="353">
        <v>0</v>
      </c>
      <c r="D51" s="353">
        <v>0</v>
      </c>
      <c r="E51" s="353">
        <f>Data!R51-SUM('- 59 -'!$B51:F51,B51:D51)</f>
        <v>0</v>
      </c>
      <c r="F51" s="353">
        <f>SUM('- 59 -'!$B51:F51,B51:E51)</f>
        <v>0</v>
      </c>
    </row>
    <row r="52" spans="1:6" ht="50.1" customHeight="1">
      <c r="A52" s="23"/>
      <c r="B52" s="23"/>
      <c r="C52" s="23"/>
      <c r="D52" s="23"/>
      <c r="E52" s="23"/>
      <c r="F52" s="23"/>
    </row>
    <row r="53" spans="1:6" ht="15" customHeight="1">
      <c r="A53" s="133" t="s">
        <v>389</v>
      </c>
      <c r="E53" s="38"/>
      <c r="F53" s="38"/>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sheetPr codeName="Sheet48">
    <pageSetUpPr fitToPage="1"/>
  </sheetPr>
  <dimension ref="A1:F59"/>
  <sheetViews>
    <sheetView showGridLines="0" showZeros="0" workbookViewId="0"/>
  </sheetViews>
  <sheetFormatPr defaultColWidth="23.83203125" defaultRowHeight="12"/>
  <cols>
    <col min="1" max="1" width="30.1640625" style="2" customWidth="1"/>
    <col min="2" max="2" width="18" style="2" customWidth="1"/>
    <col min="3" max="3" width="18.6640625" style="2" customWidth="1"/>
    <col min="4" max="4" width="18.33203125" style="2" customWidth="1"/>
    <col min="5" max="5" width="18" style="2" customWidth="1"/>
    <col min="6" max="6" width="21.6640625" style="2" customWidth="1"/>
    <col min="7" max="16384" width="23.83203125" style="2"/>
  </cols>
  <sheetData>
    <row r="1" spans="1:6" ht="6.95" customHeight="1">
      <c r="A1" s="7"/>
      <c r="B1" s="7"/>
      <c r="C1" s="7"/>
      <c r="D1" s="7"/>
      <c r="E1" s="7"/>
      <c r="F1" s="7"/>
    </row>
    <row r="2" spans="1:6" ht="15.95" customHeight="1">
      <c r="A2" s="261"/>
      <c r="B2" s="204" t="str">
        <f>REVYEAR</f>
        <v>ANALYSIS OF OPERATING FUND REVENUE: 2015/2016 ACTUAL</v>
      </c>
      <c r="C2" s="204"/>
      <c r="D2" s="204"/>
      <c r="E2" s="262"/>
      <c r="F2" s="215" t="s">
        <v>102</v>
      </c>
    </row>
    <row r="3" spans="1:6" ht="15.95" customHeight="1">
      <c r="A3" s="539"/>
      <c r="B3" s="263"/>
      <c r="C3" s="263"/>
      <c r="D3" s="263"/>
      <c r="E3" s="263"/>
      <c r="F3" s="263"/>
    </row>
    <row r="4" spans="1:6" ht="15.95" customHeight="1"/>
    <row r="5" spans="1:6" ht="15.95" customHeight="1">
      <c r="B5" s="789" t="s">
        <v>581</v>
      </c>
      <c r="C5" s="790"/>
      <c r="D5" s="790"/>
      <c r="E5" s="790"/>
      <c r="F5" s="791"/>
    </row>
    <row r="6" spans="1:6" ht="15.95" customHeight="1">
      <c r="B6" s="792"/>
      <c r="C6" s="793"/>
      <c r="D6" s="793"/>
      <c r="E6" s="793"/>
      <c r="F6" s="794"/>
    </row>
    <row r="7" spans="1:6" ht="15.95" customHeight="1">
      <c r="B7" s="220"/>
      <c r="C7" s="697" t="s">
        <v>592</v>
      </c>
      <c r="D7" s="220"/>
      <c r="E7" s="697" t="s">
        <v>594</v>
      </c>
      <c r="F7" s="697" t="s">
        <v>595</v>
      </c>
    </row>
    <row r="8" spans="1:6" ht="15.95" customHeight="1">
      <c r="A8" s="33"/>
      <c r="B8" s="800" t="s">
        <v>591</v>
      </c>
      <c r="C8" s="800"/>
      <c r="D8" s="800" t="s">
        <v>593</v>
      </c>
      <c r="E8" s="800"/>
      <c r="F8" s="817"/>
    </row>
    <row r="9" spans="1:6" ht="15.95" customHeight="1">
      <c r="A9" s="82" t="s">
        <v>42</v>
      </c>
      <c r="B9" s="801"/>
      <c r="C9" s="801"/>
      <c r="D9" s="801"/>
      <c r="E9" s="801"/>
      <c r="F9" s="698"/>
    </row>
    <row r="10" spans="1:6" ht="5.0999999999999996" customHeight="1">
      <c r="A10" s="6"/>
      <c r="B10" s="7"/>
      <c r="C10" s="7"/>
      <c r="D10" s="7"/>
      <c r="E10" s="7"/>
      <c r="F10" s="7"/>
    </row>
    <row r="11" spans="1:6" ht="14.1" customHeight="1">
      <c r="A11" s="355" t="s">
        <v>110</v>
      </c>
      <c r="B11" s="353">
        <v>2289023</v>
      </c>
      <c r="C11" s="353">
        <v>0</v>
      </c>
      <c r="D11" s="353">
        <v>0</v>
      </c>
      <c r="E11" s="353">
        <v>95097</v>
      </c>
      <c r="F11" s="353">
        <f>SUM('- 58 -'!$G11,'- 60 -'!$F11,B11:E11)+Data!Q11</f>
        <v>9809435</v>
      </c>
    </row>
    <row r="12" spans="1:6" ht="14.1" customHeight="1">
      <c r="A12" s="237" t="s">
        <v>111</v>
      </c>
      <c r="B12" s="151">
        <v>5278097</v>
      </c>
      <c r="C12" s="151">
        <v>1575</v>
      </c>
      <c r="D12" s="151">
        <v>0</v>
      </c>
      <c r="E12" s="151">
        <v>274032</v>
      </c>
      <c r="F12" s="151">
        <f>SUM('- 58 -'!$G12,'- 60 -'!$F12,B12:E12)+Data!Q12</f>
        <v>15456058</v>
      </c>
    </row>
    <row r="13" spans="1:6" ht="14.1" customHeight="1">
      <c r="A13" s="355" t="s">
        <v>112</v>
      </c>
      <c r="B13" s="353">
        <v>14239065</v>
      </c>
      <c r="C13" s="353">
        <v>0</v>
      </c>
      <c r="D13" s="353">
        <v>0</v>
      </c>
      <c r="E13" s="353">
        <v>489612</v>
      </c>
      <c r="F13" s="353">
        <f>SUM('- 58 -'!$G13,'- 60 -'!$F13,B13:E13)+Data!Q13</f>
        <v>46187884</v>
      </c>
    </row>
    <row r="14" spans="1:6" ht="14.1" customHeight="1">
      <c r="A14" s="237" t="s">
        <v>359</v>
      </c>
      <c r="B14" s="151">
        <v>9928452</v>
      </c>
      <c r="C14" s="151">
        <v>0</v>
      </c>
      <c r="D14" s="151">
        <v>0</v>
      </c>
      <c r="E14" s="151">
        <v>240989</v>
      </c>
      <c r="F14" s="151">
        <f>SUM('- 58 -'!$G14,'- 60 -'!$F14,B14:E14)+Data!Q14</f>
        <v>34374957</v>
      </c>
    </row>
    <row r="15" spans="1:6" ht="14.1" customHeight="1">
      <c r="A15" s="355" t="s">
        <v>113</v>
      </c>
      <c r="B15" s="353">
        <v>0</v>
      </c>
      <c r="C15" s="353">
        <v>0</v>
      </c>
      <c r="D15" s="353">
        <v>1038863</v>
      </c>
      <c r="E15" s="353">
        <v>84140</v>
      </c>
      <c r="F15" s="353">
        <f>SUM('- 58 -'!$G15,'- 60 -'!$F15,B15:E15)+Data!Q15</f>
        <v>8287813</v>
      </c>
    </row>
    <row r="16" spans="1:6" ht="14.1" customHeight="1">
      <c r="A16" s="237" t="s">
        <v>114</v>
      </c>
      <c r="B16" s="151">
        <v>3623409</v>
      </c>
      <c r="C16" s="151">
        <v>208582</v>
      </c>
      <c r="D16" s="151">
        <v>0</v>
      </c>
      <c r="E16" s="151">
        <v>98372</v>
      </c>
      <c r="F16" s="151">
        <f>SUM('- 58 -'!$G16,'- 60 -'!$F16,B16:E16)+Data!Q16</f>
        <v>8449062</v>
      </c>
    </row>
    <row r="17" spans="1:6" ht="14.1" customHeight="1">
      <c r="A17" s="355" t="s">
        <v>115</v>
      </c>
      <c r="B17" s="353">
        <v>0</v>
      </c>
      <c r="C17" s="353">
        <v>0</v>
      </c>
      <c r="D17" s="353">
        <v>1097228</v>
      </c>
      <c r="E17" s="353">
        <v>103040</v>
      </c>
      <c r="F17" s="353">
        <f>SUM('- 58 -'!$G17,'- 60 -'!$F17,B17:E17)+Data!Q17</f>
        <v>7447552</v>
      </c>
    </row>
    <row r="18" spans="1:6" ht="14.1" customHeight="1">
      <c r="A18" s="237" t="s">
        <v>116</v>
      </c>
      <c r="B18" s="151">
        <v>12224522</v>
      </c>
      <c r="C18" s="151">
        <v>4758592</v>
      </c>
      <c r="D18" s="151">
        <v>956252</v>
      </c>
      <c r="E18" s="151">
        <v>406278</v>
      </c>
      <c r="F18" s="151">
        <f>SUM('- 58 -'!$G18,'- 60 -'!$F18,B18:E18)+Data!Q18</f>
        <v>36939219</v>
      </c>
    </row>
    <row r="19" spans="1:6" ht="14.1" customHeight="1">
      <c r="A19" s="355" t="s">
        <v>117</v>
      </c>
      <c r="B19" s="353">
        <v>9838104</v>
      </c>
      <c r="C19" s="353">
        <v>0</v>
      </c>
      <c r="D19" s="353">
        <v>0</v>
      </c>
      <c r="E19" s="353">
        <v>124420</v>
      </c>
      <c r="F19" s="353">
        <f>SUM('- 58 -'!$G19,'- 60 -'!$F19,B19:E19)+Data!Q19</f>
        <v>27511125</v>
      </c>
    </row>
    <row r="20" spans="1:6" ht="14.1" customHeight="1">
      <c r="A20" s="237" t="s">
        <v>118</v>
      </c>
      <c r="B20" s="151">
        <v>16834454</v>
      </c>
      <c r="C20" s="151">
        <v>0</v>
      </c>
      <c r="D20" s="151">
        <v>0</v>
      </c>
      <c r="E20" s="151">
        <v>382108</v>
      </c>
      <c r="F20" s="151">
        <f>SUM('- 58 -'!$G20,'- 60 -'!$F20,B20:E20)+Data!Q20</f>
        <v>48024213</v>
      </c>
    </row>
    <row r="21" spans="1:6" ht="14.1" customHeight="1">
      <c r="A21" s="355" t="s">
        <v>119</v>
      </c>
      <c r="B21" s="353">
        <v>4079489</v>
      </c>
      <c r="C21" s="353">
        <v>0</v>
      </c>
      <c r="D21" s="353">
        <v>607610</v>
      </c>
      <c r="E21" s="353">
        <v>163790</v>
      </c>
      <c r="F21" s="353">
        <f>SUM('- 58 -'!$G21,'- 60 -'!$F21,B21:E21)+Data!Q21</f>
        <v>17208408</v>
      </c>
    </row>
    <row r="22" spans="1:6" ht="14.1" customHeight="1">
      <c r="A22" s="237" t="s">
        <v>120</v>
      </c>
      <c r="B22" s="151">
        <v>4875113</v>
      </c>
      <c r="C22" s="151">
        <v>970692</v>
      </c>
      <c r="D22" s="151">
        <v>0</v>
      </c>
      <c r="E22" s="151">
        <v>75748</v>
      </c>
      <c r="F22" s="151">
        <f>SUM('- 58 -'!$G22,'- 60 -'!$F22,B22:E22)+Data!Q22</f>
        <v>13757005</v>
      </c>
    </row>
    <row r="23" spans="1:6" ht="14.1" customHeight="1">
      <c r="A23" s="355" t="s">
        <v>121</v>
      </c>
      <c r="B23" s="353">
        <v>3067307</v>
      </c>
      <c r="C23" s="353">
        <v>419953</v>
      </c>
      <c r="D23" s="353">
        <v>144322</v>
      </c>
      <c r="E23" s="353">
        <v>104964</v>
      </c>
      <c r="F23" s="353">
        <f>SUM('- 58 -'!$G23,'- 60 -'!$F23,B23:E23)+Data!Q23</f>
        <v>9756042</v>
      </c>
    </row>
    <row r="24" spans="1:6" ht="14.1" customHeight="1">
      <c r="A24" s="237" t="s">
        <v>122</v>
      </c>
      <c r="B24" s="151">
        <v>4830624</v>
      </c>
      <c r="C24" s="151">
        <v>0</v>
      </c>
      <c r="D24" s="151">
        <v>852477</v>
      </c>
      <c r="E24" s="151">
        <v>308770</v>
      </c>
      <c r="F24" s="151">
        <f>SUM('- 58 -'!$G24,'- 60 -'!$F24,B24:E24)+Data!Q24</f>
        <v>24121917</v>
      </c>
    </row>
    <row r="25" spans="1:6" ht="14.1" customHeight="1">
      <c r="A25" s="355" t="s">
        <v>123</v>
      </c>
      <c r="B25" s="353">
        <v>12137128</v>
      </c>
      <c r="C25" s="353">
        <v>0</v>
      </c>
      <c r="D25" s="353">
        <v>1228739</v>
      </c>
      <c r="E25" s="353">
        <v>650213</v>
      </c>
      <c r="F25" s="353">
        <f>SUM('- 58 -'!$G25,'- 60 -'!$F25,B25:E25)+Data!Q25</f>
        <v>71675602</v>
      </c>
    </row>
    <row r="26" spans="1:6" ht="14.1" customHeight="1">
      <c r="A26" s="237" t="s">
        <v>124</v>
      </c>
      <c r="B26" s="151">
        <v>6811587</v>
      </c>
      <c r="C26" s="151">
        <v>719357</v>
      </c>
      <c r="D26" s="151">
        <v>0</v>
      </c>
      <c r="E26" s="151">
        <v>359447</v>
      </c>
      <c r="F26" s="151">
        <f>SUM('- 58 -'!$G26,'- 60 -'!$F26,B26:E26)+Data!Q26</f>
        <v>22356162</v>
      </c>
    </row>
    <row r="27" spans="1:6" ht="14.1" customHeight="1">
      <c r="A27" s="355" t="s">
        <v>125</v>
      </c>
      <c r="B27" s="353">
        <v>10143845</v>
      </c>
      <c r="C27" s="353">
        <v>3841201</v>
      </c>
      <c r="D27" s="353">
        <v>0</v>
      </c>
      <c r="E27" s="353">
        <v>121180</v>
      </c>
      <c r="F27" s="353">
        <f>SUM('- 58 -'!$G27,'- 60 -'!$F27,B27:E27)+Data!Q27</f>
        <v>27705455</v>
      </c>
    </row>
    <row r="28" spans="1:6" ht="14.1" customHeight="1">
      <c r="A28" s="237" t="s">
        <v>126</v>
      </c>
      <c r="B28" s="151">
        <v>1895225</v>
      </c>
      <c r="C28" s="151">
        <v>0</v>
      </c>
      <c r="D28" s="151">
        <v>549599</v>
      </c>
      <c r="E28" s="151">
        <v>172705</v>
      </c>
      <c r="F28" s="151">
        <f>SUM('- 58 -'!$G28,'- 60 -'!$F28,B28:E28)+Data!Q28</f>
        <v>10784508</v>
      </c>
    </row>
    <row r="29" spans="1:6" ht="14.1" customHeight="1">
      <c r="A29" s="355" t="s">
        <v>127</v>
      </c>
      <c r="B29" s="353">
        <v>511067</v>
      </c>
      <c r="C29" s="353">
        <v>0</v>
      </c>
      <c r="D29" s="353">
        <v>4102472</v>
      </c>
      <c r="E29" s="353">
        <v>428462</v>
      </c>
      <c r="F29" s="353">
        <f>SUM('- 58 -'!$G29,'- 60 -'!$F29,B29:E29)+Data!Q29</f>
        <v>54244963</v>
      </c>
    </row>
    <row r="30" spans="1:6" ht="14.1" customHeight="1">
      <c r="A30" s="237" t="s">
        <v>128</v>
      </c>
      <c r="B30" s="151">
        <v>1896206</v>
      </c>
      <c r="C30" s="151">
        <v>0</v>
      </c>
      <c r="D30" s="151">
        <v>58734</v>
      </c>
      <c r="E30" s="151">
        <v>92920</v>
      </c>
      <c r="F30" s="151">
        <f>SUM('- 58 -'!$G30,'- 60 -'!$F30,B30:E30)+Data!Q30</f>
        <v>7577278</v>
      </c>
    </row>
    <row r="31" spans="1:6" ht="14.1" customHeight="1">
      <c r="A31" s="355" t="s">
        <v>129</v>
      </c>
      <c r="B31" s="353">
        <v>5160094</v>
      </c>
      <c r="C31" s="353">
        <v>0</v>
      </c>
      <c r="D31" s="353">
        <v>0</v>
      </c>
      <c r="E31" s="353">
        <v>206619</v>
      </c>
      <c r="F31" s="353">
        <f>SUM('- 58 -'!$G31,'- 60 -'!$F31,B31:E31)+Data!Q31</f>
        <v>19133123</v>
      </c>
    </row>
    <row r="32" spans="1:6" ht="14.1" customHeight="1">
      <c r="A32" s="237" t="s">
        <v>130</v>
      </c>
      <c r="B32" s="151">
        <v>2353151</v>
      </c>
      <c r="C32" s="151">
        <v>0</v>
      </c>
      <c r="D32" s="151">
        <v>0</v>
      </c>
      <c r="E32" s="151">
        <v>156760</v>
      </c>
      <c r="F32" s="151">
        <f>SUM('- 58 -'!$G32,'- 60 -'!$F32,B32:E32)+Data!Q32</f>
        <v>12889263</v>
      </c>
    </row>
    <row r="33" spans="1:6" ht="14.1" customHeight="1">
      <c r="A33" s="355" t="s">
        <v>131</v>
      </c>
      <c r="B33" s="353">
        <v>2534553</v>
      </c>
      <c r="C33" s="353">
        <v>0</v>
      </c>
      <c r="D33" s="353">
        <v>513998</v>
      </c>
      <c r="E33" s="353">
        <v>193640</v>
      </c>
      <c r="F33" s="353">
        <f>SUM('- 58 -'!$G33,'- 60 -'!$F33,B33:E33)+Data!Q33</f>
        <v>14153301</v>
      </c>
    </row>
    <row r="34" spans="1:6" ht="14.1" customHeight="1">
      <c r="A34" s="237" t="s">
        <v>132</v>
      </c>
      <c r="B34" s="151">
        <v>1933315</v>
      </c>
      <c r="C34" s="151">
        <v>0</v>
      </c>
      <c r="D34" s="151">
        <v>181153</v>
      </c>
      <c r="E34" s="151">
        <v>214439</v>
      </c>
      <c r="F34" s="151">
        <f>SUM('- 58 -'!$G34,'- 60 -'!$F34,B34:E34)+Data!Q34</f>
        <v>12640957</v>
      </c>
    </row>
    <row r="35" spans="1:6" ht="14.1" customHeight="1">
      <c r="A35" s="355" t="s">
        <v>133</v>
      </c>
      <c r="B35" s="353">
        <v>21853787</v>
      </c>
      <c r="C35" s="353">
        <v>3036165</v>
      </c>
      <c r="D35" s="353">
        <v>1255216</v>
      </c>
      <c r="E35" s="353">
        <v>1011744</v>
      </c>
      <c r="F35" s="353">
        <f>SUM('- 58 -'!$G35,'- 60 -'!$F35,B35:E35)+Data!Q35</f>
        <v>89918198</v>
      </c>
    </row>
    <row r="36" spans="1:6" ht="14.1" customHeight="1">
      <c r="A36" s="237" t="s">
        <v>134</v>
      </c>
      <c r="B36" s="151">
        <v>1150807</v>
      </c>
      <c r="C36" s="151">
        <v>0</v>
      </c>
      <c r="D36" s="151">
        <v>1341248</v>
      </c>
      <c r="E36" s="151">
        <v>132180</v>
      </c>
      <c r="F36" s="151">
        <f>SUM('- 58 -'!$G36,'- 60 -'!$F36,B36:E36)+Data!Q36</f>
        <v>10199700</v>
      </c>
    </row>
    <row r="37" spans="1:6" ht="14.1" customHeight="1">
      <c r="A37" s="355" t="s">
        <v>135</v>
      </c>
      <c r="B37" s="353">
        <v>8805508</v>
      </c>
      <c r="C37" s="353">
        <v>0</v>
      </c>
      <c r="D37" s="353">
        <v>0</v>
      </c>
      <c r="E37" s="353">
        <v>148900</v>
      </c>
      <c r="F37" s="353">
        <f>SUM('- 58 -'!$G37,'- 60 -'!$F37,B37:E37)+Data!Q37</f>
        <v>27616478</v>
      </c>
    </row>
    <row r="38" spans="1:6" ht="14.1" customHeight="1">
      <c r="A38" s="237" t="s">
        <v>136</v>
      </c>
      <c r="B38" s="151">
        <v>22851949</v>
      </c>
      <c r="C38" s="151">
        <v>4111702</v>
      </c>
      <c r="D38" s="151">
        <v>0</v>
      </c>
      <c r="E38" s="151">
        <v>414646</v>
      </c>
      <c r="F38" s="151">
        <f>SUM('- 58 -'!$G38,'- 60 -'!$F38,B38:E38)+Data!Q38</f>
        <v>69278723</v>
      </c>
    </row>
    <row r="39" spans="1:6" ht="14.1" customHeight="1">
      <c r="A39" s="355" t="s">
        <v>137</v>
      </c>
      <c r="B39" s="353">
        <v>0</v>
      </c>
      <c r="C39" s="353">
        <v>0</v>
      </c>
      <c r="D39" s="353">
        <v>1391880</v>
      </c>
      <c r="E39" s="353">
        <v>111640</v>
      </c>
      <c r="F39" s="353">
        <f>SUM('- 58 -'!$G39,'- 60 -'!$F39,B39:E39)+Data!Q39</f>
        <v>9178089</v>
      </c>
    </row>
    <row r="40" spans="1:6" ht="14.1" customHeight="1">
      <c r="A40" s="237" t="s">
        <v>138</v>
      </c>
      <c r="B40" s="151">
        <v>1291194</v>
      </c>
      <c r="C40" s="151">
        <v>0</v>
      </c>
      <c r="D40" s="151">
        <v>4587316</v>
      </c>
      <c r="E40" s="151">
        <v>494063</v>
      </c>
      <c r="F40" s="151">
        <f>SUM('- 58 -'!$G40,'- 60 -'!$F40,B40:E40)+Data!Q40</f>
        <v>38990213</v>
      </c>
    </row>
    <row r="41" spans="1:6" ht="14.1" customHeight="1">
      <c r="A41" s="355" t="s">
        <v>139</v>
      </c>
      <c r="B41" s="353">
        <v>3907758</v>
      </c>
      <c r="C41" s="353">
        <v>0</v>
      </c>
      <c r="D41" s="353">
        <v>1045117</v>
      </c>
      <c r="E41" s="353">
        <v>202094</v>
      </c>
      <c r="F41" s="353">
        <f>SUM('- 58 -'!$G41,'- 60 -'!$F41,B41:E41)+Data!Q41</f>
        <v>25664653</v>
      </c>
    </row>
    <row r="42" spans="1:6" ht="14.1" customHeight="1">
      <c r="A42" s="237" t="s">
        <v>140</v>
      </c>
      <c r="B42" s="151">
        <v>3461665</v>
      </c>
      <c r="C42" s="151">
        <v>557431</v>
      </c>
      <c r="D42" s="151">
        <v>259888</v>
      </c>
      <c r="E42" s="151">
        <v>287909</v>
      </c>
      <c r="F42" s="151">
        <f>SUM('- 58 -'!$G42,'- 60 -'!$F42,B42:E42)+Data!Q42</f>
        <v>11911105</v>
      </c>
    </row>
    <row r="43" spans="1:6" ht="14.1" customHeight="1">
      <c r="A43" s="355" t="s">
        <v>141</v>
      </c>
      <c r="B43" s="353">
        <v>1127897</v>
      </c>
      <c r="C43" s="353">
        <v>0</v>
      </c>
      <c r="D43" s="353">
        <v>236069</v>
      </c>
      <c r="E43" s="353">
        <v>61200</v>
      </c>
      <c r="F43" s="353">
        <f>SUM('- 58 -'!$G43,'- 60 -'!$F43,B43:E43)+Data!Q43</f>
        <v>6038874</v>
      </c>
    </row>
    <row r="44" spans="1:6" ht="14.1" customHeight="1">
      <c r="A44" s="237" t="s">
        <v>142</v>
      </c>
      <c r="B44" s="151">
        <v>2461035</v>
      </c>
      <c r="C44" s="151">
        <v>434059</v>
      </c>
      <c r="D44" s="151">
        <v>0</v>
      </c>
      <c r="E44" s="151">
        <v>70840</v>
      </c>
      <c r="F44" s="151">
        <f>SUM('- 58 -'!$G44,'- 60 -'!$F44,B44:E44)+Data!Q44</f>
        <v>7392433</v>
      </c>
    </row>
    <row r="45" spans="1:6" ht="14.1" customHeight="1">
      <c r="A45" s="355" t="s">
        <v>143</v>
      </c>
      <c r="B45" s="353">
        <v>3386023</v>
      </c>
      <c r="C45" s="353">
        <v>0</v>
      </c>
      <c r="D45" s="353">
        <v>0</v>
      </c>
      <c r="E45" s="353">
        <v>82984</v>
      </c>
      <c r="F45" s="353">
        <f>SUM('- 58 -'!$G45,'- 60 -'!$F45,B45:E45)+Data!Q45</f>
        <v>9903746</v>
      </c>
    </row>
    <row r="46" spans="1:6" ht="14.1" customHeight="1">
      <c r="A46" s="237" t="s">
        <v>144</v>
      </c>
      <c r="B46" s="151">
        <v>50042843</v>
      </c>
      <c r="C46" s="151">
        <v>4863665</v>
      </c>
      <c r="D46" s="151">
        <v>0</v>
      </c>
      <c r="E46" s="151">
        <v>1636145</v>
      </c>
      <c r="F46" s="151">
        <f>SUM('- 58 -'!$G46,'- 60 -'!$F46,B46:E46)+Data!Q46</f>
        <v>183348063</v>
      </c>
    </row>
    <row r="47" spans="1:6" ht="5.0999999999999996" customHeight="1">
      <c r="A47" s="130"/>
      <c r="B47" s="152"/>
      <c r="C47" s="152"/>
      <c r="D47" s="152"/>
      <c r="E47" s="152"/>
      <c r="F47" s="152"/>
    </row>
    <row r="48" spans="1:6" ht="14.1" customHeight="1">
      <c r="A48" s="356" t="s">
        <v>145</v>
      </c>
      <c r="B48" s="357">
        <f t="shared" ref="B48:C48" si="0">SUM(B11:B46)</f>
        <v>256824296</v>
      </c>
      <c r="C48" s="357">
        <f t="shared" si="0"/>
        <v>23922974</v>
      </c>
      <c r="D48" s="357">
        <f t="shared" ref="D48:E48" si="1">SUM(D11:D46)</f>
        <v>21448181</v>
      </c>
      <c r="E48" s="357">
        <f t="shared" si="1"/>
        <v>10202090</v>
      </c>
      <c r="F48" s="357">
        <f>SUM(F11:F46)</f>
        <v>1049931577</v>
      </c>
    </row>
    <row r="49" spans="1:6" ht="5.0999999999999996" customHeight="1">
      <c r="A49" s="130" t="s">
        <v>7</v>
      </c>
      <c r="B49" s="152"/>
      <c r="C49" s="152"/>
      <c r="D49" s="152"/>
      <c r="E49" s="152"/>
      <c r="F49" s="152"/>
    </row>
    <row r="50" spans="1:6" ht="14.1" customHeight="1">
      <c r="A50" s="237" t="s">
        <v>146</v>
      </c>
      <c r="B50" s="151">
        <v>0</v>
      </c>
      <c r="C50" s="151">
        <v>0</v>
      </c>
      <c r="D50" s="151">
        <v>173472</v>
      </c>
      <c r="E50" s="151">
        <v>-4032</v>
      </c>
      <c r="F50" s="151">
        <f>SUM('- 58 -'!$G50,'- 60 -'!$F50,B50:E50)+Data!Q50</f>
        <v>947720</v>
      </c>
    </row>
    <row r="51" spans="1:6" ht="14.1" customHeight="1">
      <c r="A51" s="355" t="s">
        <v>612</v>
      </c>
      <c r="B51" s="353">
        <v>0</v>
      </c>
      <c r="C51" s="353">
        <v>0</v>
      </c>
      <c r="D51" s="353">
        <v>0</v>
      </c>
      <c r="E51" s="353">
        <v>0</v>
      </c>
      <c r="F51" s="353">
        <f>SUM('- 58 -'!$G51,'- 60 -'!$F51,B51:E51)+Data!Q51</f>
        <v>0</v>
      </c>
    </row>
    <row r="52" spans="1:6" ht="50.1" customHeight="1">
      <c r="A52" s="23"/>
      <c r="B52" s="23"/>
      <c r="C52" s="23"/>
      <c r="D52" s="23"/>
      <c r="E52" s="23"/>
      <c r="F52" s="23"/>
    </row>
    <row r="53" spans="1:6" ht="15" customHeight="1">
      <c r="A53" s="816" t="s">
        <v>597</v>
      </c>
      <c r="B53" s="816"/>
      <c r="C53" s="816"/>
      <c r="D53" s="816"/>
      <c r="E53" s="816"/>
      <c r="F53" s="816"/>
    </row>
    <row r="54" spans="1:6" ht="12" customHeight="1">
      <c r="A54" s="815"/>
      <c r="B54" s="815"/>
      <c r="C54" s="815"/>
      <c r="D54" s="815"/>
      <c r="E54" s="815"/>
      <c r="F54" s="815"/>
    </row>
    <row r="55" spans="1:6">
      <c r="A55" s="815" t="s">
        <v>596</v>
      </c>
      <c r="B55" s="815"/>
      <c r="C55" s="815"/>
      <c r="D55" s="815"/>
      <c r="E55" s="815"/>
      <c r="F55" s="815"/>
    </row>
    <row r="56" spans="1:6">
      <c r="A56" s="815"/>
      <c r="B56" s="815"/>
      <c r="C56" s="815"/>
      <c r="D56" s="815"/>
      <c r="E56" s="815"/>
      <c r="F56" s="815"/>
    </row>
    <row r="57" spans="1:6">
      <c r="A57" s="529" t="str">
        <f>"(3)  Formula Guarantee is provided to ensure that every school division receives at least the same level of funding as provided in "&amp;PrevY&amp;"."</f>
        <v>(3)  Formula Guarantee is provided to ensure that every school division receives at least the same level of funding as provided in 2014/15.</v>
      </c>
    </row>
    <row r="58" spans="1:6">
      <c r="A58" s="24" t="s">
        <v>385</v>
      </c>
    </row>
    <row r="59" spans="1:6">
      <c r="A59" s="2" t="s">
        <v>386</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sheetPr codeName="Sheet611">
    <pageSetUpPr fitToPage="1"/>
  </sheetPr>
  <dimension ref="A1:I64"/>
  <sheetViews>
    <sheetView showGridLines="0" showZeros="0" workbookViewId="0"/>
  </sheetViews>
  <sheetFormatPr defaultColWidth="14.83203125" defaultRowHeight="12"/>
  <cols>
    <col min="1" max="1" width="27.83203125" style="2" customWidth="1"/>
    <col min="2" max="2" width="20" style="2" customWidth="1"/>
    <col min="3" max="3" width="22.83203125" style="2" customWidth="1"/>
    <col min="4" max="4" width="23.6640625" style="2" customWidth="1"/>
    <col min="5" max="5" width="14.83203125" style="2" hidden="1" customWidth="1"/>
    <col min="6" max="6" width="34" style="2" customWidth="1"/>
    <col min="7" max="16384" width="14.83203125" style="2"/>
  </cols>
  <sheetData>
    <row r="1" spans="1:9" ht="6.95" customHeight="1">
      <c r="A1" s="7"/>
      <c r="B1" s="8"/>
    </row>
    <row r="2" spans="1:9" ht="18" customHeight="1">
      <c r="A2" s="251"/>
      <c r="B2" s="579"/>
      <c r="C2" s="579" t="s">
        <v>280</v>
      </c>
      <c r="D2" s="483" t="str">
        <f>Data!B5&amp; " ACTUAL"</f>
        <v>2015/16 ACTUAL</v>
      </c>
      <c r="F2" s="387" t="s">
        <v>11</v>
      </c>
    </row>
    <row r="3" spans="1:9" ht="3.95" customHeight="1">
      <c r="A3" s="538"/>
      <c r="B3" s="253"/>
      <c r="C3" s="253"/>
      <c r="D3" s="258"/>
    </row>
    <row r="4" spans="1:9" ht="14.1" customHeight="1">
      <c r="A4" s="259"/>
      <c r="B4" s="820" t="s">
        <v>250</v>
      </c>
      <c r="C4" s="821"/>
      <c r="D4" s="822"/>
    </row>
    <row r="5" spans="1:9" ht="12.95" customHeight="1">
      <c r="A5" s="260"/>
      <c r="B5" s="257"/>
      <c r="C5" s="726" t="s">
        <v>637</v>
      </c>
      <c r="D5" s="257"/>
    </row>
    <row r="6" spans="1:9" ht="12.95" customHeight="1">
      <c r="A6" s="255"/>
      <c r="B6" s="257"/>
      <c r="C6" s="809"/>
      <c r="D6" s="257"/>
    </row>
    <row r="7" spans="1:9" ht="12.95" customHeight="1">
      <c r="A7" s="255"/>
      <c r="B7" s="257"/>
      <c r="C7" s="809"/>
      <c r="D7" s="257"/>
    </row>
    <row r="8" spans="1:9" ht="12.95" customHeight="1">
      <c r="A8" s="255"/>
      <c r="B8" s="257"/>
      <c r="C8" s="809"/>
      <c r="D8" s="257"/>
    </row>
    <row r="9" spans="1:9" ht="12.95" customHeight="1">
      <c r="A9" s="255"/>
      <c r="B9" s="809" t="s">
        <v>636</v>
      </c>
      <c r="C9" s="809"/>
      <c r="D9" s="809" t="s">
        <v>638</v>
      </c>
    </row>
    <row r="10" spans="1:9" ht="12.95" customHeight="1">
      <c r="A10" s="16"/>
      <c r="B10" s="809"/>
      <c r="C10" s="809"/>
      <c r="D10" s="809"/>
    </row>
    <row r="11" spans="1:9" ht="12.95" customHeight="1">
      <c r="A11" s="17" t="s">
        <v>42</v>
      </c>
      <c r="B11" s="810"/>
      <c r="C11" s="810"/>
      <c r="D11" s="810"/>
      <c r="I11" s="512" t="str">
        <f>IF(SUM(I13:I53)&lt;&gt;0,"Check","")</f>
        <v/>
      </c>
    </row>
    <row r="12" spans="1:9" ht="5.0999999999999996" customHeight="1">
      <c r="A12" s="18"/>
    </row>
    <row r="13" spans="1:9" ht="13.5" customHeight="1">
      <c r="A13" s="355" t="s">
        <v>110</v>
      </c>
      <c r="B13" s="353">
        <v>666785</v>
      </c>
      <c r="C13" s="353">
        <f>-Data!L11-Data!M11-Data!N11-Data!O11</f>
        <v>-25358</v>
      </c>
      <c r="D13" s="353">
        <f>SUM(B13:C13)</f>
        <v>641427</v>
      </c>
      <c r="E13" s="353">
        <v>641427</v>
      </c>
      <c r="I13" s="512">
        <f t="shared" ref="I13:I48" si="0">D13-E13</f>
        <v>0</v>
      </c>
    </row>
    <row r="14" spans="1:9" ht="13.5" customHeight="1">
      <c r="A14" s="237" t="s">
        <v>111</v>
      </c>
      <c r="B14" s="151">
        <v>1030133</v>
      </c>
      <c r="C14" s="151">
        <f>-Data!L12-Data!M12-Data!N12-Data!O12</f>
        <v>-35462</v>
      </c>
      <c r="D14" s="151">
        <f>SUM(B14:C14)</f>
        <v>994671</v>
      </c>
      <c r="E14" s="151">
        <v>994671</v>
      </c>
      <c r="I14" s="512">
        <f t="shared" si="0"/>
        <v>0</v>
      </c>
    </row>
    <row r="15" spans="1:9" ht="13.5" customHeight="1">
      <c r="A15" s="355" t="s">
        <v>112</v>
      </c>
      <c r="B15" s="353">
        <v>2996337</v>
      </c>
      <c r="C15" s="353">
        <f>-Data!L13-Data!M13-Data!N13-Data!O13</f>
        <v>-65724</v>
      </c>
      <c r="D15" s="353">
        <f>SUM(B15:C15)</f>
        <v>2930613</v>
      </c>
      <c r="E15" s="353">
        <v>2930613</v>
      </c>
      <c r="I15" s="512">
        <f t="shared" si="0"/>
        <v>0</v>
      </c>
    </row>
    <row r="16" spans="1:9" ht="13.5" customHeight="1">
      <c r="A16" s="237" t="s">
        <v>359</v>
      </c>
      <c r="B16" s="151"/>
      <c r="C16" s="151"/>
      <c r="D16" s="151"/>
      <c r="E16" s="151"/>
      <c r="I16" s="512">
        <f t="shared" si="0"/>
        <v>0</v>
      </c>
    </row>
    <row r="17" spans="1:9" ht="13.5" customHeight="1">
      <c r="A17" s="355" t="s">
        <v>113</v>
      </c>
      <c r="B17" s="353">
        <v>886225</v>
      </c>
      <c r="C17" s="353">
        <f>-Data!L15-Data!M15-Data!N15-Data!O15</f>
        <v>-25463</v>
      </c>
      <c r="D17" s="353">
        <f>SUM(B17:C17)</f>
        <v>860762</v>
      </c>
      <c r="E17" s="353">
        <v>860762</v>
      </c>
      <c r="I17" s="512">
        <f t="shared" si="0"/>
        <v>0</v>
      </c>
    </row>
    <row r="18" spans="1:9" ht="13.5" customHeight="1">
      <c r="A18" s="237" t="s">
        <v>114</v>
      </c>
      <c r="B18" s="151">
        <v>693796</v>
      </c>
      <c r="C18" s="151">
        <f>-Data!L16-Data!M16-Data!N16-Data!O16</f>
        <v>-22475</v>
      </c>
      <c r="D18" s="151">
        <f>SUM(B18:C18)</f>
        <v>671321</v>
      </c>
      <c r="E18" s="151">
        <v>671321</v>
      </c>
      <c r="I18" s="512">
        <f t="shared" si="0"/>
        <v>0</v>
      </c>
    </row>
    <row r="19" spans="1:9" ht="13.5" customHeight="1">
      <c r="A19" s="355" t="s">
        <v>115</v>
      </c>
      <c r="B19" s="353">
        <v>736863</v>
      </c>
      <c r="C19" s="353">
        <f>-Data!L17-Data!M17-Data!N17-Data!O17</f>
        <v>-28449</v>
      </c>
      <c r="D19" s="353">
        <f>SUM(B19:C19)</f>
        <v>708414</v>
      </c>
      <c r="E19" s="353">
        <v>708414</v>
      </c>
      <c r="I19" s="512">
        <f t="shared" si="0"/>
        <v>0</v>
      </c>
    </row>
    <row r="20" spans="1:9" ht="13.5" customHeight="1">
      <c r="A20" s="237" t="s">
        <v>116</v>
      </c>
      <c r="B20" s="151"/>
      <c r="C20" s="151"/>
      <c r="D20" s="151"/>
      <c r="E20" s="151"/>
      <c r="I20" s="512">
        <f t="shared" si="0"/>
        <v>0</v>
      </c>
    </row>
    <row r="21" spans="1:9" ht="13.5" customHeight="1">
      <c r="A21" s="355" t="s">
        <v>117</v>
      </c>
      <c r="B21" s="353">
        <v>1336629</v>
      </c>
      <c r="C21" s="353">
        <f>-Data!L19-Data!M19-Data!N19-Data!O19</f>
        <v>-39269</v>
      </c>
      <c r="D21" s="353">
        <f t="shared" ref="D21:D48" si="1">SUM(B21:C21)</f>
        <v>1297360</v>
      </c>
      <c r="E21" s="353">
        <v>1297360</v>
      </c>
      <c r="I21" s="512">
        <f t="shared" si="0"/>
        <v>0</v>
      </c>
    </row>
    <row r="22" spans="1:9" ht="13.5" customHeight="1">
      <c r="A22" s="237" t="s">
        <v>118</v>
      </c>
      <c r="B22" s="151">
        <v>2234541</v>
      </c>
      <c r="C22" s="151">
        <f>-Data!L20-Data!M20-Data!N20-Data!O20</f>
        <v>-69852</v>
      </c>
      <c r="D22" s="151">
        <f t="shared" si="1"/>
        <v>2164689</v>
      </c>
      <c r="E22" s="151">
        <v>2164689</v>
      </c>
      <c r="I22" s="512">
        <f t="shared" si="0"/>
        <v>0</v>
      </c>
    </row>
    <row r="23" spans="1:9" ht="13.5" customHeight="1">
      <c r="A23" s="355" t="s">
        <v>119</v>
      </c>
      <c r="B23" s="353">
        <v>1378157</v>
      </c>
      <c r="C23" s="353">
        <f>-Data!L21-Data!M21-Data!N21-Data!O21</f>
        <v>-40376</v>
      </c>
      <c r="D23" s="353">
        <f t="shared" si="1"/>
        <v>1337781</v>
      </c>
      <c r="E23" s="353">
        <v>1337781</v>
      </c>
      <c r="I23" s="512">
        <f t="shared" si="0"/>
        <v>0</v>
      </c>
    </row>
    <row r="24" spans="1:9" ht="13.5" customHeight="1">
      <c r="A24" s="237" t="s">
        <v>120</v>
      </c>
      <c r="B24" s="151">
        <v>842146</v>
      </c>
      <c r="C24" s="151">
        <f>-Data!L22-Data!M22</f>
        <v>0</v>
      </c>
      <c r="D24" s="151">
        <f t="shared" si="1"/>
        <v>842146</v>
      </c>
      <c r="E24" s="151">
        <v>842146</v>
      </c>
      <c r="I24" s="512">
        <f t="shared" si="0"/>
        <v>0</v>
      </c>
    </row>
    <row r="25" spans="1:9" ht="13.5" customHeight="1">
      <c r="A25" s="355" t="s">
        <v>121</v>
      </c>
      <c r="B25" s="353">
        <v>693866</v>
      </c>
      <c r="C25" s="353">
        <f>-Data!L23-Data!M23-Data!N23-Data!O23</f>
        <v>-26929</v>
      </c>
      <c r="D25" s="353">
        <f t="shared" si="1"/>
        <v>666937</v>
      </c>
      <c r="E25" s="353">
        <v>666937</v>
      </c>
      <c r="I25" s="512">
        <f t="shared" si="0"/>
        <v>0</v>
      </c>
    </row>
    <row r="26" spans="1:9" ht="13.5" customHeight="1">
      <c r="A26" s="237" t="s">
        <v>122</v>
      </c>
      <c r="B26" s="151">
        <v>1942473</v>
      </c>
      <c r="C26" s="151">
        <f>-Data!L24-Data!M24-Data!N24-Data!O24</f>
        <v>-59586</v>
      </c>
      <c r="D26" s="151">
        <f t="shared" si="1"/>
        <v>1882887</v>
      </c>
      <c r="E26" s="151">
        <v>1882887</v>
      </c>
      <c r="I26" s="512">
        <f t="shared" si="0"/>
        <v>0</v>
      </c>
    </row>
    <row r="27" spans="1:9" ht="13.5" customHeight="1">
      <c r="A27" s="355" t="s">
        <v>123</v>
      </c>
      <c r="B27" s="353">
        <v>5537437</v>
      </c>
      <c r="C27" s="353">
        <f>-Data!L25-Data!M25-Data!N25-Data!O25</f>
        <v>-646899</v>
      </c>
      <c r="D27" s="353">
        <f t="shared" si="1"/>
        <v>4890538</v>
      </c>
      <c r="E27" s="353">
        <v>4890538</v>
      </c>
      <c r="I27" s="512">
        <f t="shared" si="0"/>
        <v>0</v>
      </c>
    </row>
    <row r="28" spans="1:9" ht="13.5" customHeight="1">
      <c r="A28" s="237" t="s">
        <v>124</v>
      </c>
      <c r="B28" s="151">
        <v>1453809</v>
      </c>
      <c r="C28" s="151">
        <f>-Data!L26-Data!M26-Data!N26-Data!O26</f>
        <v>-22132</v>
      </c>
      <c r="D28" s="151">
        <f t="shared" si="1"/>
        <v>1431677</v>
      </c>
      <c r="E28" s="151">
        <v>1431677</v>
      </c>
      <c r="I28" s="512">
        <f t="shared" si="0"/>
        <v>0</v>
      </c>
    </row>
    <row r="29" spans="1:9" ht="13.5" customHeight="1">
      <c r="A29" s="355" t="s">
        <v>125</v>
      </c>
      <c r="B29" s="353">
        <v>1957923</v>
      </c>
      <c r="C29" s="353">
        <f>-Data!L27-Data!M27-Data!N27-Data!O27</f>
        <v>-47913</v>
      </c>
      <c r="D29" s="353">
        <f t="shared" si="1"/>
        <v>1910010</v>
      </c>
      <c r="E29" s="353">
        <v>1910010</v>
      </c>
      <c r="I29" s="512">
        <f t="shared" si="0"/>
        <v>0</v>
      </c>
    </row>
    <row r="30" spans="1:9" ht="13.5" customHeight="1">
      <c r="A30" s="237" t="s">
        <v>126</v>
      </c>
      <c r="B30" s="151">
        <v>1201094</v>
      </c>
      <c r="C30" s="151">
        <f>-Data!L28-Data!M28-Data!N28-Data!O28</f>
        <v>-197068</v>
      </c>
      <c r="D30" s="151">
        <f t="shared" si="1"/>
        <v>1004026</v>
      </c>
      <c r="E30" s="151">
        <v>1004026</v>
      </c>
      <c r="I30" s="512">
        <f t="shared" si="0"/>
        <v>0</v>
      </c>
    </row>
    <row r="31" spans="1:9" ht="13.5" customHeight="1">
      <c r="A31" s="355" t="s">
        <v>127</v>
      </c>
      <c r="B31" s="353">
        <v>4814803</v>
      </c>
      <c r="C31" s="353">
        <f>-Data!L29-Data!M29-Data!N29-Data!O29</f>
        <v>-892268</v>
      </c>
      <c r="D31" s="353">
        <f t="shared" si="1"/>
        <v>3922535</v>
      </c>
      <c r="E31" s="353">
        <v>3922535</v>
      </c>
      <c r="I31" s="512">
        <f t="shared" si="0"/>
        <v>0</v>
      </c>
    </row>
    <row r="32" spans="1:9" ht="13.5" customHeight="1">
      <c r="A32" s="237" t="s">
        <v>128</v>
      </c>
      <c r="B32" s="151">
        <v>515591</v>
      </c>
      <c r="C32" s="151">
        <f>-Data!L30-Data!M30-Data!N30-Data!O30</f>
        <v>-22472</v>
      </c>
      <c r="D32" s="151">
        <f t="shared" si="1"/>
        <v>493119</v>
      </c>
      <c r="E32" s="151">
        <v>493119</v>
      </c>
      <c r="I32" s="512">
        <f t="shared" si="0"/>
        <v>0</v>
      </c>
    </row>
    <row r="33" spans="1:9" ht="13.5" customHeight="1">
      <c r="A33" s="355" t="s">
        <v>129</v>
      </c>
      <c r="B33" s="353">
        <v>1162073</v>
      </c>
      <c r="C33" s="353">
        <f>-Data!L31-Data!M31-Data!N31-Data!O31</f>
        <v>-41113</v>
      </c>
      <c r="D33" s="353">
        <f t="shared" si="1"/>
        <v>1120960</v>
      </c>
      <c r="E33" s="353">
        <v>1120960</v>
      </c>
      <c r="I33" s="512">
        <f t="shared" si="0"/>
        <v>0</v>
      </c>
    </row>
    <row r="34" spans="1:9" ht="13.5" customHeight="1">
      <c r="A34" s="237" t="s">
        <v>130</v>
      </c>
      <c r="B34" s="151">
        <v>1116912</v>
      </c>
      <c r="C34" s="151">
        <f>-Data!L32-Data!M32-Data!N32-Data!O32</f>
        <v>-31960</v>
      </c>
      <c r="D34" s="151">
        <f t="shared" si="1"/>
        <v>1084952</v>
      </c>
      <c r="E34" s="151">
        <v>1084952</v>
      </c>
      <c r="I34" s="512">
        <f t="shared" si="0"/>
        <v>0</v>
      </c>
    </row>
    <row r="35" spans="1:9" ht="13.5" customHeight="1">
      <c r="A35" s="355" t="s">
        <v>131</v>
      </c>
      <c r="B35" s="353">
        <v>897197</v>
      </c>
      <c r="C35" s="353">
        <f>-Data!L33-Data!M33-Data!N33-Data!O33</f>
        <v>-39884</v>
      </c>
      <c r="D35" s="353">
        <f t="shared" si="1"/>
        <v>857313</v>
      </c>
      <c r="E35" s="353">
        <v>857313</v>
      </c>
      <c r="I35" s="512">
        <f t="shared" si="0"/>
        <v>0</v>
      </c>
    </row>
    <row r="36" spans="1:9" ht="13.5" customHeight="1">
      <c r="A36" s="237" t="s">
        <v>132</v>
      </c>
      <c r="B36" s="151">
        <v>1094482</v>
      </c>
      <c r="C36" s="151">
        <f>-Data!L34-Data!M34-Data!N34-Data!O34</f>
        <v>-37858</v>
      </c>
      <c r="D36" s="151">
        <f t="shared" si="1"/>
        <v>1056624</v>
      </c>
      <c r="E36" s="151">
        <v>1056624</v>
      </c>
      <c r="I36" s="512">
        <f t="shared" si="0"/>
        <v>0</v>
      </c>
    </row>
    <row r="37" spans="1:9" ht="13.5" customHeight="1">
      <c r="A37" s="355" t="s">
        <v>133</v>
      </c>
      <c r="B37" s="353">
        <v>5402428</v>
      </c>
      <c r="C37" s="353">
        <f>-Data!L35-Data!M35-Data!N35-Data!O35</f>
        <v>-529411</v>
      </c>
      <c r="D37" s="353">
        <f t="shared" si="1"/>
        <v>4873017</v>
      </c>
      <c r="E37" s="353">
        <v>4873017</v>
      </c>
      <c r="I37" s="512">
        <f t="shared" si="0"/>
        <v>0</v>
      </c>
    </row>
    <row r="38" spans="1:9" ht="13.5" customHeight="1">
      <c r="A38" s="237" t="s">
        <v>134</v>
      </c>
      <c r="B38" s="151">
        <v>898910</v>
      </c>
      <c r="C38" s="151">
        <f>-Data!L36-Data!M36-Data!N36-Data!O36</f>
        <v>-33055</v>
      </c>
      <c r="D38" s="151">
        <f t="shared" si="1"/>
        <v>865855</v>
      </c>
      <c r="E38" s="151">
        <v>865855</v>
      </c>
      <c r="I38" s="512">
        <f t="shared" si="0"/>
        <v>0</v>
      </c>
    </row>
    <row r="39" spans="1:9" ht="13.5" customHeight="1">
      <c r="A39" s="355" t="s">
        <v>135</v>
      </c>
      <c r="B39" s="353">
        <v>1617939</v>
      </c>
      <c r="C39" s="353">
        <f>-Data!L37-Data!M37-Data!N37-Data!O37</f>
        <v>-45375</v>
      </c>
      <c r="D39" s="353">
        <f t="shared" si="1"/>
        <v>1572564</v>
      </c>
      <c r="E39" s="353">
        <v>1572564</v>
      </c>
      <c r="I39" s="512">
        <f t="shared" si="0"/>
        <v>0</v>
      </c>
    </row>
    <row r="40" spans="1:9" ht="13.5" customHeight="1">
      <c r="A40" s="237" t="s">
        <v>136</v>
      </c>
      <c r="B40" s="151">
        <v>3613678</v>
      </c>
      <c r="C40" s="151">
        <f>-Data!L38-Data!M38-Data!N38-Data!O38</f>
        <v>-92652</v>
      </c>
      <c r="D40" s="151">
        <f t="shared" si="1"/>
        <v>3521026</v>
      </c>
      <c r="E40" s="151">
        <v>3521026</v>
      </c>
      <c r="I40" s="512">
        <f t="shared" si="0"/>
        <v>0</v>
      </c>
    </row>
    <row r="41" spans="1:9" ht="13.5" customHeight="1">
      <c r="A41" s="355" t="s">
        <v>137</v>
      </c>
      <c r="B41" s="353">
        <v>877549</v>
      </c>
      <c r="C41" s="353">
        <f>-Data!L39-Data!M39-Data!N39-Data!O39</f>
        <v>-32925</v>
      </c>
      <c r="D41" s="353">
        <f t="shared" si="1"/>
        <v>844624</v>
      </c>
      <c r="E41" s="353">
        <v>844624</v>
      </c>
      <c r="I41" s="512">
        <f t="shared" si="0"/>
        <v>0</v>
      </c>
    </row>
    <row r="42" spans="1:9" ht="13.5" customHeight="1">
      <c r="A42" s="237" t="s">
        <v>138</v>
      </c>
      <c r="B42" s="151">
        <v>3645579</v>
      </c>
      <c r="C42" s="151">
        <f>-Data!L40-Data!M40-Data!N40-Data!O40</f>
        <v>-427560</v>
      </c>
      <c r="D42" s="151">
        <f t="shared" si="1"/>
        <v>3218019</v>
      </c>
      <c r="E42" s="151">
        <v>3218019</v>
      </c>
      <c r="I42" s="512">
        <f t="shared" si="0"/>
        <v>0</v>
      </c>
    </row>
    <row r="43" spans="1:9" ht="13.5" customHeight="1">
      <c r="A43" s="355" t="s">
        <v>139</v>
      </c>
      <c r="B43" s="353">
        <v>2193751</v>
      </c>
      <c r="C43" s="353">
        <f>-Data!L41-Data!M41-Data!N41-Data!O41</f>
        <v>-64124</v>
      </c>
      <c r="D43" s="353">
        <f t="shared" si="1"/>
        <v>2129627</v>
      </c>
      <c r="E43" s="353">
        <v>2129627</v>
      </c>
      <c r="I43" s="512">
        <f t="shared" si="0"/>
        <v>0</v>
      </c>
    </row>
    <row r="44" spans="1:9" ht="13.5" customHeight="1">
      <c r="A44" s="237" t="s">
        <v>140</v>
      </c>
      <c r="B44" s="151">
        <v>867670</v>
      </c>
      <c r="C44" s="151">
        <f>-Data!L42-Data!M42-Data!N42-Data!O42</f>
        <v>-31101</v>
      </c>
      <c r="D44" s="151">
        <f t="shared" si="1"/>
        <v>836569</v>
      </c>
      <c r="E44" s="151">
        <v>836569</v>
      </c>
      <c r="I44" s="512">
        <f t="shared" si="0"/>
        <v>0</v>
      </c>
    </row>
    <row r="45" spans="1:9" ht="13.5" customHeight="1">
      <c r="A45" s="355" t="s">
        <v>141</v>
      </c>
      <c r="B45" s="353">
        <v>561531</v>
      </c>
      <c r="C45" s="353">
        <f>-Data!L43-Data!M43-Data!N43-Data!O43</f>
        <v>-21796</v>
      </c>
      <c r="D45" s="353">
        <f t="shared" si="1"/>
        <v>539735</v>
      </c>
      <c r="E45" s="353">
        <v>539735</v>
      </c>
      <c r="I45" s="512">
        <f t="shared" si="0"/>
        <v>0</v>
      </c>
    </row>
    <row r="46" spans="1:9" ht="13.5" customHeight="1">
      <c r="A46" s="237" t="s">
        <v>142</v>
      </c>
      <c r="B46" s="151">
        <v>392196</v>
      </c>
      <c r="C46" s="151">
        <f>-Data!L44-Data!M44-Data!N44-Data!O44</f>
        <v>-16730</v>
      </c>
      <c r="D46" s="151">
        <f t="shared" si="1"/>
        <v>375466</v>
      </c>
      <c r="E46" s="151">
        <v>375466</v>
      </c>
      <c r="I46" s="512">
        <f t="shared" si="0"/>
        <v>0</v>
      </c>
    </row>
    <row r="47" spans="1:9" ht="13.5" customHeight="1">
      <c r="A47" s="355" t="s">
        <v>143</v>
      </c>
      <c r="B47" s="353">
        <v>725529</v>
      </c>
      <c r="C47" s="353">
        <f>-Data!L45-Data!M45-Data!N45-Data!O45</f>
        <v>-23298</v>
      </c>
      <c r="D47" s="353">
        <f t="shared" si="1"/>
        <v>702231</v>
      </c>
      <c r="E47" s="353">
        <v>702231</v>
      </c>
      <c r="I47" s="512">
        <f t="shared" si="0"/>
        <v>0</v>
      </c>
    </row>
    <row r="48" spans="1:9" ht="13.5" customHeight="1">
      <c r="A48" s="237" t="s">
        <v>144</v>
      </c>
      <c r="B48" s="151">
        <v>10702720</v>
      </c>
      <c r="C48" s="151">
        <f>-Data!L46-Data!M46-Data!N46-Data!O46</f>
        <v>-180360</v>
      </c>
      <c r="D48" s="151">
        <f t="shared" si="1"/>
        <v>10522360</v>
      </c>
      <c r="E48" s="151">
        <v>10522360</v>
      </c>
      <c r="I48" s="512">
        <f t="shared" si="0"/>
        <v>0</v>
      </c>
    </row>
    <row r="49" spans="1:9" ht="5.0999999999999996" customHeight="1">
      <c r="A49" s="130"/>
      <c r="B49" s="152"/>
      <c r="C49" s="152"/>
      <c r="D49" s="152"/>
      <c r="E49" s="152"/>
      <c r="I49" s="512"/>
    </row>
    <row r="50" spans="1:9" ht="13.5" customHeight="1">
      <c r="A50" s="356" t="s">
        <v>145</v>
      </c>
      <c r="B50" s="357">
        <f t="shared" ref="B50:E50" si="2">SUM(B13:B48)</f>
        <v>66688752</v>
      </c>
      <c r="C50" s="357">
        <f t="shared" si="2"/>
        <v>-3916897</v>
      </c>
      <c r="D50" s="357">
        <f t="shared" si="2"/>
        <v>62771855</v>
      </c>
      <c r="E50" s="357">
        <f t="shared" si="2"/>
        <v>62771855</v>
      </c>
      <c r="I50" s="512">
        <f>D50-E50</f>
        <v>0</v>
      </c>
    </row>
    <row r="51" spans="1:9" ht="5.0999999999999996" customHeight="1">
      <c r="A51" s="130" t="s">
        <v>7</v>
      </c>
      <c r="B51" s="152"/>
      <c r="C51" s="152"/>
      <c r="D51" s="152"/>
      <c r="E51" s="152"/>
      <c r="H51" s="2">
        <f>+G51-B51</f>
        <v>0</v>
      </c>
      <c r="I51" s="512"/>
    </row>
    <row r="52" spans="1:9" ht="13.5" customHeight="1">
      <c r="A52" s="237" t="s">
        <v>146</v>
      </c>
      <c r="B52" s="151"/>
      <c r="C52" s="151">
        <f>-Data!L50-Data!M50-Data!N50-Data!O50</f>
        <v>0</v>
      </c>
      <c r="D52" s="151">
        <f>SUM(B52:C52)</f>
        <v>0</v>
      </c>
      <c r="E52" s="151"/>
      <c r="I52" s="512">
        <f>D52-E52</f>
        <v>0</v>
      </c>
    </row>
    <row r="53" spans="1:9" ht="50.1" customHeight="1">
      <c r="A53" s="23"/>
      <c r="B53" s="23"/>
      <c r="C53" s="23"/>
      <c r="D53" s="23"/>
    </row>
    <row r="54" spans="1:9" ht="14.45" customHeight="1">
      <c r="A54" s="818" t="s">
        <v>649</v>
      </c>
      <c r="B54" s="818"/>
      <c r="C54" s="818"/>
      <c r="D54" s="818"/>
      <c r="E54" s="818"/>
      <c r="F54" s="818"/>
    </row>
    <row r="55" spans="1:9" ht="12" customHeight="1">
      <c r="A55" s="819"/>
      <c r="B55" s="819"/>
      <c r="C55" s="819"/>
      <c r="D55" s="819"/>
      <c r="E55" s="819"/>
      <c r="F55" s="819"/>
    </row>
    <row r="56" spans="1:9" ht="12" customHeight="1">
      <c r="A56" s="819"/>
      <c r="B56" s="819"/>
      <c r="C56" s="819"/>
      <c r="D56" s="819"/>
      <c r="E56" s="819"/>
      <c r="F56" s="819"/>
    </row>
    <row r="57" spans="1:9" ht="12" customHeight="1">
      <c r="A57" s="819"/>
      <c r="B57" s="819"/>
      <c r="C57" s="819"/>
      <c r="D57" s="819"/>
      <c r="E57" s="819"/>
      <c r="F57" s="819"/>
    </row>
    <row r="58" spans="1:9" ht="12" customHeight="1">
      <c r="A58" s="819"/>
      <c r="B58" s="819"/>
      <c r="C58" s="819"/>
      <c r="D58" s="819"/>
      <c r="E58" s="819"/>
      <c r="F58" s="819"/>
    </row>
    <row r="59" spans="1:9" ht="12" customHeight="1">
      <c r="A59" s="819"/>
      <c r="B59" s="819"/>
      <c r="C59" s="819"/>
      <c r="D59" s="819"/>
      <c r="E59" s="819"/>
      <c r="F59" s="819"/>
    </row>
    <row r="60" spans="1:9" ht="9.75" customHeight="1">
      <c r="A60" s="819"/>
      <c r="B60" s="819"/>
      <c r="C60" s="819"/>
      <c r="D60" s="819"/>
      <c r="E60" s="819"/>
      <c r="F60" s="819"/>
    </row>
    <row r="61" spans="1:9">
      <c r="A61" s="580" t="s">
        <v>362</v>
      </c>
      <c r="B61" s="38"/>
    </row>
    <row r="62" spans="1:9" ht="12" customHeight="1"/>
    <row r="63" spans="1:9" ht="12" customHeight="1">
      <c r="A63" s="133"/>
    </row>
    <row r="64" spans="1:9" ht="12" customHeight="1">
      <c r="A64" s="133"/>
    </row>
  </sheetData>
  <mergeCells count="5">
    <mergeCell ref="A54:F60"/>
    <mergeCell ref="B9:B11"/>
    <mergeCell ref="B4:D4"/>
    <mergeCell ref="C5:C11"/>
    <mergeCell ref="D9:D11"/>
  </mergeCells>
  <phoneticPr fontId="0" type="noConversion"/>
  <pageMargins left="0.5" right="0.5" top="0.6" bottom="0.2" header="0.3" footer="0.5"/>
  <pageSetup scale="92"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sheetPr codeName="Sheet6111">
    <pageSetUpPr fitToPage="1"/>
  </sheetPr>
  <dimension ref="A1:L59"/>
  <sheetViews>
    <sheetView showGridLines="0" showZeros="0" workbookViewId="0"/>
  </sheetViews>
  <sheetFormatPr defaultColWidth="14.83203125" defaultRowHeight="12"/>
  <cols>
    <col min="1" max="1" width="27.33203125" style="2" customWidth="1"/>
    <col min="2" max="2" width="16.83203125" style="2" customWidth="1"/>
    <col min="3" max="3" width="13.5" style="2" customWidth="1"/>
    <col min="4" max="4" width="17.5" style="2" customWidth="1"/>
    <col min="5" max="5" width="16.83203125" style="2" customWidth="1"/>
    <col min="6" max="6" width="17" style="2" customWidth="1"/>
    <col min="7" max="7" width="15.6640625" style="2" customWidth="1"/>
    <col min="8" max="8" width="13" style="2" bestFit="1" customWidth="1"/>
    <col min="9" max="10" width="14.83203125" style="2" hidden="1" customWidth="1"/>
    <col min="11" max="12" width="0" style="2" hidden="1" customWidth="1"/>
    <col min="13" max="16384" width="14.83203125" style="2"/>
  </cols>
  <sheetData>
    <row r="1" spans="1:12" ht="6.95" customHeight="1">
      <c r="A1" s="7"/>
      <c r="B1" s="8"/>
      <c r="C1" s="8"/>
      <c r="D1" s="8"/>
    </row>
    <row r="2" spans="1:12" ht="20.100000000000001" customHeight="1">
      <c r="A2" s="251"/>
      <c r="B2" s="251" t="str">
        <f>"ADMINISTRATION EXPENSES "&amp;FALLYR&amp;"/"&amp;SPRINGYR&amp;" ACTUAL"</f>
        <v>ADMINISTRATION EXPENSES 2015/2016 ACTUAL</v>
      </c>
      <c r="C2" s="173"/>
      <c r="D2" s="173"/>
      <c r="E2" s="173"/>
      <c r="F2" s="173"/>
      <c r="G2" s="173"/>
      <c r="H2" s="387" t="s">
        <v>77</v>
      </c>
    </row>
    <row r="3" spans="1:12" ht="20.100000000000001" customHeight="1">
      <c r="A3" s="537"/>
      <c r="B3" s="252"/>
      <c r="C3" s="253"/>
      <c r="D3" s="253"/>
      <c r="E3" s="253"/>
      <c r="F3" s="253"/>
      <c r="G3" s="253"/>
      <c r="H3" s="254"/>
    </row>
    <row r="4" spans="1:12" ht="14.1" customHeight="1">
      <c r="A4" s="232"/>
      <c r="B4" s="823" t="s">
        <v>234</v>
      </c>
      <c r="C4" s="824"/>
      <c r="D4" s="824"/>
      <c r="E4" s="824"/>
      <c r="F4" s="824"/>
      <c r="G4" s="824"/>
      <c r="H4" s="825"/>
    </row>
    <row r="5" spans="1:12" ht="12.95" customHeight="1">
      <c r="A5" s="255"/>
      <c r="B5" s="256"/>
      <c r="C5" s="256"/>
      <c r="D5" s="256"/>
      <c r="E5" s="256"/>
      <c r="F5" s="256"/>
      <c r="G5" s="256"/>
      <c r="H5" s="256"/>
    </row>
    <row r="6" spans="1:12" ht="12.95" customHeight="1">
      <c r="A6" s="255"/>
      <c r="B6" s="242"/>
      <c r="C6" s="242"/>
      <c r="D6" s="242"/>
      <c r="E6" s="242"/>
      <c r="F6" s="242"/>
      <c r="G6" s="809" t="s">
        <v>603</v>
      </c>
      <c r="H6" s="809" t="s">
        <v>644</v>
      </c>
    </row>
    <row r="7" spans="1:12" ht="12.95" customHeight="1">
      <c r="A7" s="255"/>
      <c r="B7" s="257"/>
      <c r="C7" s="121"/>
      <c r="D7" s="257"/>
      <c r="E7" s="257"/>
      <c r="F7" s="257"/>
      <c r="G7" s="809"/>
      <c r="H7" s="809"/>
    </row>
    <row r="8" spans="1:12" ht="12.95" customHeight="1">
      <c r="A8" s="255"/>
      <c r="B8" s="809" t="s">
        <v>599</v>
      </c>
      <c r="C8" s="809" t="s">
        <v>600</v>
      </c>
      <c r="D8" s="809" t="s">
        <v>601</v>
      </c>
      <c r="E8" s="257"/>
      <c r="F8" s="809" t="s">
        <v>618</v>
      </c>
      <c r="G8" s="809"/>
      <c r="H8" s="809"/>
    </row>
    <row r="9" spans="1:12" ht="12.95" customHeight="1">
      <c r="A9" s="255"/>
      <c r="B9" s="809"/>
      <c r="C9" s="809"/>
      <c r="D9" s="809"/>
      <c r="E9" s="809" t="s">
        <v>602</v>
      </c>
      <c r="F9" s="809"/>
      <c r="G9" s="809"/>
      <c r="H9" s="809"/>
    </row>
    <row r="10" spans="1:12" ht="12.95" customHeight="1">
      <c r="A10" s="16"/>
      <c r="B10" s="809"/>
      <c r="C10" s="809"/>
      <c r="D10" s="809"/>
      <c r="E10" s="809"/>
      <c r="F10" s="809"/>
      <c r="G10" s="809"/>
      <c r="H10" s="809"/>
    </row>
    <row r="11" spans="1:12" ht="15.95" customHeight="1">
      <c r="A11" s="17" t="s">
        <v>42</v>
      </c>
      <c r="B11" s="810"/>
      <c r="C11" s="810"/>
      <c r="D11" s="810"/>
      <c r="E11" s="810"/>
      <c r="F11" s="810"/>
      <c r="G11" s="810"/>
      <c r="H11" s="810"/>
    </row>
    <row r="12" spans="1:12" ht="5.0999999999999996" customHeight="1">
      <c r="A12" s="18"/>
      <c r="C12" s="250"/>
      <c r="D12" s="207"/>
      <c r="E12" s="7"/>
    </row>
    <row r="13" spans="1:12" ht="14.1" customHeight="1">
      <c r="A13" s="355" t="s">
        <v>110</v>
      </c>
      <c r="B13" s="353">
        <f>'- 3 -'!B11</f>
        <v>17986568</v>
      </c>
      <c r="C13" s="353">
        <v>738618</v>
      </c>
      <c r="D13" s="353">
        <v>0</v>
      </c>
      <c r="E13" s="353">
        <f>SUM(B13:D13)</f>
        <v>18725186</v>
      </c>
      <c r="F13" s="353">
        <f>'- 62 -'!D13</f>
        <v>641427</v>
      </c>
      <c r="G13" s="292">
        <f>F13/E13*100</f>
        <v>3.4254773223614441</v>
      </c>
      <c r="H13" s="584">
        <f>+Data!P11</f>
        <v>4.12</v>
      </c>
      <c r="I13" s="401">
        <v>3.4254773223614442E-2</v>
      </c>
      <c r="J13" s="353">
        <v>18725186</v>
      </c>
      <c r="K13" s="2">
        <f t="shared" ref="K13:K48" si="0">J13-E13</f>
        <v>0</v>
      </c>
      <c r="L13" s="2">
        <f>+H13/100-I13</f>
        <v>6.9452267763855588E-3</v>
      </c>
    </row>
    <row r="14" spans="1:12" ht="14.1" customHeight="1">
      <c r="A14" s="237" t="s">
        <v>111</v>
      </c>
      <c r="B14" s="151">
        <f>'- 3 -'!B12</f>
        <v>32677016</v>
      </c>
      <c r="C14" s="151">
        <v>1475248</v>
      </c>
      <c r="D14" s="151">
        <v>-556765</v>
      </c>
      <c r="E14" s="151">
        <f>SUM(B14:D14)</f>
        <v>33595499</v>
      </c>
      <c r="F14" s="151">
        <f>'- 62 -'!D14</f>
        <v>994671</v>
      </c>
      <c r="G14" s="70">
        <f>F14/E14*100</f>
        <v>2.9607269711933735</v>
      </c>
      <c r="H14" s="377">
        <f>+Data!P12</f>
        <v>4.04</v>
      </c>
      <c r="I14" s="140">
        <v>2.9607269711933733E-2</v>
      </c>
      <c r="J14" s="151">
        <v>33595499</v>
      </c>
      <c r="K14" s="2">
        <f t="shared" si="0"/>
        <v>0</v>
      </c>
      <c r="L14" s="2">
        <f t="shared" ref="L14:L48" si="1">+H14/100-I14</f>
        <v>1.0792730288066266E-2</v>
      </c>
    </row>
    <row r="15" spans="1:12" ht="14.1" customHeight="1">
      <c r="A15" s="355" t="s">
        <v>112</v>
      </c>
      <c r="B15" s="353">
        <f>'- 3 -'!B13</f>
        <v>90865684</v>
      </c>
      <c r="C15" s="353">
        <v>3343759</v>
      </c>
      <c r="D15" s="353">
        <v>0</v>
      </c>
      <c r="E15" s="353">
        <f>SUM(B15:D15)</f>
        <v>94209443</v>
      </c>
      <c r="F15" s="353">
        <f>'- 62 -'!D15</f>
        <v>2930613</v>
      </c>
      <c r="G15" s="292">
        <f>F15/E15*100</f>
        <v>3.1107423063736825</v>
      </c>
      <c r="H15" s="584">
        <f>+Data!P13</f>
        <v>3.5000000000000004</v>
      </c>
      <c r="I15" s="401">
        <v>3.1107423063736827E-2</v>
      </c>
      <c r="J15" s="353">
        <v>94209443</v>
      </c>
      <c r="K15" s="2">
        <f t="shared" si="0"/>
        <v>0</v>
      </c>
      <c r="L15" s="2">
        <f t="shared" si="1"/>
        <v>3.8925769362631764E-3</v>
      </c>
    </row>
    <row r="16" spans="1:12" ht="14.1" customHeight="1">
      <c r="A16" s="237" t="s">
        <v>359</v>
      </c>
      <c r="B16" s="151"/>
      <c r="C16" s="151">
        <v>0</v>
      </c>
      <c r="D16" s="151"/>
      <c r="E16" s="151"/>
      <c r="F16" s="151"/>
      <c r="G16" s="377" t="s">
        <v>95</v>
      </c>
      <c r="H16" s="377" t="s">
        <v>95</v>
      </c>
      <c r="I16" s="140"/>
      <c r="J16" s="151"/>
      <c r="L16" s="2">
        <v>0</v>
      </c>
    </row>
    <row r="17" spans="1:12" ht="14.1" customHeight="1">
      <c r="A17" s="355" t="s">
        <v>113</v>
      </c>
      <c r="B17" s="353">
        <f>'- 3 -'!B15</f>
        <v>19917650</v>
      </c>
      <c r="C17" s="353">
        <v>699533</v>
      </c>
      <c r="D17" s="353">
        <v>0</v>
      </c>
      <c r="E17" s="353">
        <f>SUM(B17:D17)</f>
        <v>20617183</v>
      </c>
      <c r="F17" s="353">
        <f>'- 62 -'!D17</f>
        <v>860762</v>
      </c>
      <c r="G17" s="292">
        <f>F17/E17*100</f>
        <v>4.1749738555456393</v>
      </c>
      <c r="H17" s="584">
        <f>+Data!P15</f>
        <v>4.17</v>
      </c>
      <c r="I17" s="401">
        <v>4.1749738555456391E-2</v>
      </c>
      <c r="J17" s="353">
        <v>20617183</v>
      </c>
      <c r="K17" s="2">
        <f t="shared" si="0"/>
        <v>0</v>
      </c>
      <c r="L17" s="2">
        <f t="shared" si="1"/>
        <v>-4.9738555456389777E-5</v>
      </c>
    </row>
    <row r="18" spans="1:12" ht="14.1" customHeight="1">
      <c r="A18" s="237" t="s">
        <v>114</v>
      </c>
      <c r="B18" s="151">
        <f>'- 3 -'!B16</f>
        <v>14019845</v>
      </c>
      <c r="C18" s="151">
        <v>136225</v>
      </c>
      <c r="D18" s="151">
        <v>-92300</v>
      </c>
      <c r="E18" s="151">
        <f>SUM(B18:D18)</f>
        <v>14063770</v>
      </c>
      <c r="F18" s="151">
        <f>'- 62 -'!D18</f>
        <v>671321</v>
      </c>
      <c r="G18" s="70">
        <f>F18/E18*100</f>
        <v>4.7734071305204795</v>
      </c>
      <c r="H18" s="377">
        <f>+Data!P16</f>
        <v>5</v>
      </c>
      <c r="I18" s="140">
        <v>4.7734071305204795E-2</v>
      </c>
      <c r="J18" s="151">
        <v>14063770</v>
      </c>
      <c r="K18" s="2">
        <f t="shared" si="0"/>
        <v>0</v>
      </c>
      <c r="L18" s="2">
        <f t="shared" si="1"/>
        <v>2.2659286947952079E-3</v>
      </c>
    </row>
    <row r="19" spans="1:12" ht="14.1" customHeight="1">
      <c r="A19" s="355" t="s">
        <v>115</v>
      </c>
      <c r="B19" s="353">
        <f>'- 3 -'!B17</f>
        <v>17442990</v>
      </c>
      <c r="C19" s="353">
        <v>968041</v>
      </c>
      <c r="D19" s="353">
        <v>0</v>
      </c>
      <c r="E19" s="353">
        <f>SUM(B19:D19)</f>
        <v>18411031</v>
      </c>
      <c r="F19" s="353">
        <f>'- 62 -'!D19</f>
        <v>708414</v>
      </c>
      <c r="G19" s="292">
        <f>F19/E19*100</f>
        <v>3.8477693074331363</v>
      </c>
      <c r="H19" s="584">
        <f>+Data!P17</f>
        <v>4.1900000000000004</v>
      </c>
      <c r="I19" s="401">
        <v>3.8477693074331361E-2</v>
      </c>
      <c r="J19" s="353">
        <v>18411031</v>
      </c>
      <c r="K19" s="2">
        <f t="shared" si="0"/>
        <v>0</v>
      </c>
      <c r="L19" s="2">
        <f t="shared" si="1"/>
        <v>3.4223069256686459E-3</v>
      </c>
    </row>
    <row r="20" spans="1:12" ht="14.1" customHeight="1">
      <c r="A20" s="237" t="s">
        <v>116</v>
      </c>
      <c r="B20" s="151"/>
      <c r="C20" s="151">
        <v>0</v>
      </c>
      <c r="D20" s="151"/>
      <c r="E20" s="151"/>
      <c r="F20" s="151"/>
      <c r="G20" s="377" t="s">
        <v>95</v>
      </c>
      <c r="H20" s="377" t="s">
        <v>95</v>
      </c>
      <c r="I20" s="140"/>
      <c r="J20" s="151"/>
      <c r="K20" s="2">
        <f t="shared" si="0"/>
        <v>0</v>
      </c>
      <c r="L20" s="2">
        <v>0</v>
      </c>
    </row>
    <row r="21" spans="1:12" ht="14.1" customHeight="1">
      <c r="A21" s="355" t="s">
        <v>117</v>
      </c>
      <c r="B21" s="353">
        <f>'- 3 -'!B19</f>
        <v>45143950</v>
      </c>
      <c r="C21" s="353">
        <v>3161800</v>
      </c>
      <c r="D21" s="353">
        <v>0</v>
      </c>
      <c r="E21" s="353">
        <f t="shared" ref="E21:E48" si="2">SUM(B21:D21)</f>
        <v>48305750</v>
      </c>
      <c r="F21" s="353">
        <f>'- 62 -'!D21</f>
        <v>1297360</v>
      </c>
      <c r="G21" s="292">
        <f t="shared" ref="G21:G48" si="3">F21/E21*100</f>
        <v>2.6857258193900311</v>
      </c>
      <c r="H21" s="584">
        <f>+Data!P19</f>
        <v>3.64</v>
      </c>
      <c r="I21" s="401">
        <v>2.6857258193900311E-2</v>
      </c>
      <c r="J21" s="353">
        <v>48305750</v>
      </c>
      <c r="K21" s="2">
        <f t="shared" si="0"/>
        <v>0</v>
      </c>
      <c r="L21" s="2">
        <f t="shared" si="1"/>
        <v>9.5427418060996909E-3</v>
      </c>
    </row>
    <row r="22" spans="1:12" ht="14.1" customHeight="1">
      <c r="A22" s="237" t="s">
        <v>118</v>
      </c>
      <c r="B22" s="151">
        <f>'- 3 -'!B20</f>
        <v>79708028</v>
      </c>
      <c r="C22" s="151">
        <v>2813626</v>
      </c>
      <c r="D22" s="151">
        <v>0</v>
      </c>
      <c r="E22" s="151">
        <f t="shared" si="2"/>
        <v>82521654</v>
      </c>
      <c r="F22" s="151">
        <f>'- 62 -'!D22</f>
        <v>2164689</v>
      </c>
      <c r="G22" s="70">
        <f t="shared" si="3"/>
        <v>2.6231769421393323</v>
      </c>
      <c r="H22" s="377">
        <f>+Data!P20</f>
        <v>3.5000000000000004</v>
      </c>
      <c r="I22" s="140">
        <v>2.6231769421393322E-2</v>
      </c>
      <c r="J22" s="151">
        <v>82521654</v>
      </c>
      <c r="K22" s="2">
        <f t="shared" si="0"/>
        <v>0</v>
      </c>
      <c r="L22" s="2">
        <f t="shared" si="1"/>
        <v>8.7682305786066818E-3</v>
      </c>
    </row>
    <row r="23" spans="1:12" ht="14.1" customHeight="1">
      <c r="A23" s="355" t="s">
        <v>119</v>
      </c>
      <c r="B23" s="353">
        <f>'- 3 -'!B21</f>
        <v>35473437</v>
      </c>
      <c r="C23" s="353">
        <v>453888</v>
      </c>
      <c r="D23" s="353">
        <v>0</v>
      </c>
      <c r="E23" s="353">
        <f t="shared" si="2"/>
        <v>35927325</v>
      </c>
      <c r="F23" s="353">
        <f>'- 62 -'!D23</f>
        <v>1337781</v>
      </c>
      <c r="G23" s="292">
        <f t="shared" si="3"/>
        <v>3.7235753009721706</v>
      </c>
      <c r="H23" s="584">
        <f>+Data!P21</f>
        <v>3.93</v>
      </c>
      <c r="I23" s="401">
        <v>3.7235753009721706E-2</v>
      </c>
      <c r="J23" s="353">
        <v>35927325</v>
      </c>
      <c r="K23" s="2">
        <f t="shared" si="0"/>
        <v>0</v>
      </c>
      <c r="L23" s="2">
        <f t="shared" si="1"/>
        <v>2.0642469902782956E-3</v>
      </c>
    </row>
    <row r="24" spans="1:12" ht="14.1" customHeight="1">
      <c r="A24" s="237" t="s">
        <v>120</v>
      </c>
      <c r="B24" s="151">
        <f>'- 3 -'!B22</f>
        <v>20014661</v>
      </c>
      <c r="C24" s="151">
        <v>31191</v>
      </c>
      <c r="D24" s="151">
        <v>-595368</v>
      </c>
      <c r="E24" s="151">
        <f t="shared" si="2"/>
        <v>19450484</v>
      </c>
      <c r="F24" s="151">
        <f>'- 62 -'!D24</f>
        <v>842146</v>
      </c>
      <c r="G24" s="70">
        <f t="shared" si="3"/>
        <v>4.3296917444316554</v>
      </c>
      <c r="H24" s="377">
        <f>+Data!P22</f>
        <v>5</v>
      </c>
      <c r="I24" s="140">
        <v>4.3296917444316553E-2</v>
      </c>
      <c r="J24" s="151">
        <v>19450484</v>
      </c>
      <c r="K24" s="2">
        <f t="shared" si="0"/>
        <v>0</v>
      </c>
      <c r="L24" s="2">
        <f t="shared" si="1"/>
        <v>6.7030825556834497E-3</v>
      </c>
    </row>
    <row r="25" spans="1:12" ht="14.1" customHeight="1">
      <c r="A25" s="355" t="s">
        <v>121</v>
      </c>
      <c r="B25" s="353">
        <f>'- 3 -'!B23</f>
        <v>16198992</v>
      </c>
      <c r="C25" s="353">
        <v>656373</v>
      </c>
      <c r="D25" s="353">
        <v>-264121</v>
      </c>
      <c r="E25" s="353">
        <f t="shared" si="2"/>
        <v>16591244</v>
      </c>
      <c r="F25" s="353">
        <f>'- 62 -'!D25</f>
        <v>666937</v>
      </c>
      <c r="G25" s="292">
        <f t="shared" si="3"/>
        <v>4.0198131014166272</v>
      </c>
      <c r="H25" s="584">
        <f>+Data!P23</f>
        <v>4.2299999999999995</v>
      </c>
      <c r="I25" s="401">
        <v>4.019813101416627E-2</v>
      </c>
      <c r="J25" s="353">
        <v>16591244</v>
      </c>
      <c r="K25" s="2">
        <f t="shared" si="0"/>
        <v>0</v>
      </c>
      <c r="L25" s="2">
        <f t="shared" si="1"/>
        <v>2.1018689858337269E-3</v>
      </c>
    </row>
    <row r="26" spans="1:12" ht="14.1" customHeight="1">
      <c r="A26" s="237" t="s">
        <v>122</v>
      </c>
      <c r="B26" s="151">
        <f>'- 3 -'!B24</f>
        <v>55889270</v>
      </c>
      <c r="C26" s="151">
        <v>1410812</v>
      </c>
      <c r="D26" s="151">
        <v>-376563</v>
      </c>
      <c r="E26" s="151">
        <f t="shared" si="2"/>
        <v>56923519</v>
      </c>
      <c r="F26" s="151">
        <f>'- 62 -'!D26</f>
        <v>1882887</v>
      </c>
      <c r="G26" s="70">
        <f t="shared" si="3"/>
        <v>3.3077487707673168</v>
      </c>
      <c r="H26" s="377">
        <f>+Data!P24</f>
        <v>3.6900000000000004</v>
      </c>
      <c r="I26" s="140">
        <v>3.3077487707673166E-2</v>
      </c>
      <c r="J26" s="151">
        <v>56923519</v>
      </c>
      <c r="K26" s="2">
        <f t="shared" si="0"/>
        <v>0</v>
      </c>
      <c r="L26" s="2">
        <f t="shared" si="1"/>
        <v>3.8225122923268365E-3</v>
      </c>
    </row>
    <row r="27" spans="1:12" ht="14.1" customHeight="1">
      <c r="A27" s="355" t="s">
        <v>123</v>
      </c>
      <c r="B27" s="353">
        <f>'- 3 -'!B25</f>
        <v>169118852</v>
      </c>
      <c r="C27" s="353">
        <v>4798865</v>
      </c>
      <c r="D27" s="353">
        <v>-1096791</v>
      </c>
      <c r="E27" s="353">
        <f t="shared" si="2"/>
        <v>172820926</v>
      </c>
      <c r="F27" s="353">
        <f>'- 62 -'!D27</f>
        <v>4890538</v>
      </c>
      <c r="G27" s="292">
        <f t="shared" si="3"/>
        <v>2.8298297626295557</v>
      </c>
      <c r="H27" s="584">
        <f>+Data!P25</f>
        <v>3.5000000000000004</v>
      </c>
      <c r="I27" s="401">
        <v>2.8298297626295557E-2</v>
      </c>
      <c r="J27" s="353">
        <v>172820926</v>
      </c>
      <c r="K27" s="2">
        <f t="shared" si="0"/>
        <v>0</v>
      </c>
      <c r="L27" s="2">
        <f t="shared" si="1"/>
        <v>6.7017023737044462E-3</v>
      </c>
    </row>
    <row r="28" spans="1:12" ht="14.1" customHeight="1">
      <c r="A28" s="237" t="s">
        <v>124</v>
      </c>
      <c r="B28" s="151">
        <f>'- 3 -'!B26</f>
        <v>39636481</v>
      </c>
      <c r="C28" s="151">
        <v>1242878</v>
      </c>
      <c r="D28" s="151">
        <v>0</v>
      </c>
      <c r="E28" s="151">
        <f t="shared" si="2"/>
        <v>40879359</v>
      </c>
      <c r="F28" s="151">
        <f>'- 62 -'!D28</f>
        <v>1431677</v>
      </c>
      <c r="G28" s="70">
        <f t="shared" si="3"/>
        <v>3.5022002179633001</v>
      </c>
      <c r="H28" s="377">
        <f>+Data!P26</f>
        <v>3.8600000000000003</v>
      </c>
      <c r="I28" s="140">
        <v>3.5022002179632999E-2</v>
      </c>
      <c r="J28" s="151">
        <v>40879359</v>
      </c>
      <c r="K28" s="2">
        <f t="shared" si="0"/>
        <v>0</v>
      </c>
      <c r="L28" s="2">
        <f t="shared" si="1"/>
        <v>3.5779978203670029E-3</v>
      </c>
    </row>
    <row r="29" spans="1:12" ht="14.1" customHeight="1">
      <c r="A29" s="355" t="s">
        <v>125</v>
      </c>
      <c r="B29" s="353">
        <f>'- 3 -'!B27</f>
        <v>42014667</v>
      </c>
      <c r="C29" s="353">
        <v>324651</v>
      </c>
      <c r="D29" s="353">
        <v>0</v>
      </c>
      <c r="E29" s="353">
        <f t="shared" si="2"/>
        <v>42339318</v>
      </c>
      <c r="F29" s="353">
        <f>'- 62 -'!D29</f>
        <v>1910010</v>
      </c>
      <c r="G29" s="292">
        <f t="shared" si="3"/>
        <v>4.5111968974086922</v>
      </c>
      <c r="H29" s="584">
        <f>+Data!P27</f>
        <v>5</v>
      </c>
      <c r="I29" s="401">
        <v>4.5111968974086925E-2</v>
      </c>
      <c r="J29" s="353">
        <v>42339318</v>
      </c>
      <c r="K29" s="2">
        <f t="shared" si="0"/>
        <v>0</v>
      </c>
      <c r="L29" s="2">
        <f t="shared" si="1"/>
        <v>4.8880310259130783E-3</v>
      </c>
    </row>
    <row r="30" spans="1:12" ht="14.1" customHeight="1">
      <c r="A30" s="237" t="s">
        <v>126</v>
      </c>
      <c r="B30" s="151">
        <f>'- 3 -'!B28</f>
        <v>27958961</v>
      </c>
      <c r="C30" s="151">
        <v>45967</v>
      </c>
      <c r="D30" s="151">
        <v>-141132</v>
      </c>
      <c r="E30" s="151">
        <f t="shared" si="2"/>
        <v>27863796</v>
      </c>
      <c r="F30" s="151">
        <f>'- 62 -'!D30</f>
        <v>1004026</v>
      </c>
      <c r="G30" s="70">
        <f t="shared" si="3"/>
        <v>3.6033353100919916</v>
      </c>
      <c r="H30" s="377">
        <f>+Data!P28</f>
        <v>4.0599999999999996</v>
      </c>
      <c r="I30" s="140">
        <v>3.6033353100919915E-2</v>
      </c>
      <c r="J30" s="151">
        <v>27863796</v>
      </c>
      <c r="K30" s="2">
        <f t="shared" si="0"/>
        <v>0</v>
      </c>
      <c r="L30" s="2">
        <f t="shared" si="1"/>
        <v>4.5666468990800818E-3</v>
      </c>
    </row>
    <row r="31" spans="1:12" ht="14.1" customHeight="1">
      <c r="A31" s="355" t="s">
        <v>127</v>
      </c>
      <c r="B31" s="353">
        <f>'- 3 -'!B29</f>
        <v>152253616</v>
      </c>
      <c r="C31" s="353">
        <v>7036405</v>
      </c>
      <c r="D31" s="353">
        <v>0</v>
      </c>
      <c r="E31" s="353">
        <f t="shared" si="2"/>
        <v>159290021</v>
      </c>
      <c r="F31" s="353">
        <f>'- 62 -'!D31</f>
        <v>3922535</v>
      </c>
      <c r="G31" s="292">
        <f t="shared" si="3"/>
        <v>2.4625114463384996</v>
      </c>
      <c r="H31" s="584">
        <f>+Data!P29</f>
        <v>3.5000000000000004</v>
      </c>
      <c r="I31" s="401">
        <v>2.4625114463384997E-2</v>
      </c>
      <c r="J31" s="353">
        <v>159290021</v>
      </c>
      <c r="K31" s="2">
        <f t="shared" si="0"/>
        <v>0</v>
      </c>
      <c r="L31" s="2">
        <f t="shared" si="1"/>
        <v>1.0374885536615006E-2</v>
      </c>
    </row>
    <row r="32" spans="1:12" ht="14.1" customHeight="1">
      <c r="A32" s="237" t="s">
        <v>128</v>
      </c>
      <c r="B32" s="151">
        <f>'- 3 -'!B30</f>
        <v>13933084</v>
      </c>
      <c r="C32" s="151">
        <v>267606</v>
      </c>
      <c r="D32" s="151">
        <v>0</v>
      </c>
      <c r="E32" s="151">
        <f t="shared" si="2"/>
        <v>14200690</v>
      </c>
      <c r="F32" s="151">
        <f>'- 62 -'!D32</f>
        <v>493119</v>
      </c>
      <c r="G32" s="70">
        <f t="shared" si="3"/>
        <v>3.4725002799159759</v>
      </c>
      <c r="H32" s="377">
        <f>+Data!P30</f>
        <v>4.25</v>
      </c>
      <c r="I32" s="140">
        <v>3.4725002799159757E-2</v>
      </c>
      <c r="J32" s="151">
        <v>14200690</v>
      </c>
      <c r="K32" s="2">
        <f t="shared" si="0"/>
        <v>0</v>
      </c>
      <c r="L32" s="2">
        <f t="shared" si="1"/>
        <v>7.774997200840246E-3</v>
      </c>
    </row>
    <row r="33" spans="1:12" ht="14.1" customHeight="1">
      <c r="A33" s="355" t="s">
        <v>129</v>
      </c>
      <c r="B33" s="353">
        <f>'- 3 -'!B31</f>
        <v>35834379</v>
      </c>
      <c r="C33" s="353">
        <v>2007928</v>
      </c>
      <c r="D33" s="353">
        <v>0</v>
      </c>
      <c r="E33" s="353">
        <f t="shared" si="2"/>
        <v>37842307</v>
      </c>
      <c r="F33" s="353">
        <f>'- 62 -'!D33</f>
        <v>1120960</v>
      </c>
      <c r="G33" s="292">
        <f t="shared" si="3"/>
        <v>2.9621872683396386</v>
      </c>
      <c r="H33" s="584">
        <f>+Data!P31</f>
        <v>3.82</v>
      </c>
      <c r="I33" s="401">
        <v>2.9621872683396389E-2</v>
      </c>
      <c r="J33" s="353">
        <v>37842307</v>
      </c>
      <c r="K33" s="2">
        <f t="shared" si="0"/>
        <v>0</v>
      </c>
      <c r="L33" s="2">
        <f t="shared" si="1"/>
        <v>8.5781273166036093E-3</v>
      </c>
    </row>
    <row r="34" spans="1:12" ht="14.1" customHeight="1">
      <c r="A34" s="237" t="s">
        <v>130</v>
      </c>
      <c r="B34" s="151">
        <f>'- 3 -'!B32</f>
        <v>28154839</v>
      </c>
      <c r="C34" s="151">
        <v>540692</v>
      </c>
      <c r="D34" s="151">
        <v>-267738</v>
      </c>
      <c r="E34" s="151">
        <f t="shared" si="2"/>
        <v>28427793</v>
      </c>
      <c r="F34" s="151">
        <f>'- 62 -'!D34</f>
        <v>1084952</v>
      </c>
      <c r="G34" s="70">
        <f t="shared" si="3"/>
        <v>3.8165185739181373</v>
      </c>
      <c r="H34" s="377">
        <f>+Data!P32</f>
        <v>4.04</v>
      </c>
      <c r="I34" s="140">
        <v>3.8165185739181373E-2</v>
      </c>
      <c r="J34" s="151">
        <v>28427793</v>
      </c>
      <c r="K34" s="2">
        <f t="shared" si="0"/>
        <v>0</v>
      </c>
      <c r="L34" s="2">
        <f t="shared" si="1"/>
        <v>2.2348142608186253E-3</v>
      </c>
    </row>
    <row r="35" spans="1:12" ht="14.1" customHeight="1">
      <c r="A35" s="355" t="s">
        <v>131</v>
      </c>
      <c r="B35" s="353">
        <f>'- 3 -'!B33</f>
        <v>26567876</v>
      </c>
      <c r="C35" s="353">
        <v>2404425</v>
      </c>
      <c r="D35" s="353">
        <v>0</v>
      </c>
      <c r="E35" s="353">
        <f t="shared" si="2"/>
        <v>28972301</v>
      </c>
      <c r="F35" s="353">
        <f>'- 62 -'!D35</f>
        <v>857313</v>
      </c>
      <c r="G35" s="292">
        <f t="shared" si="3"/>
        <v>2.9590780518261219</v>
      </c>
      <c r="H35" s="584">
        <f>+Data!P33</f>
        <v>4.0599999999999996</v>
      </c>
      <c r="I35" s="401">
        <v>2.9590780518261219E-2</v>
      </c>
      <c r="J35" s="353">
        <v>28972301</v>
      </c>
      <c r="K35" s="2">
        <f t="shared" si="0"/>
        <v>0</v>
      </c>
      <c r="L35" s="2">
        <f t="shared" si="1"/>
        <v>1.1009219481738778E-2</v>
      </c>
    </row>
    <row r="36" spans="1:12" ht="14.1" customHeight="1">
      <c r="A36" s="237" t="s">
        <v>132</v>
      </c>
      <c r="B36" s="151">
        <f>'- 3 -'!B34</f>
        <v>28325919</v>
      </c>
      <c r="C36" s="151">
        <v>613521</v>
      </c>
      <c r="D36" s="151">
        <v>0</v>
      </c>
      <c r="E36" s="151">
        <f t="shared" si="2"/>
        <v>28939440</v>
      </c>
      <c r="F36" s="151">
        <f>'- 62 -'!D36</f>
        <v>1056624</v>
      </c>
      <c r="G36" s="70">
        <f t="shared" si="3"/>
        <v>3.6511556547051365</v>
      </c>
      <c r="H36" s="377">
        <f>+Data!P34</f>
        <v>4.07</v>
      </c>
      <c r="I36" s="140">
        <v>3.6511556547051363E-2</v>
      </c>
      <c r="J36" s="151">
        <v>28939440</v>
      </c>
      <c r="K36" s="2">
        <f t="shared" si="0"/>
        <v>0</v>
      </c>
      <c r="L36" s="2">
        <f t="shared" si="1"/>
        <v>4.188443452948637E-3</v>
      </c>
    </row>
    <row r="37" spans="1:12" ht="14.1" customHeight="1">
      <c r="A37" s="355" t="s">
        <v>133</v>
      </c>
      <c r="B37" s="353">
        <f>'- 3 -'!B35</f>
        <v>181126141</v>
      </c>
      <c r="C37" s="353">
        <v>3915814</v>
      </c>
      <c r="D37" s="353">
        <v>-1007529</v>
      </c>
      <c r="E37" s="353">
        <f t="shared" si="2"/>
        <v>184034426</v>
      </c>
      <c r="F37" s="353">
        <f>'- 62 -'!D37</f>
        <v>4873017</v>
      </c>
      <c r="G37" s="292">
        <f t="shared" si="3"/>
        <v>2.6478833911216153</v>
      </c>
      <c r="H37" s="584">
        <f>+Data!P35</f>
        <v>3.5000000000000004</v>
      </c>
      <c r="I37" s="401">
        <v>2.6478833911216155E-2</v>
      </c>
      <c r="J37" s="353">
        <v>184034426</v>
      </c>
      <c r="K37" s="2">
        <f t="shared" si="0"/>
        <v>0</v>
      </c>
      <c r="L37" s="2">
        <f t="shared" si="1"/>
        <v>8.5211660887838485E-3</v>
      </c>
    </row>
    <row r="38" spans="1:12" ht="14.1" customHeight="1">
      <c r="A38" s="237" t="s">
        <v>134</v>
      </c>
      <c r="B38" s="151">
        <f>'- 3 -'!B36</f>
        <v>22738895</v>
      </c>
      <c r="C38" s="151">
        <v>1322698</v>
      </c>
      <c r="D38" s="151">
        <v>-120012</v>
      </c>
      <c r="E38" s="151">
        <f t="shared" si="2"/>
        <v>23941581</v>
      </c>
      <c r="F38" s="151">
        <f>'- 62 -'!D38</f>
        <v>865855</v>
      </c>
      <c r="G38" s="70">
        <f t="shared" si="3"/>
        <v>3.6165322582497788</v>
      </c>
      <c r="H38" s="377">
        <f>+Data!P36</f>
        <v>4.1300000000000008</v>
      </c>
      <c r="I38" s="140">
        <v>3.6165322582497786E-2</v>
      </c>
      <c r="J38" s="151">
        <v>23941581</v>
      </c>
      <c r="K38" s="2">
        <f t="shared" si="0"/>
        <v>0</v>
      </c>
      <c r="L38" s="2">
        <f t="shared" si="1"/>
        <v>5.1346774175022245E-3</v>
      </c>
    </row>
    <row r="39" spans="1:12" ht="14.1" customHeight="1">
      <c r="A39" s="355" t="s">
        <v>135</v>
      </c>
      <c r="B39" s="353">
        <f>'- 3 -'!B37</f>
        <v>48269841</v>
      </c>
      <c r="C39" s="353">
        <v>1309963</v>
      </c>
      <c r="D39" s="353">
        <v>-311899</v>
      </c>
      <c r="E39" s="353">
        <f t="shared" si="2"/>
        <v>49267905</v>
      </c>
      <c r="F39" s="353">
        <f>'- 62 -'!D39</f>
        <v>1572564</v>
      </c>
      <c r="G39" s="292">
        <f t="shared" si="3"/>
        <v>3.1918629379511878</v>
      </c>
      <c r="H39" s="584">
        <f>+Data!P37</f>
        <v>3.6700000000000004</v>
      </c>
      <c r="I39" s="401">
        <v>3.1918629379511877E-2</v>
      </c>
      <c r="J39" s="353">
        <v>49267905</v>
      </c>
      <c r="K39" s="2">
        <f t="shared" si="0"/>
        <v>0</v>
      </c>
      <c r="L39" s="2">
        <f t="shared" si="1"/>
        <v>4.7813706204881262E-3</v>
      </c>
    </row>
    <row r="40" spans="1:12" ht="14.1" customHeight="1">
      <c r="A40" s="237" t="s">
        <v>136</v>
      </c>
      <c r="B40" s="151">
        <f>'- 3 -'!B38</f>
        <v>128088950</v>
      </c>
      <c r="C40" s="151">
        <v>2741971</v>
      </c>
      <c r="D40" s="151">
        <v>-839674</v>
      </c>
      <c r="E40" s="151">
        <f t="shared" si="2"/>
        <v>129991247</v>
      </c>
      <c r="F40" s="151">
        <f>'- 62 -'!D40</f>
        <v>3521026</v>
      </c>
      <c r="G40" s="70">
        <f t="shared" si="3"/>
        <v>2.7086639148865155</v>
      </c>
      <c r="H40" s="377">
        <f>+Data!P38</f>
        <v>3.5000000000000004</v>
      </c>
      <c r="I40" s="140">
        <v>2.7086639148865155E-2</v>
      </c>
      <c r="J40" s="151">
        <v>129991247</v>
      </c>
      <c r="K40" s="2">
        <f t="shared" si="0"/>
        <v>0</v>
      </c>
      <c r="L40" s="2">
        <f t="shared" si="1"/>
        <v>7.9133608511348479E-3</v>
      </c>
    </row>
    <row r="41" spans="1:12" ht="14.1" customHeight="1">
      <c r="A41" s="355" t="s">
        <v>137</v>
      </c>
      <c r="B41" s="353">
        <f>'- 3 -'!B39</f>
        <v>20853084</v>
      </c>
      <c r="C41" s="353">
        <v>1797759</v>
      </c>
      <c r="D41" s="353">
        <v>0</v>
      </c>
      <c r="E41" s="353">
        <f t="shared" si="2"/>
        <v>22650843</v>
      </c>
      <c r="F41" s="353">
        <f>'- 62 -'!D41</f>
        <v>844624</v>
      </c>
      <c r="G41" s="292">
        <f t="shared" si="3"/>
        <v>3.7288854988752513</v>
      </c>
      <c r="H41" s="584">
        <f>+Data!P39</f>
        <v>4.1399999999999997</v>
      </c>
      <c r="I41" s="401">
        <v>3.7288854988752514E-2</v>
      </c>
      <c r="J41" s="353">
        <v>22650843</v>
      </c>
      <c r="K41" s="2">
        <f t="shared" si="0"/>
        <v>0</v>
      </c>
      <c r="L41" s="2">
        <f t="shared" si="1"/>
        <v>4.1111450112474857E-3</v>
      </c>
    </row>
    <row r="42" spans="1:12" ht="14.1" customHeight="1">
      <c r="A42" s="237" t="s">
        <v>138</v>
      </c>
      <c r="B42" s="151">
        <f>'- 3 -'!B40</f>
        <v>102325944</v>
      </c>
      <c r="C42" s="151">
        <v>679502</v>
      </c>
      <c r="D42" s="151">
        <v>0</v>
      </c>
      <c r="E42" s="151">
        <f t="shared" si="2"/>
        <v>103005446</v>
      </c>
      <c r="F42" s="151">
        <f>'- 62 -'!D42</f>
        <v>3218019</v>
      </c>
      <c r="G42" s="70">
        <f t="shared" si="3"/>
        <v>3.1241251069385205</v>
      </c>
      <c r="H42" s="377">
        <f>+Data!P40</f>
        <v>3.5000000000000004</v>
      </c>
      <c r="I42" s="140">
        <v>3.1241251069385204E-2</v>
      </c>
      <c r="J42" s="151">
        <v>103005446</v>
      </c>
      <c r="K42" s="2">
        <f t="shared" si="0"/>
        <v>0</v>
      </c>
      <c r="L42" s="2">
        <f t="shared" si="1"/>
        <v>3.7587489306147998E-3</v>
      </c>
    </row>
    <row r="43" spans="1:12" ht="14.1" customHeight="1">
      <c r="A43" s="355" t="s">
        <v>139</v>
      </c>
      <c r="B43" s="353">
        <f>'- 3 -'!B41</f>
        <v>62649541</v>
      </c>
      <c r="C43" s="353">
        <v>1504698</v>
      </c>
      <c r="D43" s="353">
        <v>-970970</v>
      </c>
      <c r="E43" s="353">
        <f t="shared" si="2"/>
        <v>63183269</v>
      </c>
      <c r="F43" s="353">
        <f>'- 62 -'!D43</f>
        <v>2129627</v>
      </c>
      <c r="G43" s="292">
        <f t="shared" si="3"/>
        <v>3.3705552651921189</v>
      </c>
      <c r="H43" s="584">
        <f>+Data!P41</f>
        <v>3.62</v>
      </c>
      <c r="I43" s="401">
        <v>3.370555265192119E-2</v>
      </c>
      <c r="J43" s="353">
        <v>63183269</v>
      </c>
      <c r="K43" s="2">
        <f t="shared" si="0"/>
        <v>0</v>
      </c>
      <c r="L43" s="2">
        <f t="shared" si="1"/>
        <v>2.4944473480788126E-3</v>
      </c>
    </row>
    <row r="44" spans="1:12" ht="14.1" customHeight="1">
      <c r="A44" s="237" t="s">
        <v>140</v>
      </c>
      <c r="B44" s="151">
        <f>'- 3 -'!B42</f>
        <v>20084911</v>
      </c>
      <c r="C44" s="151">
        <v>1078076</v>
      </c>
      <c r="D44" s="151">
        <v>0</v>
      </c>
      <c r="E44" s="151">
        <f t="shared" si="2"/>
        <v>21162987</v>
      </c>
      <c r="F44" s="151">
        <f>'- 62 -'!D44</f>
        <v>836569</v>
      </c>
      <c r="G44" s="70">
        <f t="shared" si="3"/>
        <v>3.9529816844852759</v>
      </c>
      <c r="H44" s="377">
        <f>+Data!P42</f>
        <v>4.18</v>
      </c>
      <c r="I44" s="140">
        <v>3.952981684485276E-2</v>
      </c>
      <c r="J44" s="151">
        <v>21162987</v>
      </c>
      <c r="K44" s="2">
        <f t="shared" si="0"/>
        <v>0</v>
      </c>
      <c r="L44" s="2">
        <f t="shared" si="1"/>
        <v>2.2701831551472373E-3</v>
      </c>
    </row>
    <row r="45" spans="1:12" ht="14.1" customHeight="1">
      <c r="A45" s="355" t="s">
        <v>141</v>
      </c>
      <c r="B45" s="353">
        <f>'- 3 -'!B43</f>
        <v>12746673</v>
      </c>
      <c r="C45" s="353">
        <v>430673</v>
      </c>
      <c r="D45" s="353">
        <v>-232675</v>
      </c>
      <c r="E45" s="353">
        <f t="shared" si="2"/>
        <v>12944671</v>
      </c>
      <c r="F45" s="353">
        <f>'- 62 -'!D45</f>
        <v>539735</v>
      </c>
      <c r="G45" s="292">
        <f t="shared" si="3"/>
        <v>4.1695536333059371</v>
      </c>
      <c r="H45" s="584">
        <f>+Data!P43</f>
        <v>4.25</v>
      </c>
      <c r="I45" s="401">
        <v>4.169553633305937E-2</v>
      </c>
      <c r="J45" s="353">
        <v>12944671</v>
      </c>
      <c r="K45" s="2">
        <f t="shared" si="0"/>
        <v>0</v>
      </c>
      <c r="L45" s="2">
        <f t="shared" si="1"/>
        <v>8.0446366694063298E-4</v>
      </c>
    </row>
    <row r="46" spans="1:12" ht="14.1" customHeight="1">
      <c r="A46" s="237" t="s">
        <v>142</v>
      </c>
      <c r="B46" s="151">
        <f>'- 3 -'!B44</f>
        <v>11040597</v>
      </c>
      <c r="C46" s="151">
        <v>276781</v>
      </c>
      <c r="D46" s="151">
        <v>0</v>
      </c>
      <c r="E46" s="151">
        <f t="shared" si="2"/>
        <v>11317378</v>
      </c>
      <c r="F46" s="151">
        <f>'- 62 -'!D46</f>
        <v>375466</v>
      </c>
      <c r="G46" s="70">
        <f t="shared" si="3"/>
        <v>3.3176058977618315</v>
      </c>
      <c r="H46" s="377">
        <f>+Data!P44</f>
        <v>4.25</v>
      </c>
      <c r="I46" s="140">
        <v>3.3176058977618314E-2</v>
      </c>
      <c r="J46" s="151">
        <v>11317378</v>
      </c>
      <c r="K46" s="2">
        <f t="shared" si="0"/>
        <v>0</v>
      </c>
      <c r="L46" s="2">
        <f t="shared" si="1"/>
        <v>9.323941022381689E-3</v>
      </c>
    </row>
    <row r="47" spans="1:12" ht="14.1" customHeight="1">
      <c r="A47" s="355" t="s">
        <v>143</v>
      </c>
      <c r="B47" s="353">
        <f>'- 3 -'!B45</f>
        <v>18667740</v>
      </c>
      <c r="C47" s="353">
        <v>370947</v>
      </c>
      <c r="D47" s="353">
        <v>-395968</v>
      </c>
      <c r="E47" s="353">
        <f t="shared" si="2"/>
        <v>18642719</v>
      </c>
      <c r="F47" s="353">
        <f>'- 62 -'!D47</f>
        <v>702231</v>
      </c>
      <c r="G47" s="292">
        <f t="shared" si="3"/>
        <v>3.7667842335659301</v>
      </c>
      <c r="H47" s="584">
        <f>+Data!P45</f>
        <v>4.1300000000000008</v>
      </c>
      <c r="I47" s="401">
        <v>3.7667842335659299E-2</v>
      </c>
      <c r="J47" s="353">
        <v>18642719</v>
      </c>
      <c r="K47" s="2">
        <f t="shared" si="0"/>
        <v>0</v>
      </c>
      <c r="L47" s="2">
        <f t="shared" si="1"/>
        <v>3.6321576643407114E-3</v>
      </c>
    </row>
    <row r="48" spans="1:12" ht="14.1" customHeight="1">
      <c r="A48" s="237" t="s">
        <v>144</v>
      </c>
      <c r="B48" s="151">
        <f>'- 3 -'!B46</f>
        <v>384002859</v>
      </c>
      <c r="C48" s="151">
        <v>5705462</v>
      </c>
      <c r="D48" s="151">
        <v>-781794</v>
      </c>
      <c r="E48" s="151">
        <f t="shared" si="2"/>
        <v>388926527</v>
      </c>
      <c r="F48" s="151">
        <f>'- 62 -'!D48</f>
        <v>10522360</v>
      </c>
      <c r="G48" s="70">
        <f t="shared" si="3"/>
        <v>2.7054878671209792</v>
      </c>
      <c r="H48" s="377">
        <f>+Data!P46</f>
        <v>3.5000000000000004</v>
      </c>
      <c r="I48" s="140">
        <v>2.7054878671209794E-2</v>
      </c>
      <c r="J48" s="151">
        <v>388926527</v>
      </c>
      <c r="K48" s="2">
        <f t="shared" si="0"/>
        <v>0</v>
      </c>
      <c r="L48" s="2">
        <f t="shared" si="1"/>
        <v>7.9451213287902098E-3</v>
      </c>
    </row>
    <row r="49" spans="1:11" ht="5.0999999999999996" customHeight="1">
      <c r="A49" s="130"/>
      <c r="B49" s="152"/>
      <c r="C49" s="152"/>
      <c r="D49" s="152"/>
      <c r="E49" s="152"/>
      <c r="F49" s="152"/>
      <c r="G49" s="583"/>
      <c r="H49" s="1"/>
      <c r="I49" s="131"/>
      <c r="J49" s="152"/>
    </row>
    <row r="50" spans="1:11" ht="14.45" customHeight="1">
      <c r="A50" s="356" t="s">
        <v>145</v>
      </c>
      <c r="B50" s="357">
        <f>SUM(B13:B48)</f>
        <v>2021731941</v>
      </c>
      <c r="C50" s="357">
        <f>SUM(C13:C48)</f>
        <v>56306396</v>
      </c>
      <c r="D50" s="357">
        <f>SUM(D13:D48)</f>
        <v>-8051299</v>
      </c>
      <c r="E50" s="357">
        <f>SUM(E13:E48)</f>
        <v>2069987038</v>
      </c>
      <c r="F50" s="357">
        <f>SUM(F13:F48)</f>
        <v>62771855</v>
      </c>
      <c r="G50" s="295">
        <f>F50/E50*100</f>
        <v>3.0324757521500967</v>
      </c>
      <c r="H50" s="585" t="s">
        <v>95</v>
      </c>
      <c r="I50" s="402"/>
      <c r="J50" s="357">
        <f>SUM(J13:J48)</f>
        <v>2069987038</v>
      </c>
      <c r="K50" s="2">
        <f>J50-E50</f>
        <v>0</v>
      </c>
    </row>
    <row r="51" spans="1:11" ht="5.0999999999999996" customHeight="1">
      <c r="A51" s="130" t="s">
        <v>7</v>
      </c>
      <c r="B51" s="152"/>
      <c r="C51" s="152"/>
      <c r="D51" s="152"/>
      <c r="E51" s="152"/>
      <c r="F51" s="152"/>
      <c r="G51" s="583"/>
      <c r="H51"/>
      <c r="I51" s="131"/>
      <c r="J51" s="152"/>
    </row>
    <row r="52" spans="1:11" ht="14.45" customHeight="1">
      <c r="A52" s="237" t="s">
        <v>146</v>
      </c>
      <c r="B52" s="151"/>
      <c r="C52" s="151"/>
      <c r="D52" s="151"/>
      <c r="E52" s="151"/>
      <c r="F52" s="151"/>
      <c r="G52" s="582" t="s">
        <v>643</v>
      </c>
      <c r="H52" s="582" t="s">
        <v>643</v>
      </c>
      <c r="I52" s="140">
        <v>4.3537290269996504E-2</v>
      </c>
      <c r="J52" s="151">
        <v>3567861</v>
      </c>
    </row>
    <row r="53" spans="1:11" ht="50.1" customHeight="1">
      <c r="A53" s="23"/>
      <c r="B53" s="23"/>
      <c r="C53" s="23"/>
      <c r="D53" s="23"/>
      <c r="E53" s="23"/>
      <c r="F53" s="23"/>
      <c r="G53" s="23"/>
      <c r="H53" s="23"/>
    </row>
    <row r="54" spans="1:11" ht="14.45" customHeight="1">
      <c r="A54" s="607" t="s">
        <v>598</v>
      </c>
      <c r="B54" s="607"/>
      <c r="C54" s="607"/>
      <c r="D54" s="607"/>
      <c r="E54" s="607"/>
      <c r="F54" s="607"/>
      <c r="G54" s="607"/>
      <c r="H54" s="607"/>
    </row>
    <row r="55" spans="1:11" ht="12" customHeight="1">
      <c r="A55" s="826"/>
      <c r="B55" s="826"/>
      <c r="C55" s="826"/>
      <c r="D55" s="826"/>
      <c r="E55" s="826"/>
      <c r="F55" s="826"/>
      <c r="G55" s="826"/>
      <c r="H55" s="826"/>
    </row>
    <row r="56" spans="1:11" ht="14.45" customHeight="1">
      <c r="A56" s="38"/>
      <c r="B56" s="38"/>
      <c r="C56" s="38"/>
      <c r="D56" s="38"/>
    </row>
    <row r="57" spans="1:11" ht="14.45" customHeight="1">
      <c r="A57" s="38"/>
      <c r="B57" s="38"/>
      <c r="C57" s="38"/>
      <c r="D57" s="38"/>
    </row>
    <row r="58" spans="1:11" ht="14.45" customHeight="1">
      <c r="A58" s="38"/>
      <c r="B58" s="38"/>
      <c r="C58" s="38"/>
      <c r="D58" s="38"/>
    </row>
    <row r="59" spans="1:11">
      <c r="A59" s="38"/>
    </row>
  </sheetData>
  <mergeCells count="9">
    <mergeCell ref="B4:H4"/>
    <mergeCell ref="A54:H55"/>
    <mergeCell ref="B8:B11"/>
    <mergeCell ref="C8:C11"/>
    <mergeCell ref="D8:D11"/>
    <mergeCell ref="E9:E11"/>
    <mergeCell ref="F8:F11"/>
    <mergeCell ref="H6:H11"/>
    <mergeCell ref="G6:G11"/>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cols>
    <col min="1" max="1" width="28.1640625" style="478" customWidth="1"/>
    <col min="2" max="2" width="16.83203125" style="482" bestFit="1" customWidth="1"/>
    <col min="3" max="3" width="13" style="478" customWidth="1"/>
    <col min="4" max="4" width="11.83203125" style="478" customWidth="1"/>
    <col min="5" max="5" width="15.1640625" style="478" customWidth="1"/>
    <col min="6" max="6" width="15.5" style="478" customWidth="1"/>
    <col min="7" max="7" width="14.33203125" style="478" customWidth="1"/>
    <col min="8" max="8" width="8.5" style="478" customWidth="1"/>
    <col min="9" max="9" width="11.83203125" style="478" customWidth="1"/>
    <col min="10" max="16384" width="15.83203125" style="478"/>
  </cols>
  <sheetData>
    <row r="1" spans="1:9">
      <c r="A1" s="513"/>
      <c r="B1" s="514"/>
      <c r="C1" s="515"/>
      <c r="D1" s="515"/>
      <c r="E1" s="515"/>
      <c r="F1" s="515"/>
      <c r="G1" s="515"/>
      <c r="H1" s="515"/>
      <c r="I1" s="515"/>
    </row>
    <row r="2" spans="1:9" s="479" customFormat="1" ht="15.95" customHeight="1">
      <c r="A2" s="834" t="s">
        <v>379</v>
      </c>
      <c r="B2" s="834"/>
      <c r="C2" s="834"/>
      <c r="D2" s="834"/>
      <c r="E2" s="834"/>
      <c r="F2" s="834"/>
      <c r="G2" s="834"/>
      <c r="H2" s="834"/>
      <c r="I2" s="516"/>
    </row>
    <row r="3" spans="1:9" s="479" customFormat="1" ht="16.5" customHeight="1">
      <c r="A3" s="835" t="str">
        <f>Data!B5&amp;" "&amp;"ACTUAL"</f>
        <v>2015/16 ACTUAL</v>
      </c>
      <c r="B3" s="835"/>
      <c r="C3" s="835"/>
      <c r="D3" s="835"/>
      <c r="E3" s="835"/>
      <c r="F3" s="835"/>
      <c r="G3" s="835"/>
      <c r="H3" s="835"/>
      <c r="I3" s="517"/>
    </row>
    <row r="4" spans="1:9">
      <c r="A4" s="515"/>
      <c r="B4" s="518"/>
      <c r="C4" s="515"/>
      <c r="D4" s="515"/>
      <c r="E4" s="515"/>
      <c r="F4" s="515"/>
      <c r="G4" s="515"/>
      <c r="H4" s="515"/>
      <c r="I4" s="515"/>
    </row>
    <row r="5" spans="1:9">
      <c r="A5" s="515"/>
      <c r="B5" s="518"/>
      <c r="C5" s="515"/>
      <c r="D5" s="515"/>
      <c r="E5" s="515"/>
      <c r="F5" s="515"/>
      <c r="G5" s="515"/>
      <c r="H5" s="515"/>
      <c r="I5" s="515"/>
    </row>
    <row r="6" spans="1:9">
      <c r="A6" s="515"/>
      <c r="B6" s="515"/>
      <c r="C6" s="515"/>
      <c r="D6" s="515"/>
      <c r="E6" s="515"/>
      <c r="F6" s="515"/>
      <c r="G6" s="515"/>
      <c r="H6" s="515"/>
      <c r="I6" s="515"/>
    </row>
    <row r="7" spans="1:9">
      <c r="A7" s="515"/>
      <c r="B7" s="833"/>
      <c r="C7" s="833"/>
      <c r="D7" s="833"/>
      <c r="E7" s="833"/>
      <c r="F7" s="833"/>
      <c r="G7" s="833"/>
      <c r="H7" s="833"/>
      <c r="I7" s="515"/>
    </row>
    <row r="8" spans="1:9" ht="39" customHeight="1">
      <c r="A8" s="519"/>
      <c r="B8" s="836" t="s">
        <v>285</v>
      </c>
      <c r="C8" s="831" t="s">
        <v>368</v>
      </c>
      <c r="D8" s="832"/>
      <c r="E8" s="837" t="s">
        <v>286</v>
      </c>
      <c r="F8" s="829" t="s">
        <v>287</v>
      </c>
      <c r="G8" s="829" t="s">
        <v>369</v>
      </c>
      <c r="H8" s="829" t="s">
        <v>370</v>
      </c>
      <c r="I8" s="829" t="s">
        <v>288</v>
      </c>
    </row>
    <row r="9" spans="1:9" ht="19.5" customHeight="1">
      <c r="A9" s="520" t="s">
        <v>289</v>
      </c>
      <c r="B9" s="830"/>
      <c r="C9" s="509" t="s">
        <v>367</v>
      </c>
      <c r="D9" s="508" t="s">
        <v>24</v>
      </c>
      <c r="E9" s="830"/>
      <c r="F9" s="830"/>
      <c r="G9" s="830"/>
      <c r="H9" s="830"/>
      <c r="I9" s="830"/>
    </row>
    <row r="10" spans="1:9" ht="3.95" customHeight="1">
      <c r="A10" s="521"/>
      <c r="B10" s="518"/>
      <c r="C10" s="515"/>
      <c r="D10" s="515"/>
      <c r="E10" s="515"/>
      <c r="F10" s="515"/>
      <c r="G10" s="515"/>
      <c r="H10" s="515"/>
      <c r="I10" s="515"/>
    </row>
    <row r="11" spans="1:9">
      <c r="A11" s="355" t="s">
        <v>290</v>
      </c>
      <c r="B11" s="522">
        <v>10.549999999999999</v>
      </c>
      <c r="C11" s="522">
        <v>111.45</v>
      </c>
      <c r="D11" s="522">
        <v>50.7</v>
      </c>
      <c r="E11" s="522">
        <v>40.599999999999994</v>
      </c>
      <c r="F11" s="522">
        <v>8.99</v>
      </c>
      <c r="G11" s="522">
        <v>2</v>
      </c>
      <c r="H11" s="522">
        <v>2.25</v>
      </c>
      <c r="I11" s="522">
        <f t="shared" ref="I11:I46" si="0">SUM(B11:H11)</f>
        <v>226.54</v>
      </c>
    </row>
    <row r="12" spans="1:9">
      <c r="A12" s="237" t="s">
        <v>291</v>
      </c>
      <c r="B12" s="523">
        <v>21.41</v>
      </c>
      <c r="C12" s="523">
        <v>183.24299999999999</v>
      </c>
      <c r="D12" s="523">
        <v>89.77</v>
      </c>
      <c r="E12" s="523">
        <v>74.819999999999993</v>
      </c>
      <c r="F12" s="523">
        <v>24.05</v>
      </c>
      <c r="G12" s="523">
        <v>5.46</v>
      </c>
      <c r="H12" s="523">
        <v>4.62</v>
      </c>
      <c r="I12" s="523">
        <f t="shared" si="0"/>
        <v>403.37299999999999</v>
      </c>
    </row>
    <row r="13" spans="1:9">
      <c r="A13" s="355" t="s">
        <v>292</v>
      </c>
      <c r="B13" s="522">
        <v>47.75</v>
      </c>
      <c r="C13" s="522">
        <v>600.85</v>
      </c>
      <c r="D13" s="522">
        <v>270.71000000000004</v>
      </c>
      <c r="E13" s="522">
        <v>124.21000000000001</v>
      </c>
      <c r="F13" s="522">
        <v>48.39</v>
      </c>
      <c r="G13" s="522">
        <v>26</v>
      </c>
      <c r="H13" s="522">
        <v>7</v>
      </c>
      <c r="I13" s="522">
        <f t="shared" si="0"/>
        <v>1124.9100000000001</v>
      </c>
    </row>
    <row r="14" spans="1:9">
      <c r="A14" s="237" t="s">
        <v>360</v>
      </c>
      <c r="B14" s="523">
        <v>52.87</v>
      </c>
      <c r="C14" s="523">
        <v>400.79999999999995</v>
      </c>
      <c r="D14" s="523">
        <v>263.74</v>
      </c>
      <c r="E14" s="523">
        <v>64.31</v>
      </c>
      <c r="F14" s="523">
        <v>51.26</v>
      </c>
      <c r="G14" s="523">
        <v>9.17</v>
      </c>
      <c r="H14" s="523">
        <v>6.5</v>
      </c>
      <c r="I14" s="523">
        <f t="shared" si="0"/>
        <v>848.65</v>
      </c>
    </row>
    <row r="15" spans="1:9">
      <c r="A15" s="355" t="s">
        <v>293</v>
      </c>
      <c r="B15" s="522">
        <v>14.25</v>
      </c>
      <c r="C15" s="522">
        <v>99.95</v>
      </c>
      <c r="D15" s="522">
        <v>57.55</v>
      </c>
      <c r="E15" s="522">
        <v>37.549999999999997</v>
      </c>
      <c r="F15" s="522">
        <v>13.95</v>
      </c>
      <c r="G15" s="522">
        <v>2</v>
      </c>
      <c r="H15" s="522">
        <v>2</v>
      </c>
      <c r="I15" s="522">
        <f t="shared" si="0"/>
        <v>227.25</v>
      </c>
    </row>
    <row r="16" spans="1:9">
      <c r="A16" s="237" t="s">
        <v>294</v>
      </c>
      <c r="B16" s="523">
        <v>10.17</v>
      </c>
      <c r="C16" s="523">
        <v>72.3</v>
      </c>
      <c r="D16" s="523">
        <v>33</v>
      </c>
      <c r="E16" s="523">
        <v>22.3</v>
      </c>
      <c r="F16" s="523">
        <v>9.83</v>
      </c>
      <c r="G16" s="523">
        <v>1.6</v>
      </c>
      <c r="H16" s="523">
        <v>2</v>
      </c>
      <c r="I16" s="523">
        <f t="shared" si="0"/>
        <v>151.20000000000002</v>
      </c>
    </row>
    <row r="17" spans="1:9">
      <c r="A17" s="355" t="s">
        <v>295</v>
      </c>
      <c r="B17" s="522">
        <v>10.76</v>
      </c>
      <c r="C17" s="522">
        <v>103.47999999999999</v>
      </c>
      <c r="D17" s="522">
        <v>47.809999999999995</v>
      </c>
      <c r="E17" s="522">
        <v>50.08</v>
      </c>
      <c r="F17" s="522">
        <v>12.219999999999999</v>
      </c>
      <c r="G17" s="522">
        <v>3</v>
      </c>
      <c r="H17" s="522">
        <v>2</v>
      </c>
      <c r="I17" s="522">
        <f t="shared" si="0"/>
        <v>229.35</v>
      </c>
    </row>
    <row r="18" spans="1:9">
      <c r="A18" s="237" t="s">
        <v>296</v>
      </c>
      <c r="B18" s="523">
        <v>70.597624309392259</v>
      </c>
      <c r="C18" s="523">
        <v>478.83475555555555</v>
      </c>
      <c r="D18" s="523">
        <v>388.28927444794948</v>
      </c>
      <c r="E18" s="523">
        <v>291.63206332320163</v>
      </c>
      <c r="F18" s="523">
        <v>77.23551797246995</v>
      </c>
      <c r="G18" s="523">
        <v>12.5</v>
      </c>
      <c r="H18" s="523">
        <v>10</v>
      </c>
      <c r="I18" s="523">
        <f t="shared" si="0"/>
        <v>1329.089235608569</v>
      </c>
    </row>
    <row r="19" spans="1:9">
      <c r="A19" s="355" t="s">
        <v>297</v>
      </c>
      <c r="B19" s="522">
        <v>21</v>
      </c>
      <c r="C19" s="522">
        <v>276.39000000000004</v>
      </c>
      <c r="D19" s="522">
        <v>149.7039</v>
      </c>
      <c r="E19" s="522">
        <v>112.80800000000001</v>
      </c>
      <c r="F19" s="522">
        <v>18.869999999999997</v>
      </c>
      <c r="G19" s="522">
        <v>11.4</v>
      </c>
      <c r="H19" s="522">
        <v>8</v>
      </c>
      <c r="I19" s="522">
        <f t="shared" si="0"/>
        <v>598.17190000000005</v>
      </c>
    </row>
    <row r="20" spans="1:9">
      <c r="A20" s="237" t="s">
        <v>298</v>
      </c>
      <c r="B20" s="523">
        <v>44.17</v>
      </c>
      <c r="C20" s="523">
        <v>488.18</v>
      </c>
      <c r="D20" s="523">
        <v>181.54</v>
      </c>
      <c r="E20" s="523">
        <v>212.6</v>
      </c>
      <c r="F20" s="523">
        <v>69.440000000000012</v>
      </c>
      <c r="G20" s="523">
        <v>15.3</v>
      </c>
      <c r="H20" s="523">
        <v>11.93</v>
      </c>
      <c r="I20" s="523">
        <f t="shared" si="0"/>
        <v>1023.16</v>
      </c>
    </row>
    <row r="21" spans="1:9">
      <c r="A21" s="355" t="s">
        <v>299</v>
      </c>
      <c r="B21" s="522">
        <v>22</v>
      </c>
      <c r="C21" s="522">
        <v>207.45</v>
      </c>
      <c r="D21" s="522">
        <v>93</v>
      </c>
      <c r="E21" s="522">
        <v>74.75</v>
      </c>
      <c r="F21" s="522">
        <v>22.95</v>
      </c>
      <c r="G21" s="522">
        <v>6.5</v>
      </c>
      <c r="H21" s="522">
        <v>7</v>
      </c>
      <c r="I21" s="522">
        <f t="shared" si="0"/>
        <v>433.65</v>
      </c>
    </row>
    <row r="22" spans="1:9">
      <c r="A22" s="237" t="s">
        <v>300</v>
      </c>
      <c r="B22" s="523">
        <v>10.7</v>
      </c>
      <c r="C22" s="523">
        <v>110.7</v>
      </c>
      <c r="D22" s="523">
        <v>61.25</v>
      </c>
      <c r="E22" s="523">
        <v>32.22</v>
      </c>
      <c r="F22" s="523">
        <v>19</v>
      </c>
      <c r="G22" s="523">
        <v>3</v>
      </c>
      <c r="H22" s="523">
        <v>2</v>
      </c>
      <c r="I22" s="523">
        <f t="shared" si="0"/>
        <v>238.87</v>
      </c>
    </row>
    <row r="23" spans="1:9">
      <c r="A23" s="355" t="s">
        <v>301</v>
      </c>
      <c r="B23" s="522">
        <v>10.5</v>
      </c>
      <c r="C23" s="522">
        <v>85.5</v>
      </c>
      <c r="D23" s="522">
        <v>63</v>
      </c>
      <c r="E23" s="522">
        <v>34.700000000000003</v>
      </c>
      <c r="F23" s="522">
        <v>9.5</v>
      </c>
      <c r="G23" s="522">
        <v>3.5</v>
      </c>
      <c r="H23" s="522">
        <v>2</v>
      </c>
      <c r="I23" s="522">
        <f t="shared" si="0"/>
        <v>208.7</v>
      </c>
    </row>
    <row r="24" spans="1:9">
      <c r="A24" s="237" t="s">
        <v>302</v>
      </c>
      <c r="B24" s="523">
        <v>29</v>
      </c>
      <c r="C24" s="523">
        <v>315.60000000000002</v>
      </c>
      <c r="D24" s="523">
        <v>181.88</v>
      </c>
      <c r="E24" s="523">
        <v>122.92</v>
      </c>
      <c r="F24" s="523">
        <v>31.5</v>
      </c>
      <c r="G24" s="523">
        <v>14.5</v>
      </c>
      <c r="H24" s="523">
        <v>9</v>
      </c>
      <c r="I24" s="523">
        <f t="shared" si="0"/>
        <v>704.4</v>
      </c>
    </row>
    <row r="25" spans="1:9">
      <c r="A25" s="355" t="s">
        <v>303</v>
      </c>
      <c r="B25" s="522">
        <v>81</v>
      </c>
      <c r="C25" s="522">
        <v>936.81999999999994</v>
      </c>
      <c r="D25" s="522">
        <v>524.38</v>
      </c>
      <c r="E25" s="522">
        <v>166.66800000000001</v>
      </c>
      <c r="F25" s="522">
        <v>117.77</v>
      </c>
      <c r="G25" s="522">
        <v>33.68</v>
      </c>
      <c r="H25" s="522">
        <v>17</v>
      </c>
      <c r="I25" s="522">
        <f t="shared" si="0"/>
        <v>1877.318</v>
      </c>
    </row>
    <row r="26" spans="1:9">
      <c r="A26" s="237" t="s">
        <v>304</v>
      </c>
      <c r="B26" s="523">
        <v>28.95</v>
      </c>
      <c r="C26" s="523">
        <v>218.82000000000002</v>
      </c>
      <c r="D26" s="523">
        <v>118.8</v>
      </c>
      <c r="E26" s="523">
        <v>114.81</v>
      </c>
      <c r="F26" s="523">
        <v>24.75</v>
      </c>
      <c r="G26" s="523">
        <v>5.5</v>
      </c>
      <c r="H26" s="523">
        <v>5.75</v>
      </c>
      <c r="I26" s="523">
        <f t="shared" si="0"/>
        <v>517.38</v>
      </c>
    </row>
    <row r="27" spans="1:9">
      <c r="A27" s="355" t="s">
        <v>305</v>
      </c>
      <c r="B27" s="522">
        <v>20.599999999999998</v>
      </c>
      <c r="C27" s="522">
        <v>231.9</v>
      </c>
      <c r="D27" s="522">
        <v>90.4</v>
      </c>
      <c r="E27" s="522">
        <v>40.1</v>
      </c>
      <c r="F27" s="522">
        <v>25</v>
      </c>
      <c r="G27" s="522">
        <v>9</v>
      </c>
      <c r="H27" s="522">
        <v>6</v>
      </c>
      <c r="I27" s="522">
        <f t="shared" si="0"/>
        <v>423</v>
      </c>
    </row>
    <row r="28" spans="1:9">
      <c r="A28" s="237" t="s">
        <v>306</v>
      </c>
      <c r="B28" s="523">
        <v>16.350000000000001</v>
      </c>
      <c r="C28" s="523">
        <v>163.29999999999998</v>
      </c>
      <c r="D28" s="523">
        <v>96.54</v>
      </c>
      <c r="E28" s="523">
        <v>50.75</v>
      </c>
      <c r="F28" s="523">
        <v>17.599999999999998</v>
      </c>
      <c r="G28" s="523">
        <v>4.2</v>
      </c>
      <c r="H28" s="523">
        <v>4.2</v>
      </c>
      <c r="I28" s="523">
        <f t="shared" si="0"/>
        <v>352.94</v>
      </c>
    </row>
    <row r="29" spans="1:9">
      <c r="A29" s="355" t="s">
        <v>307</v>
      </c>
      <c r="B29" s="522">
        <v>73.91</v>
      </c>
      <c r="C29" s="522">
        <v>847.3</v>
      </c>
      <c r="D29" s="522">
        <v>438.46999999999997</v>
      </c>
      <c r="E29" s="522">
        <v>159.49</v>
      </c>
      <c r="F29" s="522">
        <v>103.59</v>
      </c>
      <c r="G29" s="522">
        <v>28.43</v>
      </c>
      <c r="H29" s="522">
        <v>20.350000000000001</v>
      </c>
      <c r="I29" s="522">
        <f t="shared" si="0"/>
        <v>1671.5399999999997</v>
      </c>
    </row>
    <row r="30" spans="1:9">
      <c r="A30" s="237" t="s">
        <v>308</v>
      </c>
      <c r="B30" s="523">
        <v>11.349999999999998</v>
      </c>
      <c r="C30" s="523">
        <v>73.77000000000001</v>
      </c>
      <c r="D30" s="523">
        <v>31.262999999999998</v>
      </c>
      <c r="E30" s="523">
        <v>37.700000000000003</v>
      </c>
      <c r="F30" s="523">
        <v>10.35</v>
      </c>
      <c r="G30" s="523">
        <v>3.5</v>
      </c>
      <c r="H30" s="523">
        <v>2</v>
      </c>
      <c r="I30" s="523">
        <f t="shared" si="0"/>
        <v>169.93300000000002</v>
      </c>
    </row>
    <row r="31" spans="1:9">
      <c r="A31" s="355" t="s">
        <v>309</v>
      </c>
      <c r="B31" s="522">
        <v>20.71</v>
      </c>
      <c r="C31" s="522">
        <v>233.79</v>
      </c>
      <c r="D31" s="522">
        <v>128.95999999999998</v>
      </c>
      <c r="E31" s="522">
        <v>76.03</v>
      </c>
      <c r="F31" s="522">
        <v>20.13</v>
      </c>
      <c r="G31" s="522">
        <v>6.4</v>
      </c>
      <c r="H31" s="522">
        <v>6.14</v>
      </c>
      <c r="I31" s="522">
        <f t="shared" si="0"/>
        <v>492.15999999999997</v>
      </c>
    </row>
    <row r="32" spans="1:9">
      <c r="A32" s="237" t="s">
        <v>310</v>
      </c>
      <c r="B32" s="523">
        <v>16.000000000000004</v>
      </c>
      <c r="C32" s="523">
        <v>164</v>
      </c>
      <c r="D32" s="523">
        <v>87.720000000000013</v>
      </c>
      <c r="E32" s="523">
        <v>60.81</v>
      </c>
      <c r="F32" s="523">
        <v>18.96</v>
      </c>
      <c r="G32" s="523">
        <v>3.7</v>
      </c>
      <c r="H32" s="523">
        <v>5</v>
      </c>
      <c r="I32" s="523">
        <f t="shared" si="0"/>
        <v>356.19</v>
      </c>
    </row>
    <row r="33" spans="1:9">
      <c r="A33" s="355" t="s">
        <v>311</v>
      </c>
      <c r="B33" s="522">
        <v>19.189999999999998</v>
      </c>
      <c r="C33" s="522">
        <v>145.29000000000002</v>
      </c>
      <c r="D33" s="522">
        <v>93.759999999999991</v>
      </c>
      <c r="E33" s="522">
        <v>80.539999999999992</v>
      </c>
      <c r="F33" s="522">
        <v>19.619999999999997</v>
      </c>
      <c r="G33" s="522">
        <v>4.6500000000000004</v>
      </c>
      <c r="H33" s="522">
        <v>5</v>
      </c>
      <c r="I33" s="522">
        <f t="shared" si="0"/>
        <v>368.04999999999995</v>
      </c>
    </row>
    <row r="34" spans="1:9">
      <c r="A34" s="237" t="s">
        <v>312</v>
      </c>
      <c r="B34" s="523">
        <v>15.649999999999999</v>
      </c>
      <c r="C34" s="523">
        <v>151.57000000000002</v>
      </c>
      <c r="D34" s="523">
        <v>80.949999999999989</v>
      </c>
      <c r="E34" s="523">
        <v>79.350000000000009</v>
      </c>
      <c r="F34" s="523">
        <v>18.970000000000002</v>
      </c>
      <c r="G34" s="523">
        <v>4.4800000000000004</v>
      </c>
      <c r="H34" s="523">
        <v>4</v>
      </c>
      <c r="I34" s="523">
        <f t="shared" si="0"/>
        <v>354.97000000000008</v>
      </c>
    </row>
    <row r="35" spans="1:9">
      <c r="A35" s="355" t="s">
        <v>313</v>
      </c>
      <c r="B35" s="522">
        <v>91.96</v>
      </c>
      <c r="C35" s="522">
        <v>1082.6000000000001</v>
      </c>
      <c r="D35" s="522">
        <v>459.08</v>
      </c>
      <c r="E35" s="522">
        <v>303.40999999999997</v>
      </c>
      <c r="F35" s="522">
        <v>120.87</v>
      </c>
      <c r="G35" s="522">
        <v>28.37</v>
      </c>
      <c r="H35" s="522">
        <v>16</v>
      </c>
      <c r="I35" s="522">
        <f t="shared" si="0"/>
        <v>2102.29</v>
      </c>
    </row>
    <row r="36" spans="1:9">
      <c r="A36" s="237" t="s">
        <v>314</v>
      </c>
      <c r="B36" s="523">
        <v>14.140000000000002</v>
      </c>
      <c r="C36" s="523">
        <v>124.61999999999999</v>
      </c>
      <c r="D36" s="523">
        <v>74.05</v>
      </c>
      <c r="E36" s="523">
        <v>59.569999999999993</v>
      </c>
      <c r="F36" s="523">
        <v>14.860000000000001</v>
      </c>
      <c r="G36" s="523">
        <v>2.25</v>
      </c>
      <c r="H36" s="523">
        <v>3.4</v>
      </c>
      <c r="I36" s="523">
        <f t="shared" si="0"/>
        <v>292.89</v>
      </c>
    </row>
    <row r="37" spans="1:9">
      <c r="A37" s="355" t="s">
        <v>315</v>
      </c>
      <c r="B37" s="522">
        <v>28.5</v>
      </c>
      <c r="C37" s="522">
        <v>265.82</v>
      </c>
      <c r="D37" s="522">
        <v>133.85</v>
      </c>
      <c r="E37" s="522">
        <v>117.7</v>
      </c>
      <c r="F37" s="522">
        <v>29.45</v>
      </c>
      <c r="G37" s="522">
        <v>10.199999999999999</v>
      </c>
      <c r="H37" s="522">
        <v>4</v>
      </c>
      <c r="I37" s="522">
        <f t="shared" si="0"/>
        <v>589.5200000000001</v>
      </c>
    </row>
    <row r="38" spans="1:9">
      <c r="A38" s="237" t="s">
        <v>316</v>
      </c>
      <c r="B38" s="523">
        <v>69</v>
      </c>
      <c r="C38" s="523">
        <v>723.1</v>
      </c>
      <c r="D38" s="523">
        <v>315.04000000000002</v>
      </c>
      <c r="E38" s="523">
        <v>145.32</v>
      </c>
      <c r="F38" s="523">
        <v>76.42</v>
      </c>
      <c r="G38" s="523">
        <v>27.200000000000003</v>
      </c>
      <c r="H38" s="523">
        <v>9</v>
      </c>
      <c r="I38" s="523">
        <f t="shared" si="0"/>
        <v>1365.0800000000002</v>
      </c>
    </row>
    <row r="39" spans="1:9">
      <c r="A39" s="355" t="s">
        <v>317</v>
      </c>
      <c r="B39" s="522">
        <v>12.48</v>
      </c>
      <c r="C39" s="522">
        <v>122.06</v>
      </c>
      <c r="D39" s="522">
        <v>59.68</v>
      </c>
      <c r="E39" s="522">
        <v>58.78</v>
      </c>
      <c r="F39" s="522">
        <v>13.930000000000001</v>
      </c>
      <c r="G39" s="522">
        <v>3.05</v>
      </c>
      <c r="H39" s="522">
        <v>3.5</v>
      </c>
      <c r="I39" s="522">
        <f t="shared" si="0"/>
        <v>273.48</v>
      </c>
    </row>
    <row r="40" spans="1:9">
      <c r="A40" s="237" t="s">
        <v>318</v>
      </c>
      <c r="B40" s="523">
        <v>58.24</v>
      </c>
      <c r="C40" s="523">
        <v>558.58000000000004</v>
      </c>
      <c r="D40" s="523">
        <v>311.38000000000005</v>
      </c>
      <c r="E40" s="523">
        <v>100.25</v>
      </c>
      <c r="F40" s="523">
        <v>71.510000000000005</v>
      </c>
      <c r="G40" s="523">
        <v>26.12</v>
      </c>
      <c r="H40" s="523">
        <v>13</v>
      </c>
      <c r="I40" s="523">
        <f t="shared" si="0"/>
        <v>1139.08</v>
      </c>
    </row>
    <row r="41" spans="1:9">
      <c r="A41" s="355" t="s">
        <v>319</v>
      </c>
      <c r="B41" s="522">
        <v>30.31</v>
      </c>
      <c r="C41" s="522">
        <v>344.29</v>
      </c>
      <c r="D41" s="522">
        <v>145.07000000000002</v>
      </c>
      <c r="E41" s="522">
        <v>149.857</v>
      </c>
      <c r="F41" s="522">
        <v>41.9</v>
      </c>
      <c r="G41" s="522">
        <v>12.98</v>
      </c>
      <c r="H41" s="522">
        <v>6</v>
      </c>
      <c r="I41" s="522">
        <f t="shared" si="0"/>
        <v>730.40700000000004</v>
      </c>
    </row>
    <row r="42" spans="1:9">
      <c r="A42" s="237" t="s">
        <v>320</v>
      </c>
      <c r="B42" s="523">
        <v>11.76</v>
      </c>
      <c r="C42" s="523">
        <v>105.19</v>
      </c>
      <c r="D42" s="523">
        <v>56.999999999999993</v>
      </c>
      <c r="E42" s="523">
        <v>61.839999999999996</v>
      </c>
      <c r="F42" s="523">
        <v>18.68</v>
      </c>
      <c r="G42" s="523">
        <v>3</v>
      </c>
      <c r="H42" s="523">
        <v>3</v>
      </c>
      <c r="I42" s="523">
        <f t="shared" si="0"/>
        <v>260.47000000000003</v>
      </c>
    </row>
    <row r="43" spans="1:9">
      <c r="A43" s="355" t="s">
        <v>321</v>
      </c>
      <c r="B43" s="522">
        <v>6.71</v>
      </c>
      <c r="C43" s="522">
        <v>72.39</v>
      </c>
      <c r="D43" s="522">
        <v>38.85</v>
      </c>
      <c r="E43" s="522">
        <v>33.44</v>
      </c>
      <c r="F43" s="522">
        <v>7.36</v>
      </c>
      <c r="G43" s="522">
        <v>3</v>
      </c>
      <c r="H43" s="522">
        <v>1.32</v>
      </c>
      <c r="I43" s="522">
        <f t="shared" si="0"/>
        <v>163.07</v>
      </c>
    </row>
    <row r="44" spans="1:9">
      <c r="A44" s="237" t="s">
        <v>322</v>
      </c>
      <c r="B44" s="523">
        <v>5.5</v>
      </c>
      <c r="C44" s="523">
        <v>60.05</v>
      </c>
      <c r="D44" s="523">
        <v>42.6</v>
      </c>
      <c r="E44" s="523">
        <v>35.1</v>
      </c>
      <c r="F44" s="523">
        <v>7.339999999999999</v>
      </c>
      <c r="G44" s="523">
        <v>1.35</v>
      </c>
      <c r="H44" s="523">
        <v>2</v>
      </c>
      <c r="I44" s="523">
        <f t="shared" si="0"/>
        <v>153.94</v>
      </c>
    </row>
    <row r="45" spans="1:9">
      <c r="A45" s="355" t="s">
        <v>323</v>
      </c>
      <c r="B45" s="522">
        <v>10</v>
      </c>
      <c r="C45" s="522">
        <v>116.35</v>
      </c>
      <c r="D45" s="522">
        <v>58.67</v>
      </c>
      <c r="E45" s="522">
        <v>33.6</v>
      </c>
      <c r="F45" s="522">
        <v>11.23</v>
      </c>
      <c r="G45" s="522">
        <v>2.7</v>
      </c>
      <c r="H45" s="522">
        <v>3</v>
      </c>
      <c r="I45" s="522">
        <f t="shared" si="0"/>
        <v>235.54999999999995</v>
      </c>
    </row>
    <row r="46" spans="1:9">
      <c r="A46" s="237" t="s">
        <v>324</v>
      </c>
      <c r="B46" s="523">
        <v>139.42000000000002</v>
      </c>
      <c r="C46" s="523">
        <v>2102.2199999999998</v>
      </c>
      <c r="D46" s="523">
        <v>1044.6500000000001</v>
      </c>
      <c r="E46" s="523">
        <v>678.27</v>
      </c>
      <c r="F46" s="523">
        <v>272.93000000000006</v>
      </c>
      <c r="G46" s="523">
        <v>108.67</v>
      </c>
      <c r="H46" s="523">
        <v>38</v>
      </c>
      <c r="I46" s="523">
        <f t="shared" si="0"/>
        <v>4384.16</v>
      </c>
    </row>
    <row r="47" spans="1:9" ht="6" customHeight="1">
      <c r="A47" s="130"/>
      <c r="B47" s="523"/>
      <c r="C47" s="523"/>
      <c r="D47" s="523"/>
      <c r="E47" s="523"/>
      <c r="F47" s="523"/>
      <c r="G47" s="523"/>
      <c r="H47" s="523"/>
      <c r="I47" s="523"/>
    </row>
    <row r="48" spans="1:9">
      <c r="A48" s="356" t="s">
        <v>221</v>
      </c>
      <c r="B48" s="524">
        <f t="shared" ref="B48:I48" si="1">SUM(B11:B46)</f>
        <v>1157.4576243093923</v>
      </c>
      <c r="C48" s="524">
        <f t="shared" si="1"/>
        <v>12378.557755555554</v>
      </c>
      <c r="D48" s="524">
        <f t="shared" si="1"/>
        <v>6363.1061744479503</v>
      </c>
      <c r="E48" s="524">
        <f t="shared" si="1"/>
        <v>3938.8850633232018</v>
      </c>
      <c r="F48" s="524">
        <f t="shared" si="1"/>
        <v>1480.4055179724703</v>
      </c>
      <c r="G48" s="524">
        <f t="shared" si="1"/>
        <v>448.36000000000007</v>
      </c>
      <c r="H48" s="524">
        <f t="shared" si="1"/>
        <v>253.96</v>
      </c>
      <c r="I48" s="524">
        <f t="shared" si="1"/>
        <v>26020.732135608563</v>
      </c>
    </row>
    <row r="49" spans="1:9" ht="6" customHeight="1">
      <c r="A49" s="515"/>
      <c r="B49" s="525"/>
      <c r="C49" s="525"/>
      <c r="D49" s="525"/>
      <c r="E49" s="525"/>
      <c r="F49" s="525"/>
      <c r="G49" s="525"/>
      <c r="H49" s="525"/>
      <c r="I49" s="525"/>
    </row>
    <row r="50" spans="1:9">
      <c r="A50" s="526" t="s">
        <v>325</v>
      </c>
      <c r="B50" s="523">
        <v>1.9899999999999998</v>
      </c>
      <c r="C50" s="523">
        <v>20.71</v>
      </c>
      <c r="D50" s="523">
        <v>9</v>
      </c>
      <c r="E50" s="523">
        <v>3.6800000000000006</v>
      </c>
      <c r="F50" s="523">
        <v>3.1699999999999995</v>
      </c>
      <c r="G50" s="523">
        <v>0.26</v>
      </c>
      <c r="H50" s="523">
        <v>0</v>
      </c>
      <c r="I50" s="523">
        <f>SUM(B50:H50)</f>
        <v>38.81</v>
      </c>
    </row>
    <row r="51" spans="1:9">
      <c r="A51" s="578" t="s">
        <v>619</v>
      </c>
      <c r="B51" s="522">
        <v>18</v>
      </c>
      <c r="C51" s="522">
        <v>35</v>
      </c>
      <c r="D51" s="522">
        <v>12</v>
      </c>
      <c r="E51" s="522">
        <v>28</v>
      </c>
      <c r="F51" s="522">
        <v>25.5</v>
      </c>
      <c r="G51" s="522">
        <v>0</v>
      </c>
      <c r="H51" s="522">
        <v>3</v>
      </c>
      <c r="I51" s="522">
        <f>SUM(B51:H51)</f>
        <v>121.5</v>
      </c>
    </row>
    <row r="52" spans="1:9" ht="49.5" customHeight="1">
      <c r="A52" s="480"/>
      <c r="B52" s="480"/>
      <c r="C52" s="481">
        <v>0</v>
      </c>
      <c r="D52" s="480"/>
      <c r="E52" s="480"/>
      <c r="F52" s="480"/>
      <c r="G52" s="480"/>
      <c r="H52" s="480"/>
      <c r="I52" s="480"/>
    </row>
    <row r="53" spans="1:9">
      <c r="A53" s="827" t="s">
        <v>395</v>
      </c>
      <c r="B53" s="827"/>
      <c r="C53" s="827"/>
      <c r="D53" s="827"/>
      <c r="E53" s="827"/>
      <c r="F53" s="827"/>
      <c r="G53" s="827"/>
      <c r="H53" s="827"/>
      <c r="I53" s="827"/>
    </row>
    <row r="54" spans="1:9" ht="11.25" customHeight="1">
      <c r="A54" s="828"/>
      <c r="B54" s="828"/>
      <c r="C54" s="828"/>
      <c r="D54" s="828"/>
      <c r="E54" s="828"/>
      <c r="F54" s="828"/>
      <c r="G54" s="828"/>
      <c r="H54" s="828"/>
      <c r="I54" s="828"/>
    </row>
    <row r="55" spans="1:9">
      <c r="A55" s="133" t="s">
        <v>376</v>
      </c>
      <c r="B55" s="478"/>
      <c r="C55" s="482"/>
    </row>
    <row r="56" spans="1:9">
      <c r="A56" s="133" t="s">
        <v>396</v>
      </c>
      <c r="B56" s="478"/>
      <c r="C56" s="482"/>
    </row>
  </sheetData>
  <mergeCells count="11">
    <mergeCell ref="A2:H2"/>
    <mergeCell ref="A3:H3"/>
    <mergeCell ref="B8:B9"/>
    <mergeCell ref="E8:E9"/>
    <mergeCell ref="F8:F9"/>
    <mergeCell ref="G8:G9"/>
    <mergeCell ref="A53:I54"/>
    <mergeCell ref="H8:H9"/>
    <mergeCell ref="C8:D8"/>
    <mergeCell ref="I8:I9"/>
    <mergeCell ref="B7:H7"/>
  </mergeCells>
  <phoneticPr fontId="6" type="noConversion"/>
  <pageMargins left="0.51181102362204722" right="0.51181102362204722" top="0.59055118110236227" bottom="0.19685039370078741" header="0.31496062992125984" footer="0.51181102362204722"/>
  <pageSetup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sheetPr codeName="Sheet55"/>
  <dimension ref="A1:M57"/>
  <sheetViews>
    <sheetView showGridLines="0" workbookViewId="0"/>
  </sheetViews>
  <sheetFormatPr defaultColWidth="19.83203125" defaultRowHeight="12"/>
  <cols>
    <col min="1" max="1" width="30.83203125" style="456" customWidth="1"/>
    <col min="2" max="2" width="17" style="456" customWidth="1"/>
    <col min="3" max="3" width="12" style="456" customWidth="1"/>
    <col min="4" max="4" width="16.83203125" style="456" customWidth="1"/>
    <col min="5" max="5" width="11.5" style="456" customWidth="1"/>
    <col min="6" max="6" width="13.33203125" style="456" customWidth="1"/>
    <col min="7" max="7" width="12.5" style="456" customWidth="1"/>
    <col min="8" max="9" width="19.83203125" style="456"/>
    <col min="10" max="10" width="25.5" style="456" bestFit="1" customWidth="1"/>
    <col min="11" max="11" width="21.1640625" style="456" bestFit="1" customWidth="1"/>
    <col min="12" max="16384" width="19.83203125" style="456"/>
  </cols>
  <sheetData>
    <row r="1" spans="1:13" ht="6.95" customHeight="1">
      <c r="A1" s="454"/>
      <c r="B1" s="455"/>
      <c r="C1" s="455"/>
    </row>
    <row r="2" spans="1:13" ht="15.95" customHeight="1">
      <c r="A2" s="457" t="s">
        <v>326</v>
      </c>
      <c r="B2" s="458"/>
      <c r="C2" s="458"/>
      <c r="D2" s="458"/>
      <c r="E2" s="458"/>
      <c r="F2" s="458"/>
      <c r="G2" s="458"/>
    </row>
    <row r="3" spans="1:13" ht="15.95" customHeight="1">
      <c r="A3" s="545" t="str">
        <f>+'- 66 -'!A3</f>
        <v>2014/15 AND 2015/16 ACTUAL</v>
      </c>
      <c r="B3" s="459"/>
      <c r="C3" s="459"/>
      <c r="D3" s="459"/>
      <c r="E3" s="459"/>
      <c r="F3" s="459"/>
      <c r="G3" s="459"/>
    </row>
    <row r="4" spans="1:13" ht="15.95" customHeight="1">
      <c r="B4" s="455"/>
      <c r="C4" s="455"/>
      <c r="J4" s="500"/>
      <c r="K4" s="500"/>
      <c r="L4" s="500"/>
      <c r="M4" s="500"/>
    </row>
    <row r="5" spans="1:13" ht="12" customHeight="1">
      <c r="B5" s="455"/>
      <c r="C5" s="455"/>
      <c r="J5" s="500"/>
      <c r="K5" s="500"/>
      <c r="L5" s="500"/>
      <c r="M5" s="500"/>
    </row>
    <row r="6" spans="1:13" ht="15.75" customHeight="1">
      <c r="B6" s="844" t="s">
        <v>605</v>
      </c>
      <c r="C6" s="845"/>
      <c r="D6" s="845"/>
      <c r="E6" s="846"/>
      <c r="F6" s="838" t="s">
        <v>604</v>
      </c>
      <c r="G6" s="839"/>
      <c r="J6" s="501"/>
      <c r="K6" s="500" t="str">
        <f>+'- 15 -'!E6</f>
        <v>STUDENT SUPPORT
 SERVICES</v>
      </c>
      <c r="L6" s="500" t="str">
        <f>+'- 16 -'!G6</f>
        <v>INSTRUCTIONAL &amp; OTHER 
SUPPORT SERVICES</v>
      </c>
      <c r="M6" s="500"/>
    </row>
    <row r="7" spans="1:13">
      <c r="B7" s="847"/>
      <c r="C7" s="840"/>
      <c r="D7" s="840"/>
      <c r="E7" s="848"/>
      <c r="F7" s="840"/>
      <c r="G7" s="841"/>
      <c r="J7" s="501" t="str">
        <f>+'- 15 -'!B7</f>
        <v>REGULAR INSTRUCTION</v>
      </c>
      <c r="K7" s="500">
        <f>+'- 15 -'!E7</f>
        <v>0</v>
      </c>
      <c r="L7" s="500">
        <f>+'- 16 -'!G7</f>
        <v>0</v>
      </c>
      <c r="M7" s="500"/>
    </row>
    <row r="8" spans="1:13">
      <c r="A8" s="570"/>
      <c r="B8" s="849"/>
      <c r="C8" s="850"/>
      <c r="D8" s="850"/>
      <c r="E8" s="851"/>
      <c r="F8" s="842"/>
      <c r="G8" s="843"/>
      <c r="J8" s="501"/>
      <c r="K8" s="500"/>
      <c r="L8" s="500"/>
      <c r="M8" s="500"/>
    </row>
    <row r="9" spans="1:13" ht="29.25" customHeight="1">
      <c r="A9" s="460" t="s">
        <v>42</v>
      </c>
      <c r="B9" s="571" t="str">
        <f>+'- 66 -'!B9</f>
        <v>2014/15</v>
      </c>
      <c r="C9" s="572" t="s">
        <v>377</v>
      </c>
      <c r="D9" s="571" t="str">
        <f>+'- 66 -'!C9</f>
        <v>2015/16</v>
      </c>
      <c r="E9" s="572" t="s">
        <v>377</v>
      </c>
      <c r="F9" s="477" t="str">
        <f>+B9</f>
        <v>2014/15</v>
      </c>
      <c r="G9" s="477" t="str">
        <f>+D9</f>
        <v>2015/16</v>
      </c>
      <c r="J9" s="500"/>
      <c r="K9" s="500"/>
      <c r="L9" s="500"/>
      <c r="M9" s="500"/>
    </row>
    <row r="10" spans="1:13" ht="5.0999999999999996" customHeight="1">
      <c r="A10" s="461"/>
      <c r="B10" s="462"/>
      <c r="C10" s="462"/>
      <c r="D10" s="454"/>
      <c r="E10" s="454"/>
      <c r="F10" s="454"/>
      <c r="J10" s="500"/>
      <c r="K10" s="500"/>
      <c r="L10" s="500"/>
      <c r="M10" s="500"/>
    </row>
    <row r="11" spans="1:13" ht="14.1" customHeight="1">
      <c r="A11" s="471" t="s">
        <v>110</v>
      </c>
      <c r="B11" s="472">
        <v>13475154</v>
      </c>
      <c r="C11" s="473">
        <v>77.157416967543753</v>
      </c>
      <c r="D11" s="472">
        <v>13910079</v>
      </c>
      <c r="E11" s="473">
        <f>+D11/'- 3 -'!F11*100</f>
        <v>77.63717213201906</v>
      </c>
      <c r="F11" s="472">
        <v>8427.2382739212007</v>
      </c>
      <c r="G11" s="472">
        <f>+D11/'- 7 -'!E11</f>
        <v>8299.5698090692131</v>
      </c>
      <c r="I11" s="463" t="str">
        <f>IF(D11=M11,"",M11-D11)</f>
        <v/>
      </c>
      <c r="J11" s="501">
        <f>+'- 15 -'!B11</f>
        <v>11279150</v>
      </c>
      <c r="K11" s="500">
        <f>+'- 15 -'!E11</f>
        <v>2262986</v>
      </c>
      <c r="L11" s="500">
        <f>+'- 16 -'!G11</f>
        <v>367943</v>
      </c>
      <c r="M11" s="501">
        <f>+J11+K11+L11</f>
        <v>13910079</v>
      </c>
    </row>
    <row r="12" spans="1:13" ht="14.1" customHeight="1">
      <c r="A12" s="464" t="s">
        <v>111</v>
      </c>
      <c r="B12" s="465">
        <v>23566799</v>
      </c>
      <c r="C12" s="466">
        <v>75.97059084264022</v>
      </c>
      <c r="D12" s="465">
        <v>24435364</v>
      </c>
      <c r="E12" s="466">
        <f>+D12/'- 3 -'!F12*100</f>
        <v>77.132622099185042</v>
      </c>
      <c r="F12" s="465">
        <v>11044.521042272005</v>
      </c>
      <c r="G12" s="465">
        <f>+D12/'- 7 -'!E12</f>
        <v>11499.535978163678</v>
      </c>
      <c r="I12" s="463" t="str">
        <f>IF(D12=M12,"",M12-D12)</f>
        <v/>
      </c>
      <c r="J12" s="501">
        <f>+'- 15 -'!B12</f>
        <v>18930909</v>
      </c>
      <c r="K12" s="500">
        <f>+'- 15 -'!E12</f>
        <v>4679456</v>
      </c>
      <c r="L12" s="500">
        <f>+'- 16 -'!G12</f>
        <v>824999</v>
      </c>
      <c r="M12" s="501">
        <f t="shared" ref="M12:M48" si="0">+J12+K12+L12</f>
        <v>24435364</v>
      </c>
    </row>
    <row r="13" spans="1:13" ht="14.1" customHeight="1">
      <c r="A13" s="471" t="s">
        <v>112</v>
      </c>
      <c r="B13" s="472">
        <v>72657627</v>
      </c>
      <c r="C13" s="473">
        <v>84.23942503010359</v>
      </c>
      <c r="D13" s="472">
        <v>76331482</v>
      </c>
      <c r="E13" s="473">
        <f>+D13/'- 3 -'!F13*100</f>
        <v>84.335779907355743</v>
      </c>
      <c r="F13" s="472">
        <v>9019.0698857994048</v>
      </c>
      <c r="G13" s="472">
        <f>+D13/'- 7 -'!E13</f>
        <v>9252.3008484848488</v>
      </c>
      <c r="I13" s="463" t="str">
        <f t="shared" ref="I13:I48" si="1">IF(D13=M13,"",M13-D13)</f>
        <v/>
      </c>
      <c r="J13" s="501">
        <f>+'- 15 -'!B13</f>
        <v>54309711</v>
      </c>
      <c r="K13" s="500">
        <f>+'- 15 -'!E13</f>
        <v>19264763</v>
      </c>
      <c r="L13" s="500">
        <f>+'- 16 -'!G13</f>
        <v>2757008</v>
      </c>
      <c r="M13" s="502">
        <f t="shared" si="0"/>
        <v>76331482</v>
      </c>
    </row>
    <row r="14" spans="1:13" ht="14.1" customHeight="1">
      <c r="A14" s="464" t="s">
        <v>359</v>
      </c>
      <c r="B14" s="465">
        <v>56583320</v>
      </c>
      <c r="C14" s="466">
        <v>74.173170715817065</v>
      </c>
      <c r="D14" s="465">
        <v>57978391</v>
      </c>
      <c r="E14" s="466">
        <f>+D14/'- 3 -'!F14*100</f>
        <v>72.761806737094474</v>
      </c>
      <c r="F14" s="465">
        <v>10798.343511450381</v>
      </c>
      <c r="G14" s="465">
        <f>+D14/'- 7 -'!E14</f>
        <v>10851.280366835112</v>
      </c>
      <c r="I14" s="463" t="str">
        <f t="shared" si="1"/>
        <v/>
      </c>
      <c r="J14" s="501">
        <f>+'- 15 -'!B14</f>
        <v>45950883</v>
      </c>
      <c r="K14" s="500">
        <f>+'- 15 -'!E14</f>
        <v>9303159</v>
      </c>
      <c r="L14" s="500">
        <f>+'- 16 -'!G14</f>
        <v>2724349</v>
      </c>
      <c r="M14" s="501">
        <f t="shared" si="0"/>
        <v>57978391</v>
      </c>
    </row>
    <row r="15" spans="1:13" ht="14.1" customHeight="1">
      <c r="A15" s="471" t="s">
        <v>113</v>
      </c>
      <c r="B15" s="472">
        <v>14192983</v>
      </c>
      <c r="C15" s="473">
        <v>72.415413843131375</v>
      </c>
      <c r="D15" s="472">
        <v>14649051</v>
      </c>
      <c r="E15" s="473">
        <f>+D15/'- 3 -'!F15*100</f>
        <v>74.10809555656509</v>
      </c>
      <c r="F15" s="472">
        <v>9771.4168674698794</v>
      </c>
      <c r="G15" s="472">
        <f>+D15/'- 7 -'!E15</f>
        <v>10389.397872340425</v>
      </c>
      <c r="I15" s="463" t="str">
        <f t="shared" si="1"/>
        <v/>
      </c>
      <c r="J15" s="501">
        <f>+'- 15 -'!B15</f>
        <v>10826073</v>
      </c>
      <c r="K15" s="500">
        <f>+'- 15 -'!E15</f>
        <v>3180095</v>
      </c>
      <c r="L15" s="500">
        <f>+'- 16 -'!G15</f>
        <v>642883</v>
      </c>
      <c r="M15" s="501">
        <f t="shared" si="0"/>
        <v>14649051</v>
      </c>
    </row>
    <row r="16" spans="1:13" ht="14.1" customHeight="1">
      <c r="A16" s="464" t="s">
        <v>114</v>
      </c>
      <c r="B16" s="465">
        <v>9951682</v>
      </c>
      <c r="C16" s="466">
        <v>73.64894057438832</v>
      </c>
      <c r="D16" s="465">
        <v>10315343</v>
      </c>
      <c r="E16" s="466">
        <f>+D16/'- 3 -'!F16*100</f>
        <v>74.140086251197957</v>
      </c>
      <c r="F16" s="465">
        <v>10895.206919202978</v>
      </c>
      <c r="G16" s="465">
        <f>+D16/'- 7 -'!E16</f>
        <v>11062.030026809651</v>
      </c>
      <c r="I16" s="463" t="str">
        <f t="shared" si="1"/>
        <v/>
      </c>
      <c r="J16" s="501">
        <f>+'- 15 -'!B16</f>
        <v>7652447</v>
      </c>
      <c r="K16" s="500">
        <f>+'- 15 -'!E16</f>
        <v>2374058</v>
      </c>
      <c r="L16" s="500">
        <f>+'- 16 -'!G16</f>
        <v>288838</v>
      </c>
      <c r="M16" s="501">
        <f t="shared" si="0"/>
        <v>10315343</v>
      </c>
    </row>
    <row r="17" spans="1:13" ht="14.1" customHeight="1">
      <c r="A17" s="471" t="s">
        <v>115</v>
      </c>
      <c r="B17" s="472">
        <v>12554690</v>
      </c>
      <c r="C17" s="473">
        <v>73.775090246703996</v>
      </c>
      <c r="D17" s="472">
        <v>12585170</v>
      </c>
      <c r="E17" s="473">
        <f>+D17/'- 3 -'!F17*100</f>
        <v>73.871284327525061</v>
      </c>
      <c r="F17" s="472">
        <v>9397.2230538922158</v>
      </c>
      <c r="G17" s="472">
        <f>+D17/'- 7 -'!E17</f>
        <v>9377.821185637793</v>
      </c>
      <c r="I17" s="463" t="str">
        <f t="shared" si="1"/>
        <v/>
      </c>
      <c r="J17" s="501">
        <f>+'- 15 -'!B17</f>
        <v>9710829</v>
      </c>
      <c r="K17" s="500">
        <f>+'- 15 -'!E17</f>
        <v>2451310</v>
      </c>
      <c r="L17" s="500">
        <f>+'- 16 -'!G17</f>
        <v>423031</v>
      </c>
      <c r="M17" s="501">
        <f t="shared" si="0"/>
        <v>12585170</v>
      </c>
    </row>
    <row r="18" spans="1:13" ht="14.1" customHeight="1">
      <c r="A18" s="464" t="s">
        <v>116</v>
      </c>
      <c r="B18" s="465">
        <v>76373265</v>
      </c>
      <c r="C18" s="466">
        <v>64.924555824765633</v>
      </c>
      <c r="D18" s="465">
        <v>80431190</v>
      </c>
      <c r="E18" s="466">
        <f>+D18/'- 3 -'!F18*100</f>
        <v>65.846174184303393</v>
      </c>
      <c r="F18" s="465">
        <v>12585.673511560955</v>
      </c>
      <c r="G18" s="465">
        <f>+D18/'- 7 -'!E18</f>
        <v>13008.440886301149</v>
      </c>
      <c r="I18" s="463" t="str">
        <f t="shared" si="1"/>
        <v/>
      </c>
      <c r="J18" s="501">
        <f>+'- 15 -'!B18</f>
        <v>54858011</v>
      </c>
      <c r="K18" s="500">
        <f>+'- 15 -'!E18</f>
        <v>18927735</v>
      </c>
      <c r="L18" s="500">
        <f>+'- 16 -'!G18</f>
        <v>6645444</v>
      </c>
      <c r="M18" s="501">
        <f t="shared" si="0"/>
        <v>80431190</v>
      </c>
    </row>
    <row r="19" spans="1:13" ht="14.1" customHeight="1">
      <c r="A19" s="471" t="s">
        <v>117</v>
      </c>
      <c r="B19" s="472">
        <v>34364304</v>
      </c>
      <c r="C19" s="473">
        <v>79.892065296004304</v>
      </c>
      <c r="D19" s="472">
        <v>35783017</v>
      </c>
      <c r="E19" s="473">
        <f>+D19/'- 3 -'!F19*100</f>
        <v>80.108778010942274</v>
      </c>
      <c r="F19" s="472">
        <v>8152.2795530567219</v>
      </c>
      <c r="G19" s="472">
        <f>+D19/'- 7 -'!E19</f>
        <v>8449.9532434410939</v>
      </c>
      <c r="I19" s="463" t="str">
        <f t="shared" si="1"/>
        <v/>
      </c>
      <c r="J19" s="501">
        <f>+'- 15 -'!B19</f>
        <v>26225507</v>
      </c>
      <c r="K19" s="500">
        <f>+'- 15 -'!E19</f>
        <v>8349753</v>
      </c>
      <c r="L19" s="500">
        <f>+'- 16 -'!G19</f>
        <v>1207757</v>
      </c>
      <c r="M19" s="501">
        <f t="shared" si="0"/>
        <v>35783017</v>
      </c>
    </row>
    <row r="20" spans="1:13" ht="14.1" customHeight="1">
      <c r="A20" s="464" t="s">
        <v>118</v>
      </c>
      <c r="B20" s="465">
        <v>59107219</v>
      </c>
      <c r="C20" s="466">
        <v>79.358012477905987</v>
      </c>
      <c r="D20" s="465">
        <v>62203220</v>
      </c>
      <c r="E20" s="466">
        <f>+D20/'- 3 -'!F20*100</f>
        <v>79.607523995914732</v>
      </c>
      <c r="F20" s="465">
        <v>8018.8873965540633</v>
      </c>
      <c r="G20" s="465">
        <f>+D20/'- 7 -'!E20</f>
        <v>8222.0119094039346</v>
      </c>
      <c r="I20" s="463" t="str">
        <f t="shared" si="1"/>
        <v/>
      </c>
      <c r="J20" s="501">
        <f>+'- 15 -'!B20</f>
        <v>48333765</v>
      </c>
      <c r="K20" s="500">
        <f>+'- 15 -'!E20</f>
        <v>11559866</v>
      </c>
      <c r="L20" s="500">
        <f>+'- 16 -'!G20</f>
        <v>2309589</v>
      </c>
      <c r="M20" s="501">
        <f t="shared" si="0"/>
        <v>62203220</v>
      </c>
    </row>
    <row r="21" spans="1:13" ht="14.1" customHeight="1">
      <c r="A21" s="471" t="s">
        <v>119</v>
      </c>
      <c r="B21" s="472">
        <v>26801402</v>
      </c>
      <c r="C21" s="473">
        <v>77.566860655674844</v>
      </c>
      <c r="D21" s="472">
        <v>27366463</v>
      </c>
      <c r="E21" s="473">
        <f>+D21/'- 3 -'!F21*100</f>
        <v>78.469845548689378</v>
      </c>
      <c r="F21" s="472">
        <v>10011.730295106463</v>
      </c>
      <c r="G21" s="472">
        <f>+D21/'- 7 -'!E21</f>
        <v>10188.177283049776</v>
      </c>
      <c r="I21" s="463" t="str">
        <f t="shared" si="1"/>
        <v/>
      </c>
      <c r="J21" s="501">
        <f>+'- 15 -'!B21</f>
        <v>20404852</v>
      </c>
      <c r="K21" s="500">
        <f>+'- 15 -'!E21</f>
        <v>5681277</v>
      </c>
      <c r="L21" s="500">
        <f>+'- 16 -'!G21</f>
        <v>1280334</v>
      </c>
      <c r="M21" s="501">
        <f t="shared" si="0"/>
        <v>27366463</v>
      </c>
    </row>
    <row r="22" spans="1:13" ht="14.1" customHeight="1">
      <c r="A22" s="464" t="s">
        <v>120</v>
      </c>
      <c r="B22" s="465">
        <v>14669909</v>
      </c>
      <c r="C22" s="466">
        <v>77.908625308383577</v>
      </c>
      <c r="D22" s="465">
        <v>15120034</v>
      </c>
      <c r="E22" s="466">
        <f>+D22/'- 3 -'!F22*100</f>
        <v>78.204424250185738</v>
      </c>
      <c r="F22" s="465">
        <v>9576.2836999804167</v>
      </c>
      <c r="G22" s="465">
        <f>+D22/'- 7 -'!E22</f>
        <v>9870.1181539264962</v>
      </c>
      <c r="I22" s="463" t="str">
        <f t="shared" si="1"/>
        <v/>
      </c>
      <c r="J22" s="501">
        <f>+'- 15 -'!B22</f>
        <v>9968446</v>
      </c>
      <c r="K22" s="500">
        <f>+'- 15 -'!E22</f>
        <v>4703325</v>
      </c>
      <c r="L22" s="500">
        <f>+'- 16 -'!G22</f>
        <v>448263</v>
      </c>
      <c r="M22" s="501">
        <f t="shared" si="0"/>
        <v>15120034</v>
      </c>
    </row>
    <row r="23" spans="1:13" ht="14.1" customHeight="1">
      <c r="A23" s="471" t="s">
        <v>121</v>
      </c>
      <c r="B23" s="472">
        <v>11705100</v>
      </c>
      <c r="C23" s="473">
        <v>74.533072279843097</v>
      </c>
      <c r="D23" s="472">
        <v>11472909</v>
      </c>
      <c r="E23" s="473">
        <f>+D23/'- 3 -'!F23*100</f>
        <v>73.665851282664718</v>
      </c>
      <c r="F23" s="472">
        <v>10432.35294117647</v>
      </c>
      <c r="G23" s="472">
        <f>+D23/'- 7 -'!E23</f>
        <v>10331.300315173345</v>
      </c>
      <c r="I23" s="463" t="str">
        <f t="shared" si="1"/>
        <v/>
      </c>
      <c r="J23" s="501">
        <f>+'- 15 -'!B23</f>
        <v>8376852</v>
      </c>
      <c r="K23" s="500">
        <f>+'- 15 -'!E23</f>
        <v>2619488</v>
      </c>
      <c r="L23" s="500">
        <f>+'- 16 -'!G23</f>
        <v>476569</v>
      </c>
      <c r="M23" s="501">
        <f t="shared" si="0"/>
        <v>11472909</v>
      </c>
    </row>
    <row r="24" spans="1:13" ht="14.1" customHeight="1">
      <c r="A24" s="464" t="s">
        <v>122</v>
      </c>
      <c r="B24" s="465">
        <v>41711737</v>
      </c>
      <c r="C24" s="466">
        <v>78.126482838268814</v>
      </c>
      <c r="D24" s="465">
        <v>42892107</v>
      </c>
      <c r="E24" s="466">
        <f>+D24/'- 3 -'!F24*100</f>
        <v>78.260841244287349</v>
      </c>
      <c r="F24" s="465">
        <v>10306.574337179709</v>
      </c>
      <c r="G24" s="465">
        <f>+D24/'- 7 -'!E24</f>
        <v>10745.861706125517</v>
      </c>
      <c r="I24" s="463" t="str">
        <f t="shared" si="1"/>
        <v/>
      </c>
      <c r="J24" s="501">
        <f>+'- 15 -'!B24</f>
        <v>32720194</v>
      </c>
      <c r="K24" s="500">
        <f>+'- 15 -'!E24</f>
        <v>8675347</v>
      </c>
      <c r="L24" s="500">
        <f>+'- 16 -'!G24</f>
        <v>1496566</v>
      </c>
      <c r="M24" s="501">
        <f t="shared" si="0"/>
        <v>42892107</v>
      </c>
    </row>
    <row r="25" spans="1:13" ht="14.1" customHeight="1">
      <c r="A25" s="471" t="s">
        <v>123</v>
      </c>
      <c r="B25" s="472">
        <v>127666927</v>
      </c>
      <c r="C25" s="473">
        <v>81.093709304684452</v>
      </c>
      <c r="D25" s="472">
        <v>135164076</v>
      </c>
      <c r="E25" s="473">
        <f>+D25/'- 3 -'!F25*100</f>
        <v>81.696012718953043</v>
      </c>
      <c r="F25" s="472">
        <v>9188.7034597917082</v>
      </c>
      <c r="G25" s="472">
        <f>+D25/'- 7 -'!E25</f>
        <v>9547.7781388186413</v>
      </c>
      <c r="I25" s="463" t="str">
        <f t="shared" si="1"/>
        <v/>
      </c>
      <c r="J25" s="501">
        <f>+'- 15 -'!B25</f>
        <v>93449991</v>
      </c>
      <c r="K25" s="500">
        <f>+'- 15 -'!E25</f>
        <v>33956625</v>
      </c>
      <c r="L25" s="500">
        <f>+'- 16 -'!G25</f>
        <v>7757460</v>
      </c>
      <c r="M25" s="501">
        <f t="shared" si="0"/>
        <v>135164076</v>
      </c>
    </row>
    <row r="26" spans="1:13" ht="14.1" customHeight="1">
      <c r="A26" s="464" t="s">
        <v>124</v>
      </c>
      <c r="B26" s="465">
        <v>28466792</v>
      </c>
      <c r="C26" s="466">
        <v>73.364473408450664</v>
      </c>
      <c r="D26" s="465">
        <v>29353405</v>
      </c>
      <c r="E26" s="466">
        <f>+D26/'- 3 -'!F26*100</f>
        <v>74.255575548408686</v>
      </c>
      <c r="F26" s="465">
        <v>9160.6732099758647</v>
      </c>
      <c r="G26" s="465">
        <f>+D26/'- 7 -'!E26</f>
        <v>9542.7194408322503</v>
      </c>
      <c r="I26" s="463" t="str">
        <f t="shared" si="1"/>
        <v/>
      </c>
      <c r="J26" s="501">
        <f>+'- 15 -'!B26</f>
        <v>22618544</v>
      </c>
      <c r="K26" s="500">
        <f>+'- 15 -'!E26</f>
        <v>5483772</v>
      </c>
      <c r="L26" s="500">
        <f>+'- 16 -'!G26</f>
        <v>1251089</v>
      </c>
      <c r="M26" s="501">
        <f t="shared" si="0"/>
        <v>29353405</v>
      </c>
    </row>
    <row r="27" spans="1:13" ht="14.1" customHeight="1">
      <c r="A27" s="471" t="s">
        <v>125</v>
      </c>
      <c r="B27" s="472">
        <v>31429822</v>
      </c>
      <c r="C27" s="473">
        <v>80.580561750967334</v>
      </c>
      <c r="D27" s="472">
        <v>34429623</v>
      </c>
      <c r="E27" s="473">
        <f>+D27/'- 3 -'!F27*100</f>
        <v>81.946675907249244</v>
      </c>
      <c r="F27" s="472">
        <v>10999.062817147857</v>
      </c>
      <c r="G27" s="472">
        <f>+D27/'- 7 -'!E27</f>
        <v>11850.992871427539</v>
      </c>
      <c r="I27" s="463" t="str">
        <f t="shared" si="1"/>
        <v/>
      </c>
      <c r="J27" s="501">
        <f>+'- 15 -'!B27</f>
        <v>24077613</v>
      </c>
      <c r="K27" s="500">
        <f>+'- 15 -'!E27</f>
        <v>8491077</v>
      </c>
      <c r="L27" s="500">
        <f>+'- 16 -'!G27</f>
        <v>1860933</v>
      </c>
      <c r="M27" s="501">
        <f t="shared" si="0"/>
        <v>34429623</v>
      </c>
    </row>
    <row r="28" spans="1:13" ht="14.1" customHeight="1">
      <c r="A28" s="464" t="s">
        <v>126</v>
      </c>
      <c r="B28" s="465">
        <v>20285110</v>
      </c>
      <c r="C28" s="466">
        <v>74.372435338128582</v>
      </c>
      <c r="D28" s="465">
        <v>20843628</v>
      </c>
      <c r="E28" s="466">
        <f>+D28/'- 3 -'!F28*100</f>
        <v>75.500687266290612</v>
      </c>
      <c r="F28" s="465">
        <v>10137.486256871563</v>
      </c>
      <c r="G28" s="465">
        <f>+D28/'- 7 -'!E28</f>
        <v>10476.817290776577</v>
      </c>
      <c r="I28" s="463" t="str">
        <f t="shared" si="1"/>
        <v/>
      </c>
      <c r="J28" s="501">
        <f>+'- 15 -'!B28</f>
        <v>16592771</v>
      </c>
      <c r="K28" s="500">
        <f>+'- 15 -'!E28</f>
        <v>3520118</v>
      </c>
      <c r="L28" s="500">
        <f>+'- 16 -'!G28</f>
        <v>730739</v>
      </c>
      <c r="M28" s="501">
        <f t="shared" si="0"/>
        <v>20843628</v>
      </c>
    </row>
    <row r="29" spans="1:13" ht="14.1" customHeight="1">
      <c r="A29" s="471" t="s">
        <v>127</v>
      </c>
      <c r="B29" s="472">
        <v>117385808</v>
      </c>
      <c r="C29" s="473">
        <v>81.164341604488754</v>
      </c>
      <c r="D29" s="472">
        <v>120667269</v>
      </c>
      <c r="E29" s="473">
        <f>+D29/'- 3 -'!F29*100</f>
        <v>80.729137424801181</v>
      </c>
      <c r="F29" s="472">
        <v>9438.2825716399184</v>
      </c>
      <c r="G29" s="472">
        <f>+D29/'- 7 -'!E29</f>
        <v>9506.3749379593955</v>
      </c>
      <c r="I29" s="463" t="str">
        <f t="shared" si="1"/>
        <v/>
      </c>
      <c r="J29" s="501">
        <f>+'- 15 -'!B29</f>
        <v>85008044</v>
      </c>
      <c r="K29" s="500">
        <f>+'- 15 -'!E29</f>
        <v>29726578</v>
      </c>
      <c r="L29" s="500">
        <f>+'- 16 -'!G29</f>
        <v>5932647</v>
      </c>
      <c r="M29" s="501">
        <f t="shared" si="0"/>
        <v>120667269</v>
      </c>
    </row>
    <row r="30" spans="1:13" ht="14.1" customHeight="1">
      <c r="A30" s="464" t="s">
        <v>128</v>
      </c>
      <c r="B30" s="465">
        <v>10164545</v>
      </c>
      <c r="C30" s="466">
        <v>74.835646863303651</v>
      </c>
      <c r="D30" s="465">
        <v>10593071</v>
      </c>
      <c r="E30" s="466">
        <f>+D30/'- 3 -'!F30*100</f>
        <v>76.34161030928415</v>
      </c>
      <c r="F30" s="465">
        <v>9740.8193579300423</v>
      </c>
      <c r="G30" s="465">
        <f>+D30/'- 7 -'!E30</f>
        <v>10550.867529880477</v>
      </c>
      <c r="I30" s="463" t="str">
        <f t="shared" si="1"/>
        <v/>
      </c>
      <c r="J30" s="501">
        <f>+'- 15 -'!B30</f>
        <v>8531187</v>
      </c>
      <c r="K30" s="500">
        <f>+'- 15 -'!E30</f>
        <v>1543598</v>
      </c>
      <c r="L30" s="500">
        <f>+'- 16 -'!G30</f>
        <v>518286</v>
      </c>
      <c r="M30" s="501">
        <f t="shared" si="0"/>
        <v>10593071</v>
      </c>
    </row>
    <row r="31" spans="1:13" ht="14.1" customHeight="1">
      <c r="A31" s="471" t="s">
        <v>129</v>
      </c>
      <c r="B31" s="472">
        <v>28474059</v>
      </c>
      <c r="C31" s="473">
        <v>80.69567554091482</v>
      </c>
      <c r="D31" s="472">
        <v>29159565</v>
      </c>
      <c r="E31" s="473">
        <f>+D31/'- 3 -'!F31*100</f>
        <v>81.589750764215822</v>
      </c>
      <c r="F31" s="472">
        <v>8766.6437807881775</v>
      </c>
      <c r="G31" s="472">
        <f>+D31/'- 7 -'!E31</f>
        <v>8921.3905461220747</v>
      </c>
      <c r="I31" s="463" t="str">
        <f t="shared" si="1"/>
        <v/>
      </c>
      <c r="J31" s="501">
        <f>+'- 15 -'!B31</f>
        <v>21121711</v>
      </c>
      <c r="K31" s="500">
        <f>+'- 15 -'!E31</f>
        <v>6845679</v>
      </c>
      <c r="L31" s="500">
        <f>+'- 16 -'!G31</f>
        <v>1192175</v>
      </c>
      <c r="M31" s="501">
        <f t="shared" si="0"/>
        <v>29159565</v>
      </c>
    </row>
    <row r="32" spans="1:13" ht="14.1" customHeight="1">
      <c r="A32" s="464" t="s">
        <v>130</v>
      </c>
      <c r="B32" s="465">
        <v>19871021</v>
      </c>
      <c r="C32" s="466">
        <v>76.084628868907515</v>
      </c>
      <c r="D32" s="465">
        <v>20714537</v>
      </c>
      <c r="E32" s="466">
        <f>+D32/'- 3 -'!F32*100</f>
        <v>74.99675151632411</v>
      </c>
      <c r="F32" s="465">
        <v>9489.5038204393513</v>
      </c>
      <c r="G32" s="465">
        <f>+D32/'- 7 -'!E32</f>
        <v>9807.0907111069009</v>
      </c>
      <c r="I32" s="463" t="str">
        <f t="shared" si="1"/>
        <v/>
      </c>
      <c r="J32" s="501">
        <f>+'- 15 -'!B32</f>
        <v>16291862</v>
      </c>
      <c r="K32" s="500">
        <f>+'- 15 -'!E32</f>
        <v>3627427</v>
      </c>
      <c r="L32" s="500">
        <f>+'- 16 -'!G32</f>
        <v>795248</v>
      </c>
      <c r="M32" s="501">
        <f t="shared" si="0"/>
        <v>20714537</v>
      </c>
    </row>
    <row r="33" spans="1:13" ht="14.1" customHeight="1">
      <c r="A33" s="471" t="s">
        <v>131</v>
      </c>
      <c r="B33" s="472">
        <v>19396632</v>
      </c>
      <c r="C33" s="473">
        <v>73.701117130574161</v>
      </c>
      <c r="D33" s="472">
        <v>19751765</v>
      </c>
      <c r="E33" s="473">
        <f>+D33/'- 3 -'!F33*100</f>
        <v>74.738383221381454</v>
      </c>
      <c r="F33" s="472">
        <v>9666.8985796162469</v>
      </c>
      <c r="G33" s="472">
        <f>+D33/'- 7 -'!E33</f>
        <v>9710.3215181161195</v>
      </c>
      <c r="I33" s="463" t="str">
        <f t="shared" si="1"/>
        <v/>
      </c>
      <c r="J33" s="501">
        <f>+'- 15 -'!B33</f>
        <v>15630966</v>
      </c>
      <c r="K33" s="500">
        <f>+'- 15 -'!E33</f>
        <v>3410421</v>
      </c>
      <c r="L33" s="500">
        <f>+'- 16 -'!G33</f>
        <v>710378</v>
      </c>
      <c r="M33" s="501">
        <f t="shared" si="0"/>
        <v>19751765</v>
      </c>
    </row>
    <row r="34" spans="1:13" ht="14.1" customHeight="1">
      <c r="A34" s="464" t="s">
        <v>132</v>
      </c>
      <c r="B34" s="465">
        <v>19767399</v>
      </c>
      <c r="C34" s="466">
        <v>74.71037416907788</v>
      </c>
      <c r="D34" s="465">
        <v>20860677</v>
      </c>
      <c r="E34" s="466">
        <f>+D34/'- 3 -'!F34*100</f>
        <v>74.928598344419058</v>
      </c>
      <c r="F34" s="465">
        <v>9929.5741324921128</v>
      </c>
      <c r="G34" s="465">
        <f>+D34/'- 7 -'!E34</f>
        <v>10527.401138496942</v>
      </c>
      <c r="I34" s="463" t="str">
        <f t="shared" si="1"/>
        <v/>
      </c>
      <c r="J34" s="501">
        <f>+'- 15 -'!B34</f>
        <v>15629701</v>
      </c>
      <c r="K34" s="500">
        <f>+'- 15 -'!E34</f>
        <v>4355145</v>
      </c>
      <c r="L34" s="500">
        <f>+'- 16 -'!G34</f>
        <v>875831</v>
      </c>
      <c r="M34" s="501">
        <f t="shared" si="0"/>
        <v>20860677</v>
      </c>
    </row>
    <row r="35" spans="1:13" ht="14.1" customHeight="1">
      <c r="A35" s="471" t="s">
        <v>133</v>
      </c>
      <c r="B35" s="472">
        <v>139795816</v>
      </c>
      <c r="C35" s="473">
        <v>81.126874640376812</v>
      </c>
      <c r="D35" s="472">
        <v>144868991</v>
      </c>
      <c r="E35" s="473">
        <f>+D35/'- 3 -'!F35*100</f>
        <v>81.357836422907496</v>
      </c>
      <c r="F35" s="472">
        <v>8990.6628078976137</v>
      </c>
      <c r="G35" s="472">
        <f>+D35/'- 7 -'!E35</f>
        <v>9389.7002949087728</v>
      </c>
      <c r="I35" s="463" t="str">
        <f t="shared" si="1"/>
        <v/>
      </c>
      <c r="J35" s="501">
        <f>+'- 15 -'!B35</f>
        <v>102934161</v>
      </c>
      <c r="K35" s="500">
        <f>+'- 15 -'!E35</f>
        <v>34348245</v>
      </c>
      <c r="L35" s="500">
        <f>+'- 16 -'!G35</f>
        <v>7586585</v>
      </c>
      <c r="M35" s="501">
        <f t="shared" si="0"/>
        <v>144868991</v>
      </c>
    </row>
    <row r="36" spans="1:13" ht="14.1" customHeight="1">
      <c r="A36" s="464" t="s">
        <v>134</v>
      </c>
      <c r="B36" s="465">
        <v>16391904</v>
      </c>
      <c r="C36" s="466">
        <v>75.598039475671584</v>
      </c>
      <c r="D36" s="465">
        <v>16751330</v>
      </c>
      <c r="E36" s="466">
        <f>+D36/'- 3 -'!F36*100</f>
        <v>75.236932606984041</v>
      </c>
      <c r="F36" s="465">
        <v>9940.5118253486962</v>
      </c>
      <c r="G36" s="465">
        <f>+D36/'- 7 -'!E36</f>
        <v>10236.070882981974</v>
      </c>
      <c r="I36" s="463" t="str">
        <f t="shared" si="1"/>
        <v/>
      </c>
      <c r="J36" s="501">
        <f>+'- 15 -'!B36</f>
        <v>13163899</v>
      </c>
      <c r="K36" s="500">
        <f>+'- 15 -'!E36</f>
        <v>2820091</v>
      </c>
      <c r="L36" s="500">
        <f>+'- 16 -'!G36</f>
        <v>767340</v>
      </c>
      <c r="M36" s="501">
        <f t="shared" si="0"/>
        <v>16751330</v>
      </c>
    </row>
    <row r="37" spans="1:13" ht="14.1" customHeight="1">
      <c r="A37" s="471" t="s">
        <v>135</v>
      </c>
      <c r="B37" s="472">
        <v>34546089</v>
      </c>
      <c r="C37" s="473">
        <v>77.492331204053116</v>
      </c>
      <c r="D37" s="472">
        <v>36832610</v>
      </c>
      <c r="E37" s="473">
        <f>+D37/'- 3 -'!F37*100</f>
        <v>78.209976720007063</v>
      </c>
      <c r="F37" s="472">
        <v>8739.2079433341769</v>
      </c>
      <c r="G37" s="472">
        <f>+D37/'- 7 -'!E37</f>
        <v>8975.9010600706715</v>
      </c>
      <c r="I37" s="463" t="str">
        <f t="shared" si="1"/>
        <v/>
      </c>
      <c r="J37" s="501">
        <f>+'- 15 -'!B37</f>
        <v>27185683</v>
      </c>
      <c r="K37" s="500">
        <f>+'- 15 -'!E37</f>
        <v>8070639</v>
      </c>
      <c r="L37" s="500">
        <f>+'- 16 -'!G37</f>
        <v>1576288</v>
      </c>
      <c r="M37" s="501">
        <f t="shared" si="0"/>
        <v>36832610</v>
      </c>
    </row>
    <row r="38" spans="1:13" ht="14.1" customHeight="1">
      <c r="A38" s="464" t="s">
        <v>136</v>
      </c>
      <c r="B38" s="465">
        <v>98483086</v>
      </c>
      <c r="C38" s="466">
        <v>82.393596518132966</v>
      </c>
      <c r="D38" s="465">
        <v>102403618</v>
      </c>
      <c r="E38" s="466">
        <f>+D38/'- 3 -'!F38*100</f>
        <v>82.443553139107323</v>
      </c>
      <c r="F38" s="465">
        <v>9347.5598204200942</v>
      </c>
      <c r="G38" s="465">
        <f>+D38/'- 7 -'!E38</f>
        <v>9482.4310834961507</v>
      </c>
      <c r="I38" s="463" t="str">
        <f t="shared" si="1"/>
        <v/>
      </c>
      <c r="J38" s="501">
        <f>+'- 15 -'!B38</f>
        <v>74639704</v>
      </c>
      <c r="K38" s="500">
        <f>+'- 15 -'!E38</f>
        <v>23061378</v>
      </c>
      <c r="L38" s="500">
        <f>+'- 16 -'!G38</f>
        <v>4702536</v>
      </c>
      <c r="M38" s="501">
        <f t="shared" si="0"/>
        <v>102403618</v>
      </c>
    </row>
    <row r="39" spans="1:13" ht="14.1" customHeight="1">
      <c r="A39" s="471" t="s">
        <v>137</v>
      </c>
      <c r="B39" s="472">
        <v>14762965</v>
      </c>
      <c r="C39" s="473">
        <v>73.661693388698907</v>
      </c>
      <c r="D39" s="472">
        <v>15185661</v>
      </c>
      <c r="E39" s="473">
        <f>+D39/'- 3 -'!F39*100</f>
        <v>74.002259297600247</v>
      </c>
      <c r="F39" s="472">
        <v>9546.0491432266408</v>
      </c>
      <c r="G39" s="472">
        <f>+D39/'- 7 -'!E39</f>
        <v>9581.4631837970846</v>
      </c>
      <c r="I39" s="463" t="str">
        <f t="shared" si="1"/>
        <v/>
      </c>
      <c r="J39" s="501">
        <f>+'- 15 -'!B39</f>
        <v>11764681</v>
      </c>
      <c r="K39" s="500">
        <f>+'- 15 -'!E39</f>
        <v>2959609</v>
      </c>
      <c r="L39" s="500">
        <f>+'- 16 -'!G39</f>
        <v>461371</v>
      </c>
      <c r="M39" s="501">
        <f t="shared" si="0"/>
        <v>15185661</v>
      </c>
    </row>
    <row r="40" spans="1:13" ht="14.1" customHeight="1">
      <c r="A40" s="464" t="s">
        <v>138</v>
      </c>
      <c r="B40" s="465">
        <v>79083052</v>
      </c>
      <c r="C40" s="466">
        <v>81.777635728341508</v>
      </c>
      <c r="D40" s="465">
        <v>82487320</v>
      </c>
      <c r="E40" s="466">
        <f>+D40/'- 3 -'!F40*100</f>
        <v>81.814150713504759</v>
      </c>
      <c r="F40" s="465">
        <v>10030.065190371102</v>
      </c>
      <c r="G40" s="465">
        <f>+D40/'- 7 -'!E40</f>
        <v>10364.160876503034</v>
      </c>
      <c r="I40" s="463" t="str">
        <f t="shared" si="1"/>
        <v/>
      </c>
      <c r="J40" s="501">
        <f>+'- 15 -'!B40</f>
        <v>57102353</v>
      </c>
      <c r="K40" s="500">
        <f>+'- 15 -'!E40</f>
        <v>21859826</v>
      </c>
      <c r="L40" s="500">
        <f>+'- 16 -'!G40</f>
        <v>3525141</v>
      </c>
      <c r="M40" s="501">
        <f t="shared" si="0"/>
        <v>82487320</v>
      </c>
    </row>
    <row r="41" spans="1:13" ht="14.1" customHeight="1">
      <c r="A41" s="471" t="s">
        <v>139</v>
      </c>
      <c r="B41" s="472">
        <v>44011945</v>
      </c>
      <c r="C41" s="473">
        <v>75.267015938527095</v>
      </c>
      <c r="D41" s="472">
        <v>45691084</v>
      </c>
      <c r="E41" s="473">
        <f>+D41/'- 3 -'!F41*100</f>
        <v>75.47716908622327</v>
      </c>
      <c r="F41" s="472">
        <v>10104.912180002297</v>
      </c>
      <c r="G41" s="472">
        <f>+D41/'- 7 -'!E41</f>
        <v>10417.483812129503</v>
      </c>
      <c r="I41" s="463" t="str">
        <f t="shared" si="1"/>
        <v/>
      </c>
      <c r="J41" s="501">
        <f>+'- 15 -'!B41</f>
        <v>32538284</v>
      </c>
      <c r="K41" s="500">
        <f>+'- 15 -'!E41</f>
        <v>11668748</v>
      </c>
      <c r="L41" s="500">
        <f>+'- 16 -'!G41</f>
        <v>1484052</v>
      </c>
      <c r="M41" s="501">
        <f t="shared" si="0"/>
        <v>45691084</v>
      </c>
    </row>
    <row r="42" spans="1:13" ht="14.1" customHeight="1">
      <c r="A42" s="464" t="s">
        <v>140</v>
      </c>
      <c r="B42" s="465">
        <v>14631005</v>
      </c>
      <c r="C42" s="466">
        <v>74.354663135020417</v>
      </c>
      <c r="D42" s="465">
        <v>14594212</v>
      </c>
      <c r="E42" s="466">
        <f>+D42/'- 3 -'!F42*100</f>
        <v>73.770671372608405</v>
      </c>
      <c r="F42" s="465">
        <v>10381.016744714063</v>
      </c>
      <c r="G42" s="465">
        <f>+D42/'- 7 -'!E42</f>
        <v>10543.427250397343</v>
      </c>
      <c r="I42" s="463" t="str">
        <f t="shared" si="1"/>
        <v/>
      </c>
      <c r="J42" s="501">
        <f>+'- 15 -'!B42</f>
        <v>11322564</v>
      </c>
      <c r="K42" s="500">
        <f>+'- 15 -'!E42</f>
        <v>2864288</v>
      </c>
      <c r="L42" s="500">
        <f>+'- 16 -'!G42</f>
        <v>407360</v>
      </c>
      <c r="M42" s="501">
        <f t="shared" si="0"/>
        <v>14594212</v>
      </c>
    </row>
    <row r="43" spans="1:13" ht="14.1" customHeight="1">
      <c r="A43" s="471" t="s">
        <v>141</v>
      </c>
      <c r="B43" s="472">
        <v>9706996</v>
      </c>
      <c r="C43" s="473">
        <v>77.079732254423092</v>
      </c>
      <c r="D43" s="472">
        <v>9564039</v>
      </c>
      <c r="E43" s="473">
        <f>+D43/'- 3 -'!F43*100</f>
        <v>76.676731448780245</v>
      </c>
      <c r="F43" s="472">
        <v>10077.547418581231</v>
      </c>
      <c r="G43" s="472">
        <f>+D43/'- 7 -'!E43</f>
        <v>10102.502376676879</v>
      </c>
      <c r="I43" s="463" t="str">
        <f t="shared" si="1"/>
        <v/>
      </c>
      <c r="J43" s="501">
        <f>+'- 15 -'!B43</f>
        <v>6962548</v>
      </c>
      <c r="K43" s="500">
        <f>+'- 15 -'!E43</f>
        <v>2168015</v>
      </c>
      <c r="L43" s="500">
        <f>+'- 16 -'!G43</f>
        <v>433476</v>
      </c>
      <c r="M43" s="501">
        <f t="shared" si="0"/>
        <v>9564039</v>
      </c>
    </row>
    <row r="44" spans="1:13" ht="14.1" customHeight="1">
      <c r="A44" s="464" t="s">
        <v>142</v>
      </c>
      <c r="B44" s="465">
        <v>7836973</v>
      </c>
      <c r="C44" s="466">
        <v>74.405000048419907</v>
      </c>
      <c r="D44" s="465">
        <v>7932732</v>
      </c>
      <c r="E44" s="466">
        <f>+D44/'- 3 -'!F44*100</f>
        <v>73.086816767656956</v>
      </c>
      <c r="F44" s="465">
        <v>11276.220143884892</v>
      </c>
      <c r="G44" s="465">
        <f>+D44/'- 7 -'!E44</f>
        <v>11648.651982378855</v>
      </c>
      <c r="I44" s="463" t="str">
        <f t="shared" si="1"/>
        <v/>
      </c>
      <c r="J44" s="501">
        <f>+'- 15 -'!B44</f>
        <v>5976361</v>
      </c>
      <c r="K44" s="500">
        <f>+'- 15 -'!E44</f>
        <v>1701504</v>
      </c>
      <c r="L44" s="500">
        <f>+'- 16 -'!G44</f>
        <v>254867</v>
      </c>
      <c r="M44" s="501">
        <f t="shared" si="0"/>
        <v>7932732</v>
      </c>
    </row>
    <row r="45" spans="1:13" ht="14.1" customHeight="1">
      <c r="A45" s="471" t="s">
        <v>143</v>
      </c>
      <c r="B45" s="472">
        <v>13501796</v>
      </c>
      <c r="C45" s="473">
        <v>79.226593122872899</v>
      </c>
      <c r="D45" s="472">
        <v>14235689</v>
      </c>
      <c r="E45" s="473">
        <f>+D45/'- 3 -'!F45*100</f>
        <v>79.606496202000471</v>
      </c>
      <c r="F45" s="472">
        <v>8401.8643434972</v>
      </c>
      <c r="G45" s="472">
        <f>+D45/'- 7 -'!E45</f>
        <v>8575.7162650602404</v>
      </c>
      <c r="I45" s="463" t="str">
        <f t="shared" si="1"/>
        <v/>
      </c>
      <c r="J45" s="501">
        <f>+'- 15 -'!B45</f>
        <v>11053883</v>
      </c>
      <c r="K45" s="500">
        <f>+'- 15 -'!E45</f>
        <v>2658047</v>
      </c>
      <c r="L45" s="500">
        <f>+'- 16 -'!G45</f>
        <v>523759</v>
      </c>
      <c r="M45" s="501">
        <f t="shared" si="0"/>
        <v>14235689</v>
      </c>
    </row>
    <row r="46" spans="1:13" ht="14.1" customHeight="1">
      <c r="A46" s="464" t="s">
        <v>144</v>
      </c>
      <c r="B46" s="465">
        <v>293094782</v>
      </c>
      <c r="C46" s="466">
        <v>81.780089769574232</v>
      </c>
      <c r="D46" s="465">
        <v>301192400</v>
      </c>
      <c r="E46" s="466">
        <f>+D46/'- 3 -'!F46*100</f>
        <v>81.113470879056536</v>
      </c>
      <c r="F46" s="465">
        <v>9801.1898742643116</v>
      </c>
      <c r="G46" s="465">
        <f>+D46/'- 7 -'!E46</f>
        <v>10095.270655270655</v>
      </c>
      <c r="I46" s="463" t="str">
        <f t="shared" si="1"/>
        <v/>
      </c>
      <c r="J46" s="501">
        <f>+'- 15 -'!B46</f>
        <v>202346055</v>
      </c>
      <c r="K46" s="500">
        <f>+'- 15 -'!E46</f>
        <v>89277798</v>
      </c>
      <c r="L46" s="500">
        <f>+'- 16 -'!G46</f>
        <v>9568547</v>
      </c>
      <c r="M46" s="501">
        <f t="shared" si="0"/>
        <v>301192400</v>
      </c>
    </row>
    <row r="47" spans="1:13" ht="5.0999999999999996" customHeight="1">
      <c r="B47" s="463"/>
      <c r="C47" s="463"/>
      <c r="D47" s="463"/>
      <c r="E47" s="463"/>
      <c r="F47" s="463"/>
      <c r="G47" s="463"/>
      <c r="I47" s="463" t="str">
        <f t="shared" si="1"/>
        <v/>
      </c>
      <c r="J47" s="501">
        <f>+'- 15 -'!B47</f>
        <v>0</v>
      </c>
      <c r="K47" s="500">
        <f>+'- 15 -'!E47</f>
        <v>0</v>
      </c>
      <c r="L47" s="500">
        <f>+'- 16 -'!G47</f>
        <v>0</v>
      </c>
      <c r="M47" s="501">
        <f t="shared" si="0"/>
        <v>0</v>
      </c>
    </row>
    <row r="48" spans="1:13" ht="14.1" customHeight="1">
      <c r="A48" s="474" t="s">
        <v>145</v>
      </c>
      <c r="B48" s="475">
        <v>1656469715</v>
      </c>
      <c r="C48" s="476">
        <v>78.683643344465068</v>
      </c>
      <c r="D48" s="475">
        <f>SUM(D11:D46)</f>
        <v>1718751122</v>
      </c>
      <c r="E48" s="476">
        <f>+D48/'- 3 -'!F48*100</f>
        <v>78.789212546078431</v>
      </c>
      <c r="F48" s="475">
        <v>9602.9979931019479</v>
      </c>
      <c r="G48" s="475">
        <f>+D48/'- 7 -'!E48</f>
        <v>9877.480695279608</v>
      </c>
      <c r="I48" s="463" t="str">
        <f t="shared" si="1"/>
        <v/>
      </c>
      <c r="J48" s="501">
        <f>+'- 15 -'!B48</f>
        <v>1235490195</v>
      </c>
      <c r="K48" s="500">
        <f>+'- 15 -'!E48</f>
        <v>408451246</v>
      </c>
      <c r="L48" s="500">
        <f>+'- 16 -'!G48</f>
        <v>74809681</v>
      </c>
      <c r="M48" s="501">
        <f t="shared" si="0"/>
        <v>1718751122</v>
      </c>
    </row>
    <row r="49" spans="1:7" ht="5.0999999999999996" customHeight="1">
      <c r="B49" s="463"/>
      <c r="C49" s="463"/>
      <c r="D49" s="463"/>
      <c r="E49" s="463"/>
      <c r="F49" s="463"/>
      <c r="G49" s="463"/>
    </row>
    <row r="50" spans="1:7" ht="49.5" customHeight="1">
      <c r="A50" s="467"/>
      <c r="B50" s="468"/>
      <c r="C50" s="468"/>
      <c r="D50" s="468"/>
      <c r="E50" s="468"/>
      <c r="F50" s="468"/>
      <c r="G50" s="468"/>
    </row>
    <row r="51" spans="1:7" ht="12" customHeight="1">
      <c r="A51" s="852" t="s">
        <v>606</v>
      </c>
      <c r="B51" s="853"/>
      <c r="C51" s="853"/>
      <c r="D51" s="853"/>
      <c r="E51" s="853"/>
      <c r="F51" s="853"/>
      <c r="G51" s="853"/>
    </row>
    <row r="52" spans="1:7">
      <c r="A52" s="854"/>
      <c r="B52" s="854"/>
      <c r="C52" s="854"/>
      <c r="D52" s="854"/>
      <c r="E52" s="854"/>
      <c r="F52" s="854"/>
      <c r="G52" s="854"/>
    </row>
    <row r="53" spans="1:7" ht="10.5" customHeight="1">
      <c r="A53" s="469" t="s">
        <v>378</v>
      </c>
      <c r="B53" s="469"/>
      <c r="C53" s="469"/>
    </row>
    <row r="54" spans="1:7" ht="12" customHeight="1">
      <c r="B54" s="469"/>
      <c r="C54" s="469"/>
    </row>
    <row r="55" spans="1:7" ht="12" customHeight="1">
      <c r="A55" s="470"/>
      <c r="B55" s="469"/>
      <c r="C55" s="469"/>
    </row>
    <row r="56" spans="1:7" ht="12" customHeight="1">
      <c r="A56" s="470"/>
      <c r="B56" s="469"/>
      <c r="C56" s="469"/>
    </row>
    <row r="57" spans="1:7" ht="14.45" customHeight="1">
      <c r="A57" s="469"/>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sheetPr codeName="Sheet61">
    <pageSetUpPr fitToPage="1"/>
  </sheetPr>
  <dimension ref="A1:I58"/>
  <sheetViews>
    <sheetView showGridLines="0" showZeros="0" workbookViewId="0"/>
  </sheetViews>
  <sheetFormatPr defaultColWidth="12.83203125" defaultRowHeight="12"/>
  <cols>
    <col min="1" max="1" width="30.83203125" style="2" customWidth="1"/>
    <col min="2" max="8" width="12.83203125" style="2" customWidth="1"/>
    <col min="9" max="16384" width="12.83203125" style="2"/>
  </cols>
  <sheetData>
    <row r="1" spans="1:9" ht="6.95" customHeight="1">
      <c r="A1" s="7"/>
      <c r="B1" s="8"/>
      <c r="C1" s="8"/>
    </row>
    <row r="2" spans="1:9" ht="15.95" customHeight="1">
      <c r="A2" s="245" t="s">
        <v>231</v>
      </c>
      <c r="B2" s="246"/>
      <c r="C2" s="246"/>
      <c r="D2" s="246"/>
      <c r="E2" s="246"/>
      <c r="F2" s="142"/>
      <c r="G2" s="142"/>
      <c r="H2" s="142"/>
      <c r="I2" s="142"/>
    </row>
    <row r="3" spans="1:9" ht="15.95" customHeight="1">
      <c r="A3" s="546" t="str">
        <f>B9&amp;" AND "&amp;C9&amp;" ACTUAL"</f>
        <v>2014/15 AND 2015/16 ACTUAL</v>
      </c>
      <c r="B3" s="247"/>
      <c r="C3" s="248"/>
      <c r="D3" s="248"/>
      <c r="E3" s="248"/>
      <c r="F3" s="249"/>
      <c r="G3" s="249"/>
      <c r="H3" s="249"/>
      <c r="I3" s="249"/>
    </row>
    <row r="4" spans="1:9" ht="15.95" customHeight="1">
      <c r="B4" s="31"/>
      <c r="C4" s="8"/>
    </row>
    <row r="5" spans="1:9" ht="15.95" customHeight="1">
      <c r="B5" s="227"/>
      <c r="C5" s="8"/>
    </row>
    <row r="6" spans="1:9" ht="15.95" customHeight="1">
      <c r="B6" s="864" t="s">
        <v>610</v>
      </c>
      <c r="C6" s="865"/>
      <c r="D6" s="573"/>
      <c r="E6" s="378"/>
      <c r="F6" s="859" t="s">
        <v>608</v>
      </c>
      <c r="G6" s="860"/>
      <c r="H6" s="381"/>
      <c r="I6" s="382"/>
    </row>
    <row r="7" spans="1:9" ht="15.95" customHeight="1">
      <c r="B7" s="866"/>
      <c r="C7" s="867"/>
      <c r="D7" s="862" t="s">
        <v>609</v>
      </c>
      <c r="E7" s="856"/>
      <c r="F7" s="861"/>
      <c r="G7" s="856"/>
      <c r="H7" s="855" t="s">
        <v>607</v>
      </c>
      <c r="I7" s="856"/>
    </row>
    <row r="8" spans="1:9" ht="15.95" customHeight="1">
      <c r="A8" s="404"/>
      <c r="B8" s="868"/>
      <c r="C8" s="869"/>
      <c r="D8" s="863"/>
      <c r="E8" s="858"/>
      <c r="F8" s="857"/>
      <c r="G8" s="858"/>
      <c r="H8" s="857"/>
      <c r="I8" s="858"/>
    </row>
    <row r="9" spans="1:9" ht="15.95" customHeight="1">
      <c r="A9" s="35" t="s">
        <v>42</v>
      </c>
      <c r="B9" s="574" t="str">
        <f>PrevY</f>
        <v>2014/15</v>
      </c>
      <c r="C9" s="575" t="str">
        <f>+CurrY</f>
        <v>2015/16</v>
      </c>
      <c r="D9" s="491" t="str">
        <f>+B9</f>
        <v>2014/15</v>
      </c>
      <c r="E9" s="492" t="s">
        <v>628</v>
      </c>
      <c r="F9" s="492">
        <v>2014</v>
      </c>
      <c r="G9" s="492" t="s">
        <v>629</v>
      </c>
      <c r="H9" s="492">
        <f>+F9</f>
        <v>2014</v>
      </c>
      <c r="I9" s="492" t="s">
        <v>630</v>
      </c>
    </row>
    <row r="10" spans="1:9" ht="5.0999999999999996" customHeight="1">
      <c r="A10" s="6"/>
      <c r="C10" s="250"/>
    </row>
    <row r="11" spans="1:9" ht="14.1" customHeight="1">
      <c r="A11" s="353" t="s">
        <v>110</v>
      </c>
      <c r="B11" s="353">
        <v>10922</v>
      </c>
      <c r="C11" s="353">
        <f>'- 4 -'!E11</f>
        <v>10690</v>
      </c>
      <c r="D11" s="354">
        <v>14.054671706073655</v>
      </c>
      <c r="E11" s="354">
        <f>'- 9 -'!C11</f>
        <v>14.095878889823382</v>
      </c>
      <c r="F11" s="353">
        <v>388093</v>
      </c>
      <c r="G11" s="353">
        <f>'- 55 -'!F11</f>
        <v>368964</v>
      </c>
      <c r="H11" s="354">
        <v>13.191450998307207</v>
      </c>
      <c r="I11" s="354">
        <f>'- 53 -'!G11</f>
        <v>13.49714609222295</v>
      </c>
    </row>
    <row r="12" spans="1:9" ht="14.1" customHeight="1">
      <c r="A12" s="151" t="s">
        <v>111</v>
      </c>
      <c r="B12" s="151">
        <v>14538</v>
      </c>
      <c r="C12" s="151">
        <f>'- 4 -'!E12</f>
        <v>14909</v>
      </c>
      <c r="D12" s="238">
        <v>11.494290023701787</v>
      </c>
      <c r="E12" s="238">
        <f>'- 9 -'!C12</f>
        <v>10.589923898471492</v>
      </c>
      <c r="F12" s="151">
        <v>311740</v>
      </c>
      <c r="G12" s="151">
        <f>'- 55 -'!F12</f>
        <v>325530</v>
      </c>
      <c r="H12" s="238">
        <v>16.800000153498914</v>
      </c>
      <c r="I12" s="238">
        <f>'- 53 -'!G12</f>
        <v>16.571894923662775</v>
      </c>
    </row>
    <row r="13" spans="1:9" ht="14.1" customHeight="1">
      <c r="A13" s="353" t="s">
        <v>112</v>
      </c>
      <c r="B13" s="353">
        <v>10706</v>
      </c>
      <c r="C13" s="353">
        <f>'- 4 -'!E13</f>
        <v>10971</v>
      </c>
      <c r="D13" s="354">
        <v>12.687413380370415</v>
      </c>
      <c r="E13" s="354">
        <f>'- 9 -'!C13</f>
        <v>12.939146800501881</v>
      </c>
      <c r="F13" s="353">
        <v>330615</v>
      </c>
      <c r="G13" s="353">
        <f>'- 55 -'!F13</f>
        <v>332491</v>
      </c>
      <c r="H13" s="354">
        <v>15.503878318572109</v>
      </c>
      <c r="I13" s="354">
        <f>'- 53 -'!G13</f>
        <v>15.505250156498025</v>
      </c>
    </row>
    <row r="14" spans="1:9" ht="14.1" customHeight="1">
      <c r="A14" s="151" t="s">
        <v>359</v>
      </c>
      <c r="B14" s="151">
        <v>14558</v>
      </c>
      <c r="C14" s="151">
        <f>'- 4 -'!E14</f>
        <v>14913</v>
      </c>
      <c r="D14" s="238">
        <v>12.169349032722543</v>
      </c>
      <c r="E14" s="238">
        <f>'- 9 -'!C14</f>
        <v>12.042734464804923</v>
      </c>
      <c r="F14" s="151">
        <v>380268</v>
      </c>
      <c r="G14" s="151">
        <f>'- 55 -'!F14</f>
        <v>389297</v>
      </c>
      <c r="H14" s="238">
        <v>0</v>
      </c>
      <c r="I14" s="238">
        <f>'- 53 -'!G14</f>
        <v>0</v>
      </c>
    </row>
    <row r="15" spans="1:9" ht="14.1" customHeight="1">
      <c r="A15" s="353" t="s">
        <v>113</v>
      </c>
      <c r="B15" s="353">
        <v>13494</v>
      </c>
      <c r="C15" s="353">
        <f>'- 4 -'!E15</f>
        <v>14019</v>
      </c>
      <c r="D15" s="354">
        <v>12.861949880456919</v>
      </c>
      <c r="E15" s="354">
        <f>'- 9 -'!C15</f>
        <v>12.760180995475114</v>
      </c>
      <c r="F15" s="353">
        <v>559099</v>
      </c>
      <c r="G15" s="353">
        <f>'- 55 -'!F15</f>
        <v>572165</v>
      </c>
      <c r="H15" s="354">
        <v>11.445407414871621</v>
      </c>
      <c r="I15" s="354">
        <f>'- 53 -'!G15</f>
        <v>11.703041840878955</v>
      </c>
    </row>
    <row r="16" spans="1:9" ht="14.1" customHeight="1">
      <c r="A16" s="151" t="s">
        <v>114</v>
      </c>
      <c r="B16" s="151">
        <v>14793</v>
      </c>
      <c r="C16" s="151">
        <f>'- 4 -'!E16</f>
        <v>14920</v>
      </c>
      <c r="D16" s="238">
        <v>11.635668789808918</v>
      </c>
      <c r="E16" s="238">
        <f>'- 9 -'!C16</f>
        <v>11.685463659147871</v>
      </c>
      <c r="F16" s="151">
        <v>171711</v>
      </c>
      <c r="G16" s="151">
        <f>'- 55 -'!F16</f>
        <v>177865</v>
      </c>
      <c r="H16" s="238">
        <v>19.759731717131807</v>
      </c>
      <c r="I16" s="238">
        <f>'- 53 -'!G16</f>
        <v>20.735635678710477</v>
      </c>
    </row>
    <row r="17" spans="1:9" ht="14.1" customHeight="1">
      <c r="A17" s="353" t="s">
        <v>115</v>
      </c>
      <c r="B17" s="353">
        <v>12738</v>
      </c>
      <c r="C17" s="353">
        <f>'- 4 -'!E17</f>
        <v>12695</v>
      </c>
      <c r="D17" s="354">
        <v>13.189850923092111</v>
      </c>
      <c r="E17" s="354">
        <f>'- 9 -'!C17</f>
        <v>12.064134175784663</v>
      </c>
      <c r="F17" s="353">
        <v>633237</v>
      </c>
      <c r="G17" s="353">
        <f>'- 55 -'!F17</f>
        <v>670922</v>
      </c>
      <c r="H17" s="354">
        <v>9.7989453264793145</v>
      </c>
      <c r="I17" s="354">
        <f>'- 53 -'!G17</f>
        <v>9.6706185300122893</v>
      </c>
    </row>
    <row r="18" spans="1:9" ht="14.1" customHeight="1">
      <c r="A18" s="151" t="s">
        <v>116</v>
      </c>
      <c r="B18" s="151">
        <v>19385</v>
      </c>
      <c r="C18" s="151">
        <f>'- 4 -'!E18</f>
        <v>19756</v>
      </c>
      <c r="D18" s="238">
        <v>11.865995307000393</v>
      </c>
      <c r="E18" s="238">
        <f>'- 9 -'!C18</f>
        <v>11.871327583361477</v>
      </c>
      <c r="F18" s="151">
        <v>84950</v>
      </c>
      <c r="G18" s="151">
        <f>'- 55 -'!F18</f>
        <v>88244</v>
      </c>
      <c r="H18" s="238">
        <v>15.399089808959722</v>
      </c>
      <c r="I18" s="238">
        <f>'- 53 -'!G18</f>
        <v>15.398998929353137</v>
      </c>
    </row>
    <row r="19" spans="1:9" ht="14.1" customHeight="1">
      <c r="A19" s="353" t="s">
        <v>117</v>
      </c>
      <c r="B19" s="353">
        <v>10204</v>
      </c>
      <c r="C19" s="353">
        <f>'- 4 -'!E19</f>
        <v>10548</v>
      </c>
      <c r="D19" s="354">
        <v>14.732114773005275</v>
      </c>
      <c r="E19" s="354">
        <f>'- 9 -'!C19</f>
        <v>14.507862550960976</v>
      </c>
      <c r="F19" s="353">
        <v>219610</v>
      </c>
      <c r="G19" s="353">
        <f>'- 55 -'!F19</f>
        <v>229539</v>
      </c>
      <c r="H19" s="354">
        <v>18.048591468952221</v>
      </c>
      <c r="I19" s="354">
        <f>'- 53 -'!G19</f>
        <v>18.048139981536597</v>
      </c>
    </row>
    <row r="20" spans="1:9" ht="14.1" customHeight="1">
      <c r="A20" s="151" t="s">
        <v>118</v>
      </c>
      <c r="B20" s="151">
        <v>10105</v>
      </c>
      <c r="C20" s="151">
        <f>'- 4 -'!E20</f>
        <v>10328</v>
      </c>
      <c r="D20" s="238">
        <v>14.451807701356755</v>
      </c>
      <c r="E20" s="238">
        <f>'- 9 -'!C20</f>
        <v>14.567151246750745</v>
      </c>
      <c r="F20" s="151">
        <v>228503</v>
      </c>
      <c r="G20" s="151">
        <f>'- 55 -'!F20</f>
        <v>237543</v>
      </c>
      <c r="H20" s="238">
        <v>15.592550945418797</v>
      </c>
      <c r="I20" s="238">
        <f>'- 53 -'!G20</f>
        <v>16.01964862641659</v>
      </c>
    </row>
    <row r="21" spans="1:9" ht="14.1" customHeight="1">
      <c r="A21" s="353" t="s">
        <v>119</v>
      </c>
      <c r="B21" s="353">
        <v>12907</v>
      </c>
      <c r="C21" s="353">
        <f>'- 4 -'!E21</f>
        <v>12984</v>
      </c>
      <c r="D21" s="354">
        <v>11.685873930504627</v>
      </c>
      <c r="E21" s="354">
        <f>'- 9 -'!C21</f>
        <v>11.967476052572957</v>
      </c>
      <c r="F21" s="353">
        <v>382995</v>
      </c>
      <c r="G21" s="353">
        <f>'- 55 -'!F21</f>
        <v>397738</v>
      </c>
      <c r="H21" s="354">
        <v>14.002574922053272</v>
      </c>
      <c r="I21" s="354">
        <f>'- 53 -'!G21</f>
        <v>14.380395883652278</v>
      </c>
    </row>
    <row r="22" spans="1:9" ht="14.1" customHeight="1">
      <c r="A22" s="151" t="s">
        <v>120</v>
      </c>
      <c r="B22" s="151">
        <v>12292</v>
      </c>
      <c r="C22" s="151">
        <f>'- 4 -'!E22</f>
        <v>12621</v>
      </c>
      <c r="D22" s="238">
        <v>12.92197385069591</v>
      </c>
      <c r="E22" s="238">
        <f>'- 9 -'!C22</f>
        <v>12.92197385069591</v>
      </c>
      <c r="F22" s="151">
        <v>138197</v>
      </c>
      <c r="G22" s="151">
        <f>'- 55 -'!F22</f>
        <v>138610</v>
      </c>
      <c r="H22" s="238">
        <v>20.045892611289585</v>
      </c>
      <c r="I22" s="238">
        <f>'- 53 -'!G22</f>
        <v>20.702062140486383</v>
      </c>
    </row>
    <row r="23" spans="1:9" ht="14.1" customHeight="1">
      <c r="A23" s="353" t="s">
        <v>121</v>
      </c>
      <c r="B23" s="353">
        <v>13997</v>
      </c>
      <c r="C23" s="353">
        <f>'- 4 -'!E23</f>
        <v>14025</v>
      </c>
      <c r="D23" s="354">
        <v>11.596899224806201</v>
      </c>
      <c r="E23" s="354">
        <f>'- 9 -'!C23</f>
        <v>11.973045822102426</v>
      </c>
      <c r="F23" s="353">
        <v>221961</v>
      </c>
      <c r="G23" s="353">
        <f>'- 55 -'!F23</f>
        <v>229221</v>
      </c>
      <c r="H23" s="354">
        <v>18.741523598823758</v>
      </c>
      <c r="I23" s="354">
        <f>'- 53 -'!G23</f>
        <v>18.712788216767052</v>
      </c>
    </row>
    <row r="24" spans="1:9" ht="14.1" customHeight="1">
      <c r="A24" s="151" t="s">
        <v>122</v>
      </c>
      <c r="B24" s="151">
        <v>13192</v>
      </c>
      <c r="C24" s="151">
        <f>'- 4 -'!E24</f>
        <v>13731</v>
      </c>
      <c r="D24" s="238">
        <v>12.068286864469956</v>
      </c>
      <c r="E24" s="238">
        <f>'- 9 -'!C24</f>
        <v>11.788245717660956</v>
      </c>
      <c r="F24" s="151">
        <v>419300</v>
      </c>
      <c r="G24" s="151">
        <f>'- 55 -'!F24</f>
        <v>435844</v>
      </c>
      <c r="H24" s="238">
        <v>14.133029629070325</v>
      </c>
      <c r="I24" s="238">
        <f>'- 53 -'!G24</f>
        <v>14.804598145193991</v>
      </c>
    </row>
    <row r="25" spans="1:9" ht="14.1" customHeight="1">
      <c r="A25" s="353" t="s">
        <v>123</v>
      </c>
      <c r="B25" s="353">
        <v>11331</v>
      </c>
      <c r="C25" s="353">
        <f>'- 4 -'!E25</f>
        <v>11687</v>
      </c>
      <c r="D25" s="354">
        <v>14.301198122529645</v>
      </c>
      <c r="E25" s="354">
        <f>'- 9 -'!C25</f>
        <v>14.130881795132861</v>
      </c>
      <c r="F25" s="353">
        <v>434989</v>
      </c>
      <c r="G25" s="353">
        <f>'- 55 -'!F25</f>
        <v>446063</v>
      </c>
      <c r="H25" s="354">
        <v>12.484783995009286</v>
      </c>
      <c r="I25" s="354">
        <f>'- 53 -'!G25</f>
        <v>13.029825839779617</v>
      </c>
    </row>
    <row r="26" spans="1:9" ht="14.1" customHeight="1">
      <c r="A26" s="151" t="s">
        <v>124</v>
      </c>
      <c r="B26" s="151">
        <v>12487</v>
      </c>
      <c r="C26" s="151">
        <f>'- 4 -'!E26</f>
        <v>12851</v>
      </c>
      <c r="D26" s="238">
        <v>13.084210526315788</v>
      </c>
      <c r="E26" s="238">
        <f>'- 9 -'!C26</f>
        <v>12.807594620477159</v>
      </c>
      <c r="F26" s="151">
        <v>288455</v>
      </c>
      <c r="G26" s="151">
        <f>'- 55 -'!F26</f>
        <v>292889</v>
      </c>
      <c r="H26" s="238">
        <v>16.547459983579991</v>
      </c>
      <c r="I26" s="238">
        <f>'- 53 -'!G26</f>
        <v>17.079867584267916</v>
      </c>
    </row>
    <row r="27" spans="1:9" ht="14.1" customHeight="1">
      <c r="A27" s="353" t="s">
        <v>125</v>
      </c>
      <c r="B27" s="353">
        <v>13650</v>
      </c>
      <c r="C27" s="353">
        <f>'- 4 -'!E27</f>
        <v>14462</v>
      </c>
      <c r="D27" s="354">
        <v>11.540791599353797</v>
      </c>
      <c r="E27" s="354">
        <f>'- 9 -'!C27</f>
        <v>11.73348142164782</v>
      </c>
      <c r="F27" s="353">
        <v>191460</v>
      </c>
      <c r="G27" s="353">
        <f>'- 55 -'!F27</f>
        <v>185741</v>
      </c>
      <c r="H27" s="354">
        <v>17.726462227685616</v>
      </c>
      <c r="I27" s="354">
        <f>'- 53 -'!G27</f>
        <v>17.62758894501566</v>
      </c>
    </row>
    <row r="28" spans="1:9" ht="14.1" customHeight="1">
      <c r="A28" s="151" t="s">
        <v>126</v>
      </c>
      <c r="B28" s="151">
        <v>13631</v>
      </c>
      <c r="C28" s="151">
        <f>'- 4 -'!E28</f>
        <v>13876</v>
      </c>
      <c r="D28" s="238">
        <v>11.425797978644436</v>
      </c>
      <c r="E28" s="238">
        <f>'- 9 -'!C28</f>
        <v>11.33941293815902</v>
      </c>
      <c r="F28" s="151">
        <v>407407</v>
      </c>
      <c r="G28" s="151">
        <f>'- 55 -'!F28</f>
        <v>413176</v>
      </c>
      <c r="H28" s="238">
        <v>12.784190530898323</v>
      </c>
      <c r="I28" s="238">
        <f>'- 53 -'!G28</f>
        <v>13.250661113249206</v>
      </c>
    </row>
    <row r="29" spans="1:9" ht="14.1" customHeight="1">
      <c r="A29" s="353" t="s">
        <v>127</v>
      </c>
      <c r="B29" s="353">
        <v>11629</v>
      </c>
      <c r="C29" s="353">
        <f>'- 4 -'!E29</f>
        <v>11776</v>
      </c>
      <c r="D29" s="354">
        <v>14.182336507212499</v>
      </c>
      <c r="E29" s="354">
        <f>'- 9 -'!C29</f>
        <v>14.083011583011583</v>
      </c>
      <c r="F29" s="353">
        <v>551445</v>
      </c>
      <c r="G29" s="353">
        <f>'- 55 -'!F29</f>
        <v>555452</v>
      </c>
      <c r="H29" s="354">
        <v>12.149599950433091</v>
      </c>
      <c r="I29" s="354">
        <f>'- 53 -'!G29</f>
        <v>12.452841586775635</v>
      </c>
    </row>
    <row r="30" spans="1:9" ht="14.1" customHeight="1">
      <c r="A30" s="151" t="s">
        <v>128</v>
      </c>
      <c r="B30" s="151">
        <v>13016</v>
      </c>
      <c r="C30" s="151">
        <f>'- 4 -'!E30</f>
        <v>13821</v>
      </c>
      <c r="D30" s="238">
        <v>12.494013409961687</v>
      </c>
      <c r="E30" s="238">
        <f>'- 9 -'!C30</f>
        <v>12.196307094266277</v>
      </c>
      <c r="F30" s="151">
        <v>343756</v>
      </c>
      <c r="G30" s="151">
        <f>'- 55 -'!F30</f>
        <v>351865</v>
      </c>
      <c r="H30" s="238">
        <v>14.145540122933898</v>
      </c>
      <c r="I30" s="238">
        <f>'- 53 -'!G30</f>
        <v>15.021312488035266</v>
      </c>
    </row>
    <row r="31" spans="1:9" ht="14.1" customHeight="1">
      <c r="A31" s="353" t="s">
        <v>129</v>
      </c>
      <c r="B31" s="353">
        <v>10864</v>
      </c>
      <c r="C31" s="353">
        <f>'- 4 -'!E31</f>
        <v>10934</v>
      </c>
      <c r="D31" s="354">
        <v>12.912972607641235</v>
      </c>
      <c r="E31" s="354">
        <f>'- 9 -'!C31</f>
        <v>13.047904191616766</v>
      </c>
      <c r="F31" s="353">
        <v>333560</v>
      </c>
      <c r="G31" s="353">
        <f>'- 55 -'!F31</f>
        <v>334327</v>
      </c>
      <c r="H31" s="354">
        <v>14.53646802063893</v>
      </c>
      <c r="I31" s="354">
        <f>'- 53 -'!G31</f>
        <v>14.973609195437771</v>
      </c>
    </row>
    <row r="32" spans="1:9" ht="14.1" customHeight="1">
      <c r="A32" s="151" t="s">
        <v>130</v>
      </c>
      <c r="B32" s="151">
        <v>12472</v>
      </c>
      <c r="C32" s="151">
        <f>'- 4 -'!E32</f>
        <v>13077</v>
      </c>
      <c r="D32" s="238">
        <v>12.364194615021258</v>
      </c>
      <c r="E32" s="238">
        <f>'- 9 -'!C32</f>
        <v>12.031899743662775</v>
      </c>
      <c r="F32" s="151">
        <v>430405</v>
      </c>
      <c r="G32" s="151">
        <f>'- 55 -'!F32</f>
        <v>429590</v>
      </c>
      <c r="H32" s="238">
        <v>12.937327383458204</v>
      </c>
      <c r="I32" s="238">
        <f>'- 53 -'!G32</f>
        <v>13.996251930497856</v>
      </c>
    </row>
    <row r="33" spans="1:9" ht="14.1" customHeight="1">
      <c r="A33" s="353" t="s">
        <v>131</v>
      </c>
      <c r="B33" s="353">
        <v>13116</v>
      </c>
      <c r="C33" s="353">
        <f>'- 4 -'!E33</f>
        <v>12992</v>
      </c>
      <c r="D33" s="354">
        <v>12.511691712913887</v>
      </c>
      <c r="E33" s="354">
        <f>'- 9 -'!C33</f>
        <v>12.675099700897308</v>
      </c>
      <c r="F33" s="353">
        <v>405331</v>
      </c>
      <c r="G33" s="353">
        <f>'- 55 -'!F33</f>
        <v>412249</v>
      </c>
      <c r="H33" s="354">
        <v>14.126698638773998</v>
      </c>
      <c r="I33" s="354">
        <f>'- 53 -'!G33</f>
        <v>14.478366511808822</v>
      </c>
    </row>
    <row r="34" spans="1:9" ht="14.1" customHeight="1">
      <c r="A34" s="151" t="s">
        <v>132</v>
      </c>
      <c r="B34" s="151">
        <v>13291</v>
      </c>
      <c r="C34" s="151">
        <f>'- 4 -'!E34</f>
        <v>14050</v>
      </c>
      <c r="D34" s="238">
        <v>12.418189757345147</v>
      </c>
      <c r="E34" s="238">
        <f>'- 9 -'!C34</f>
        <v>12.125566026190183</v>
      </c>
      <c r="F34" s="151">
        <v>429151</v>
      </c>
      <c r="G34" s="151">
        <f>'- 55 -'!F34</f>
        <v>450476</v>
      </c>
      <c r="H34" s="238">
        <v>15.359471480886524</v>
      </c>
      <c r="I34" s="238">
        <f>'- 53 -'!G34</f>
        <v>15.799773867203545</v>
      </c>
    </row>
    <row r="35" spans="1:9" ht="14.1" customHeight="1">
      <c r="A35" s="353" t="s">
        <v>133</v>
      </c>
      <c r="B35" s="353">
        <v>11082</v>
      </c>
      <c r="C35" s="353">
        <f>'- 4 -'!E35</f>
        <v>11541</v>
      </c>
      <c r="D35" s="354">
        <v>13.715147612705186</v>
      </c>
      <c r="E35" s="354">
        <f>'- 9 -'!C35</f>
        <v>13.380483235911399</v>
      </c>
      <c r="F35" s="353">
        <v>367541</v>
      </c>
      <c r="G35" s="353">
        <f>'- 55 -'!F35</f>
        <v>377253</v>
      </c>
      <c r="H35" s="354">
        <v>13.297131264911027</v>
      </c>
      <c r="I35" s="354">
        <f>'- 53 -'!G35</f>
        <v>13.566637667228783</v>
      </c>
    </row>
    <row r="36" spans="1:9" ht="14.1" customHeight="1">
      <c r="A36" s="151" t="s">
        <v>134</v>
      </c>
      <c r="B36" s="151">
        <v>13149</v>
      </c>
      <c r="C36" s="151">
        <f>'- 4 -'!E36</f>
        <v>13605</v>
      </c>
      <c r="D36" s="238">
        <v>12.240656200126192</v>
      </c>
      <c r="E36" s="238">
        <f>'- 9 -'!C36</f>
        <v>12.065914620659147</v>
      </c>
      <c r="F36" s="151">
        <v>465319</v>
      </c>
      <c r="G36" s="151">
        <f>'- 55 -'!F36</f>
        <v>474985</v>
      </c>
      <c r="H36" s="238">
        <v>13.258150836731502</v>
      </c>
      <c r="I36" s="238">
        <f>'- 53 -'!G36</f>
        <v>13.386935075211806</v>
      </c>
    </row>
    <row r="37" spans="1:9" ht="14.1" customHeight="1">
      <c r="A37" s="353" t="s">
        <v>135</v>
      </c>
      <c r="B37" s="353">
        <v>11278</v>
      </c>
      <c r="C37" s="353">
        <f>'- 4 -'!E37</f>
        <v>11477</v>
      </c>
      <c r="D37" s="354">
        <v>13.933241690458567</v>
      </c>
      <c r="E37" s="354">
        <f>'- 9 -'!C37</f>
        <v>14.269569148381263</v>
      </c>
      <c r="F37" s="353">
        <v>269763</v>
      </c>
      <c r="G37" s="353">
        <f>'- 55 -'!F37</f>
        <v>278573</v>
      </c>
      <c r="H37" s="354">
        <v>14.499335449878744</v>
      </c>
      <c r="I37" s="354">
        <f>'- 53 -'!G37</f>
        <v>15.098522110613921</v>
      </c>
    </row>
    <row r="38" spans="1:9" ht="14.1" customHeight="1">
      <c r="A38" s="151" t="s">
        <v>136</v>
      </c>
      <c r="B38" s="151">
        <v>11345</v>
      </c>
      <c r="C38" s="151">
        <f>'- 4 -'!E38</f>
        <v>11502</v>
      </c>
      <c r="D38" s="238">
        <v>13.958267090620033</v>
      </c>
      <c r="E38" s="238">
        <f>'- 9 -'!C38</f>
        <v>13.871933204881181</v>
      </c>
      <c r="F38" s="151">
        <v>293689</v>
      </c>
      <c r="G38" s="151">
        <f>'- 55 -'!F38</f>
        <v>297274</v>
      </c>
      <c r="H38" s="238">
        <v>14.933318426763881</v>
      </c>
      <c r="I38" s="238">
        <f>'- 53 -'!G38</f>
        <v>15.624721952113394</v>
      </c>
    </row>
    <row r="39" spans="1:9" ht="14.1" customHeight="1">
      <c r="A39" s="353" t="s">
        <v>137</v>
      </c>
      <c r="B39" s="353">
        <v>12959</v>
      </c>
      <c r="C39" s="353">
        <f>'- 4 -'!E39</f>
        <v>12948</v>
      </c>
      <c r="D39" s="354">
        <v>12.419891100081916</v>
      </c>
      <c r="E39" s="354">
        <f>'- 9 -'!C39</f>
        <v>12.048806446708227</v>
      </c>
      <c r="F39" s="353">
        <v>601208</v>
      </c>
      <c r="G39" s="353">
        <f>'- 55 -'!F39</f>
        <v>639816</v>
      </c>
      <c r="H39" s="354">
        <v>11.307003974110645</v>
      </c>
      <c r="I39" s="354">
        <f>'- 53 -'!G39</f>
        <v>11.364694225956022</v>
      </c>
    </row>
    <row r="40" spans="1:9" ht="14.1" customHeight="1">
      <c r="A40" s="151" t="s">
        <v>138</v>
      </c>
      <c r="B40" s="151">
        <v>12265</v>
      </c>
      <c r="C40" s="151">
        <f>'- 4 -'!E40</f>
        <v>12668</v>
      </c>
      <c r="D40" s="238">
        <v>13.429510653880875</v>
      </c>
      <c r="E40" s="238">
        <f>'- 9 -'!C40</f>
        <v>13.195556660863799</v>
      </c>
      <c r="F40" s="151">
        <v>535756</v>
      </c>
      <c r="G40" s="151">
        <f>'- 55 -'!F40</f>
        <v>540929</v>
      </c>
      <c r="H40" s="238">
        <v>12.150705147562073</v>
      </c>
      <c r="I40" s="238">
        <f>'- 53 -'!G40</f>
        <v>12.620605803816643</v>
      </c>
    </row>
    <row r="41" spans="1:9" ht="14.1" customHeight="1">
      <c r="A41" s="353" t="s">
        <v>139</v>
      </c>
      <c r="B41" s="353">
        <v>13425</v>
      </c>
      <c r="C41" s="353">
        <f>'- 4 -'!E41</f>
        <v>13802</v>
      </c>
      <c r="D41" s="354">
        <v>12.58196839703036</v>
      </c>
      <c r="E41" s="354">
        <f>'- 9 -'!C41</f>
        <v>12.021378648759763</v>
      </c>
      <c r="F41" s="353">
        <v>452339</v>
      </c>
      <c r="G41" s="353">
        <f>'- 55 -'!F41</f>
        <v>469301</v>
      </c>
      <c r="H41" s="354">
        <v>13.778411867481402</v>
      </c>
      <c r="I41" s="354">
        <f>'- 53 -'!G41</f>
        <v>14.341634769958029</v>
      </c>
    </row>
    <row r="42" spans="1:9" ht="14.1" customHeight="1">
      <c r="A42" s="151" t="s">
        <v>140</v>
      </c>
      <c r="B42" s="151">
        <v>13961</v>
      </c>
      <c r="C42" s="151">
        <f>'- 4 -'!E42</f>
        <v>14292</v>
      </c>
      <c r="D42" s="238">
        <v>12.18993253762325</v>
      </c>
      <c r="E42" s="238">
        <f>'- 9 -'!C42</f>
        <v>12.148499210110582</v>
      </c>
      <c r="F42" s="151">
        <v>292574</v>
      </c>
      <c r="G42" s="151">
        <f>'- 55 -'!F42</f>
        <v>299120</v>
      </c>
      <c r="H42" s="238">
        <v>16.303344583292652</v>
      </c>
      <c r="I42" s="238">
        <f>'- 53 -'!G42</f>
        <v>16.672999371777209</v>
      </c>
    </row>
    <row r="43" spans="1:9" ht="14.1" customHeight="1">
      <c r="A43" s="353" t="s">
        <v>141</v>
      </c>
      <c r="B43" s="353">
        <v>13074</v>
      </c>
      <c r="C43" s="353">
        <f>'- 4 -'!E43</f>
        <v>13175</v>
      </c>
      <c r="D43" s="354">
        <v>11.426215895610914</v>
      </c>
      <c r="E43" s="354">
        <f>'- 9 -'!C43</f>
        <v>12.278858625162128</v>
      </c>
      <c r="F43" s="353">
        <v>422493</v>
      </c>
      <c r="G43" s="353">
        <f>'- 55 -'!F43</f>
        <v>431452</v>
      </c>
      <c r="H43" s="354">
        <v>14.551783702463959</v>
      </c>
      <c r="I43" s="354">
        <f>'- 53 -'!G43</f>
        <v>15.184728225006923</v>
      </c>
    </row>
    <row r="44" spans="1:9" ht="14.1" customHeight="1">
      <c r="A44" s="151" t="s">
        <v>142</v>
      </c>
      <c r="B44" s="151">
        <v>15155</v>
      </c>
      <c r="C44" s="151">
        <f>'- 4 -'!E44</f>
        <v>15938</v>
      </c>
      <c r="D44" s="238">
        <v>11.036125446605794</v>
      </c>
      <c r="E44" s="238">
        <f>'- 9 -'!C44</f>
        <v>10.699135899450118</v>
      </c>
      <c r="F44" s="151">
        <v>209531</v>
      </c>
      <c r="G44" s="151">
        <f>'- 55 -'!F44</f>
        <v>212427</v>
      </c>
      <c r="H44" s="238">
        <v>18.699481204322574</v>
      </c>
      <c r="I44" s="238">
        <f>'- 53 -'!G44</f>
        <v>18.917748698919478</v>
      </c>
    </row>
    <row r="45" spans="1:9" ht="14.1" customHeight="1">
      <c r="A45" s="353" t="s">
        <v>143</v>
      </c>
      <c r="B45" s="353">
        <v>10605</v>
      </c>
      <c r="C45" s="353">
        <f>'- 4 -'!E45</f>
        <v>10773</v>
      </c>
      <c r="D45" s="354">
        <v>13.653355989804588</v>
      </c>
      <c r="E45" s="354">
        <f>'- 9 -'!C45</f>
        <v>13.457640859343332</v>
      </c>
      <c r="F45" s="353">
        <v>277782</v>
      </c>
      <c r="G45" s="353">
        <f>'- 55 -'!F45</f>
        <v>286085</v>
      </c>
      <c r="H45" s="354">
        <v>17.058503766076356</v>
      </c>
      <c r="I45" s="354">
        <f>'- 53 -'!G45</f>
        <v>17.434999319764238</v>
      </c>
    </row>
    <row r="46" spans="1:9" ht="14.1" customHeight="1">
      <c r="A46" s="151" t="s">
        <v>144</v>
      </c>
      <c r="B46" s="151">
        <v>11985</v>
      </c>
      <c r="C46" s="151">
        <f>'- 4 -'!E46</f>
        <v>12446</v>
      </c>
      <c r="D46" s="238">
        <v>13.404035016158891</v>
      </c>
      <c r="E46" s="238">
        <f>'- 9 -'!C46</f>
        <v>13.381083941802265</v>
      </c>
      <c r="F46" s="151">
        <v>360068</v>
      </c>
      <c r="G46" s="151">
        <f>'- 55 -'!F46</f>
        <v>362928</v>
      </c>
      <c r="H46" s="238">
        <v>15.04641358769644</v>
      </c>
      <c r="I46" s="238">
        <f>'- 53 -'!G46</f>
        <v>15.583288681265151</v>
      </c>
    </row>
    <row r="47" spans="1:9" ht="5.0999999999999996" customHeight="1">
      <c r="A47"/>
      <c r="B47"/>
      <c r="C47"/>
      <c r="D47" s="379"/>
      <c r="E47" s="379"/>
      <c r="F47"/>
      <c r="G47"/>
      <c r="H47" s="379"/>
      <c r="I47" s="379"/>
    </row>
    <row r="48" spans="1:9" ht="14.1" customHeight="1">
      <c r="A48" s="356" t="s">
        <v>145</v>
      </c>
      <c r="B48" s="357">
        <v>12205</v>
      </c>
      <c r="C48" s="357">
        <f>'- 4 -'!E48</f>
        <v>12537</v>
      </c>
      <c r="D48" s="380">
        <v>13.212881005292349</v>
      </c>
      <c r="E48" s="380">
        <f>'- 9 -'!C48</f>
        <v>13.113408572959694</v>
      </c>
      <c r="F48" s="357">
        <v>371860.10778698581</v>
      </c>
      <c r="G48" s="357">
        <f>'- 55 -'!F48</f>
        <v>379006.21142656368</v>
      </c>
      <c r="H48" s="380">
        <v>13.923862577589491</v>
      </c>
      <c r="I48" s="380">
        <f>'- 53 -'!G48</f>
        <v>14.332392218220495</v>
      </c>
    </row>
    <row r="49" spans="1:9" ht="5.0999999999999996" customHeight="1">
      <c r="A49" s="130"/>
      <c r="B49" s="152"/>
      <c r="C49" s="152"/>
      <c r="D49" s="240"/>
      <c r="E49" s="240"/>
      <c r="F49" s="152"/>
      <c r="G49" s="152"/>
      <c r="H49" s="240"/>
      <c r="I49" s="240"/>
    </row>
    <row r="50" spans="1:9" ht="14.1" customHeight="1">
      <c r="A50" s="151" t="s">
        <v>146</v>
      </c>
      <c r="B50" s="151">
        <v>19126</v>
      </c>
      <c r="C50" s="151">
        <f>'- 4 -'!E50</f>
        <v>19207</v>
      </c>
      <c r="D50" s="238">
        <v>7.4551971326164876</v>
      </c>
      <c r="E50" s="238">
        <f>'- 9 -'!C50</f>
        <v>7.661290322580645</v>
      </c>
      <c r="F50" s="151"/>
      <c r="G50" s="151"/>
      <c r="H50" s="238">
        <v>0</v>
      </c>
      <c r="I50" s="238">
        <f>'- 53 -'!G50</f>
        <v>0</v>
      </c>
    </row>
    <row r="51" spans="1:9" ht="14.1" customHeight="1">
      <c r="A51" s="353" t="s">
        <v>612</v>
      </c>
      <c r="B51" s="353">
        <v>15963</v>
      </c>
      <c r="C51" s="353">
        <f>'- 4 -'!E51</f>
        <v>13867</v>
      </c>
      <c r="D51" s="354">
        <v>18.345679012345681</v>
      </c>
      <c r="E51" s="354">
        <f>'- 9 -'!C51</f>
        <v>25.4</v>
      </c>
      <c r="F51" s="353"/>
      <c r="G51" s="353"/>
      <c r="H51" s="354">
        <v>0</v>
      </c>
      <c r="I51" s="354">
        <f>'- 53 -'!G51</f>
        <v>0</v>
      </c>
    </row>
    <row r="52" spans="1:9" ht="50.1" customHeight="1">
      <c r="A52" s="23"/>
      <c r="B52" s="23"/>
      <c r="C52" s="23"/>
      <c r="D52" s="23"/>
      <c r="E52" s="23"/>
      <c r="F52" s="23"/>
      <c r="G52" s="23"/>
      <c r="H52" s="23"/>
      <c r="I52" s="23"/>
    </row>
    <row r="53" spans="1:9" ht="15" customHeight="1">
      <c r="A53" s="38" t="s">
        <v>335</v>
      </c>
      <c r="B53" s="38"/>
      <c r="C53" s="38"/>
    </row>
    <row r="54" spans="1:9" ht="12" customHeight="1">
      <c r="A54" s="38" t="s">
        <v>336</v>
      </c>
      <c r="B54" s="38"/>
      <c r="C54" s="38"/>
    </row>
    <row r="55" spans="1:9" ht="12" customHeight="1">
      <c r="A55" s="133" t="s">
        <v>421</v>
      </c>
      <c r="B55" s="38"/>
      <c r="C55" s="38"/>
    </row>
    <row r="56" spans="1:9" ht="12" customHeight="1">
      <c r="A56" s="133" t="s">
        <v>422</v>
      </c>
      <c r="B56" s="38"/>
      <c r="C56" s="38"/>
    </row>
    <row r="57" spans="1:9" ht="12" customHeight="1">
      <c r="A57" s="38"/>
      <c r="B57" s="38"/>
      <c r="C57" s="38"/>
    </row>
    <row r="58" spans="1:9" ht="12" customHeight="1">
      <c r="B58" s="38"/>
      <c r="C58" s="38"/>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sheetPr codeName="Sheet5">
    <pageSetUpPr fitToPage="1"/>
  </sheetPr>
  <dimension ref="A1:H57"/>
  <sheetViews>
    <sheetView showGridLines="0" showZeros="0" workbookViewId="0"/>
  </sheetViews>
  <sheetFormatPr defaultColWidth="16.83203125" defaultRowHeight="12"/>
  <cols>
    <col min="1" max="1" width="32.83203125" style="2" customWidth="1"/>
    <col min="2" max="6" width="16.83203125" style="2" customWidth="1"/>
    <col min="7" max="16384" width="16.83203125" style="2"/>
  </cols>
  <sheetData>
    <row r="1" spans="1:7" ht="6.95" customHeight="1">
      <c r="A1" s="7"/>
      <c r="B1" s="8"/>
      <c r="C1" s="8"/>
      <c r="D1" s="8"/>
      <c r="E1" s="8"/>
      <c r="F1" s="8"/>
      <c r="G1" s="8"/>
    </row>
    <row r="2" spans="1:7" ht="15.95" customHeight="1">
      <c r="A2" s="63"/>
      <c r="B2" s="72" t="s">
        <v>86</v>
      </c>
      <c r="C2" s="10"/>
      <c r="D2" s="10"/>
      <c r="E2" s="10"/>
      <c r="F2" s="73"/>
      <c r="G2" s="73"/>
    </row>
    <row r="3" spans="1:7" ht="15.95" customHeight="1">
      <c r="A3" s="544"/>
      <c r="B3" s="74" t="s">
        <v>227</v>
      </c>
      <c r="C3" s="12"/>
      <c r="D3" s="12"/>
      <c r="E3" s="12"/>
      <c r="F3" s="75"/>
      <c r="G3" s="75"/>
    </row>
    <row r="4" spans="1:7" ht="15.95" customHeight="1">
      <c r="B4" s="8"/>
      <c r="C4" s="8"/>
      <c r="D4" s="8"/>
      <c r="E4" s="8"/>
      <c r="F4" s="8"/>
      <c r="G4" s="8"/>
    </row>
    <row r="5" spans="1:7" ht="15.95" customHeight="1"/>
    <row r="6" spans="1:7" ht="15.95" customHeight="1">
      <c r="B6" s="530" t="s">
        <v>238</v>
      </c>
      <c r="C6" s="531"/>
      <c r="D6" s="532"/>
      <c r="E6" s="533" t="s">
        <v>239</v>
      </c>
      <c r="F6" s="533" t="s">
        <v>240</v>
      </c>
      <c r="G6" s="534" t="s">
        <v>240</v>
      </c>
    </row>
    <row r="7" spans="1:7" ht="15.95" customHeight="1">
      <c r="B7" s="624" t="s">
        <v>622</v>
      </c>
      <c r="C7" s="625"/>
      <c r="D7" s="626"/>
      <c r="E7" s="395" t="s">
        <v>622</v>
      </c>
      <c r="F7" s="453" t="s">
        <v>401</v>
      </c>
      <c r="G7" s="453" t="s">
        <v>391</v>
      </c>
    </row>
    <row r="8" spans="1:7" ht="15.95" customHeight="1">
      <c r="A8" s="404"/>
      <c r="B8" s="594" t="s">
        <v>460</v>
      </c>
      <c r="C8" s="617" t="s">
        <v>461</v>
      </c>
      <c r="D8" s="617" t="s">
        <v>462</v>
      </c>
      <c r="E8" s="618" t="s">
        <v>457</v>
      </c>
      <c r="F8" s="618" t="s">
        <v>462</v>
      </c>
      <c r="G8" s="622" t="s">
        <v>462</v>
      </c>
    </row>
    <row r="9" spans="1:7" ht="15.95" customHeight="1">
      <c r="A9" s="405" t="s">
        <v>42</v>
      </c>
      <c r="B9" s="627"/>
      <c r="C9" s="628"/>
      <c r="D9" s="628"/>
      <c r="E9" s="621"/>
      <c r="F9" s="621"/>
      <c r="G9" s="623"/>
    </row>
    <row r="10" spans="1:7" ht="5.0999999999999996" customHeight="1">
      <c r="A10" s="6"/>
    </row>
    <row r="11" spans="1:7" ht="14.1" customHeight="1">
      <c r="A11" s="285" t="s">
        <v>110</v>
      </c>
      <c r="B11" s="286">
        <v>1756</v>
      </c>
      <c r="C11" s="286">
        <v>0</v>
      </c>
      <c r="D11" s="286">
        <f>+B11-C11</f>
        <v>1756</v>
      </c>
      <c r="E11" s="292">
        <f>'- 7 -'!E11</f>
        <v>1676</v>
      </c>
      <c r="F11" s="292">
        <v>1590</v>
      </c>
      <c r="G11" s="292">
        <v>1478</v>
      </c>
    </row>
    <row r="12" spans="1:7" ht="14.1" customHeight="1">
      <c r="A12" s="19" t="s">
        <v>111</v>
      </c>
      <c r="B12" s="20">
        <v>2191</v>
      </c>
      <c r="C12" s="20">
        <v>0</v>
      </c>
      <c r="D12" s="20">
        <f t="shared" ref="D12:D46" si="0">+B12-C12</f>
        <v>2191</v>
      </c>
      <c r="E12" s="70">
        <f>'- 7 -'!E12</f>
        <v>2124.9</v>
      </c>
      <c r="F12" s="70">
        <v>2004.7</v>
      </c>
      <c r="G12" s="70">
        <v>2065.2999999999997</v>
      </c>
    </row>
    <row r="13" spans="1:7" ht="14.1" customHeight="1">
      <c r="A13" s="285" t="s">
        <v>112</v>
      </c>
      <c r="B13" s="286">
        <v>8562</v>
      </c>
      <c r="C13" s="286">
        <v>0</v>
      </c>
      <c r="D13" s="286">
        <f t="shared" si="0"/>
        <v>8562</v>
      </c>
      <c r="E13" s="292">
        <f>'- 7 -'!E13</f>
        <v>8250</v>
      </c>
      <c r="F13" s="292">
        <v>8000.3</v>
      </c>
      <c r="G13" s="292">
        <v>7928.6</v>
      </c>
    </row>
    <row r="14" spans="1:7" ht="14.1" customHeight="1">
      <c r="A14" s="19" t="s">
        <v>359</v>
      </c>
      <c r="B14" s="20">
        <v>5375</v>
      </c>
      <c r="C14" s="20">
        <v>28</v>
      </c>
      <c r="D14" s="20">
        <f t="shared" si="0"/>
        <v>5347</v>
      </c>
      <c r="E14" s="70">
        <f>'- 7 -'!E14</f>
        <v>5343</v>
      </c>
      <c r="F14" s="70">
        <v>5002.5</v>
      </c>
      <c r="G14" s="70">
        <v>4943.8</v>
      </c>
    </row>
    <row r="15" spans="1:7" ht="14.1" customHeight="1">
      <c r="A15" s="285" t="s">
        <v>113</v>
      </c>
      <c r="B15" s="286">
        <v>1453</v>
      </c>
      <c r="C15" s="286">
        <v>0</v>
      </c>
      <c r="D15" s="286">
        <f t="shared" si="0"/>
        <v>1453</v>
      </c>
      <c r="E15" s="292">
        <f>'- 7 -'!E15</f>
        <v>1410</v>
      </c>
      <c r="F15" s="292">
        <v>1434.3</v>
      </c>
      <c r="G15" s="292">
        <v>1483</v>
      </c>
    </row>
    <row r="16" spans="1:7" ht="14.1" customHeight="1">
      <c r="A16" s="19" t="s">
        <v>114</v>
      </c>
      <c r="B16" s="20">
        <v>995</v>
      </c>
      <c r="C16" s="20">
        <v>0</v>
      </c>
      <c r="D16" s="20">
        <f t="shared" si="0"/>
        <v>995</v>
      </c>
      <c r="E16" s="70">
        <f>'- 7 -'!E16</f>
        <v>932.5</v>
      </c>
      <c r="F16" s="70">
        <v>896.4</v>
      </c>
      <c r="G16" s="70">
        <v>933.4</v>
      </c>
    </row>
    <row r="17" spans="1:7" ht="14.1" customHeight="1">
      <c r="A17" s="285" t="s">
        <v>115</v>
      </c>
      <c r="B17" s="286">
        <v>1405</v>
      </c>
      <c r="C17" s="286">
        <v>0</v>
      </c>
      <c r="D17" s="286">
        <f t="shared" si="0"/>
        <v>1405</v>
      </c>
      <c r="E17" s="292">
        <f>'- 7 -'!E17</f>
        <v>1342.0142857142857</v>
      </c>
      <c r="F17" s="292">
        <v>1266.8</v>
      </c>
      <c r="G17" s="292">
        <v>1265.3</v>
      </c>
    </row>
    <row r="18" spans="1:7" ht="14.1" customHeight="1">
      <c r="A18" s="19" t="s">
        <v>116</v>
      </c>
      <c r="B18" s="20">
        <v>6777</v>
      </c>
      <c r="C18" s="20">
        <v>434</v>
      </c>
      <c r="D18" s="20">
        <f t="shared" si="0"/>
        <v>6343</v>
      </c>
      <c r="E18" s="70">
        <f>'- 7 -'!E18</f>
        <v>6183</v>
      </c>
      <c r="F18" s="70">
        <v>2373.3000000000002</v>
      </c>
      <c r="G18" s="70">
        <v>2352.4</v>
      </c>
    </row>
    <row r="19" spans="1:7" ht="14.1" customHeight="1">
      <c r="A19" s="285" t="s">
        <v>117</v>
      </c>
      <c r="B19" s="286">
        <v>4374</v>
      </c>
      <c r="C19" s="286">
        <v>0</v>
      </c>
      <c r="D19" s="286">
        <f t="shared" si="0"/>
        <v>4374</v>
      </c>
      <c r="E19" s="292">
        <f>'- 7 -'!E19</f>
        <v>4234.7</v>
      </c>
      <c r="F19" s="292">
        <v>4174.3</v>
      </c>
      <c r="G19" s="292">
        <v>4155.6000000000004</v>
      </c>
    </row>
    <row r="20" spans="1:7" ht="14.1" customHeight="1">
      <c r="A20" s="19" t="s">
        <v>118</v>
      </c>
      <c r="B20" s="20">
        <v>7892</v>
      </c>
      <c r="C20" s="20">
        <v>0</v>
      </c>
      <c r="D20" s="20">
        <f t="shared" si="0"/>
        <v>7892</v>
      </c>
      <c r="E20" s="70">
        <f>'- 7 -'!E20</f>
        <v>7565.45</v>
      </c>
      <c r="F20" s="70">
        <v>7368.1</v>
      </c>
      <c r="G20" s="70">
        <v>7371</v>
      </c>
    </row>
    <row r="21" spans="1:7" ht="14.1" customHeight="1">
      <c r="A21" s="285" t="s">
        <v>119</v>
      </c>
      <c r="B21" s="286">
        <v>2806</v>
      </c>
      <c r="C21" s="286">
        <v>0</v>
      </c>
      <c r="D21" s="286">
        <f t="shared" si="0"/>
        <v>2806</v>
      </c>
      <c r="E21" s="292">
        <f>'- 7 -'!E21</f>
        <v>2686.1</v>
      </c>
      <c r="F21" s="292">
        <v>2677</v>
      </c>
      <c r="G21" s="292">
        <v>2699.6</v>
      </c>
    </row>
    <row r="22" spans="1:7" ht="14.1" customHeight="1">
      <c r="A22" s="19" t="s">
        <v>120</v>
      </c>
      <c r="B22" s="20">
        <v>1590</v>
      </c>
      <c r="C22" s="20">
        <v>0</v>
      </c>
      <c r="D22" s="20">
        <f t="shared" si="0"/>
        <v>1590</v>
      </c>
      <c r="E22" s="70">
        <f>'- 7 -'!E22</f>
        <v>1531.9</v>
      </c>
      <c r="F22" s="70">
        <v>1531.9</v>
      </c>
      <c r="G22" s="70">
        <v>1568.2</v>
      </c>
    </row>
    <row r="23" spans="1:7" ht="14.1" customHeight="1">
      <c r="A23" s="285" t="s">
        <v>121</v>
      </c>
      <c r="B23" s="286">
        <v>1149</v>
      </c>
      <c r="C23" s="286">
        <v>0</v>
      </c>
      <c r="D23" s="286">
        <f t="shared" si="0"/>
        <v>1149</v>
      </c>
      <c r="E23" s="292">
        <f>'- 7 -'!E23</f>
        <v>1110.5</v>
      </c>
      <c r="F23" s="292">
        <v>1015.1</v>
      </c>
      <c r="G23" s="292">
        <v>1056.6000000000001</v>
      </c>
    </row>
    <row r="24" spans="1:7" ht="14.1" customHeight="1">
      <c r="A24" s="19" t="s">
        <v>122</v>
      </c>
      <c r="B24" s="20">
        <v>4121</v>
      </c>
      <c r="C24" s="20">
        <v>0</v>
      </c>
      <c r="D24" s="20">
        <f t="shared" si="0"/>
        <v>4121</v>
      </c>
      <c r="E24" s="70">
        <f>'- 7 -'!E24</f>
        <v>3991.5</v>
      </c>
      <c r="F24" s="70">
        <v>3971.2</v>
      </c>
      <c r="G24" s="70">
        <v>4050.9</v>
      </c>
    </row>
    <row r="25" spans="1:7" ht="14.1" customHeight="1">
      <c r="A25" s="285" t="s">
        <v>123</v>
      </c>
      <c r="B25" s="286">
        <v>14734</v>
      </c>
      <c r="C25" s="286">
        <v>0</v>
      </c>
      <c r="D25" s="286">
        <f t="shared" si="0"/>
        <v>14734</v>
      </c>
      <c r="E25" s="292">
        <f>'- 7 -'!E25</f>
        <v>14156.600000000002</v>
      </c>
      <c r="F25" s="292">
        <v>13644</v>
      </c>
      <c r="G25" s="292">
        <v>13552.5</v>
      </c>
    </row>
    <row r="26" spans="1:7" ht="14.1" customHeight="1">
      <c r="A26" s="19" t="s">
        <v>124</v>
      </c>
      <c r="B26" s="20">
        <v>3175</v>
      </c>
      <c r="C26" s="20">
        <v>0</v>
      </c>
      <c r="D26" s="20">
        <f t="shared" si="0"/>
        <v>3175</v>
      </c>
      <c r="E26" s="70">
        <f>'- 7 -'!E26</f>
        <v>3076</v>
      </c>
      <c r="F26" s="70">
        <v>2923.6</v>
      </c>
      <c r="G26" s="70">
        <v>2964</v>
      </c>
    </row>
    <row r="27" spans="1:7" ht="14.1" customHeight="1">
      <c r="A27" s="285" t="s">
        <v>125</v>
      </c>
      <c r="B27" s="286">
        <v>3034</v>
      </c>
      <c r="C27" s="286">
        <v>0</v>
      </c>
      <c r="D27" s="286">
        <f t="shared" si="0"/>
        <v>3034</v>
      </c>
      <c r="E27" s="292">
        <f>'- 7 -'!E27</f>
        <v>2905.21</v>
      </c>
      <c r="F27" s="292">
        <v>2786.5</v>
      </c>
      <c r="G27" s="292">
        <v>2723.2</v>
      </c>
    </row>
    <row r="28" spans="1:7" ht="14.1" customHeight="1">
      <c r="A28" s="19" t="s">
        <v>126</v>
      </c>
      <c r="B28" s="20">
        <v>2117</v>
      </c>
      <c r="C28" s="20">
        <v>39</v>
      </c>
      <c r="D28" s="20">
        <f t="shared" si="0"/>
        <v>2078</v>
      </c>
      <c r="E28" s="70">
        <f>'- 7 -'!E28</f>
        <v>1989.5</v>
      </c>
      <c r="F28" s="70">
        <v>1509</v>
      </c>
      <c r="G28" s="70">
        <v>1517.6</v>
      </c>
    </row>
    <row r="29" spans="1:7" ht="14.1" customHeight="1">
      <c r="A29" s="285" t="s">
        <v>127</v>
      </c>
      <c r="B29" s="286">
        <v>13187</v>
      </c>
      <c r="C29" s="286">
        <v>0</v>
      </c>
      <c r="D29" s="286">
        <f t="shared" si="0"/>
        <v>13187</v>
      </c>
      <c r="E29" s="292">
        <f>'- 7 -'!E29</f>
        <v>12693.3</v>
      </c>
      <c r="F29" s="292">
        <v>12290.7</v>
      </c>
      <c r="G29" s="292">
        <v>12077.7</v>
      </c>
    </row>
    <row r="30" spans="1:7" ht="14.1" customHeight="1">
      <c r="A30" s="19" t="s">
        <v>128</v>
      </c>
      <c r="B30" s="20">
        <v>1036</v>
      </c>
      <c r="C30" s="20">
        <v>0</v>
      </c>
      <c r="D30" s="20">
        <f t="shared" si="0"/>
        <v>1036</v>
      </c>
      <c r="E30" s="70">
        <f>'- 7 -'!E30</f>
        <v>1004</v>
      </c>
      <c r="F30" s="70">
        <v>1043.5</v>
      </c>
      <c r="G30" s="70">
        <v>1057.5</v>
      </c>
    </row>
    <row r="31" spans="1:7" ht="14.1" customHeight="1">
      <c r="A31" s="285" t="s">
        <v>129</v>
      </c>
      <c r="B31" s="286">
        <v>3390</v>
      </c>
      <c r="C31" s="286">
        <v>0</v>
      </c>
      <c r="D31" s="286">
        <f t="shared" si="0"/>
        <v>3390</v>
      </c>
      <c r="E31" s="292">
        <f>'- 7 -'!E31</f>
        <v>3268.5</v>
      </c>
      <c r="F31" s="292">
        <v>3103.8</v>
      </c>
      <c r="G31" s="292">
        <v>3053.2</v>
      </c>
    </row>
    <row r="32" spans="1:7" ht="14.1" customHeight="1">
      <c r="A32" s="19" t="s">
        <v>130</v>
      </c>
      <c r="B32" s="20">
        <v>2218</v>
      </c>
      <c r="C32" s="20">
        <v>0</v>
      </c>
      <c r="D32" s="20">
        <f t="shared" si="0"/>
        <v>2218</v>
      </c>
      <c r="E32" s="70">
        <f>'- 7 -'!E32</f>
        <v>2112.2000000000003</v>
      </c>
      <c r="F32" s="70">
        <v>2085</v>
      </c>
      <c r="G32" s="70">
        <v>2010</v>
      </c>
    </row>
    <row r="33" spans="1:8" ht="14.1" customHeight="1">
      <c r="A33" s="285" t="s">
        <v>131</v>
      </c>
      <c r="B33" s="286">
        <v>2120</v>
      </c>
      <c r="C33" s="286">
        <v>0</v>
      </c>
      <c r="D33" s="286">
        <f t="shared" si="0"/>
        <v>2120</v>
      </c>
      <c r="E33" s="292">
        <f>'- 7 -'!E33</f>
        <v>2034.1000000000001</v>
      </c>
      <c r="F33" s="292">
        <v>1980.3</v>
      </c>
      <c r="G33" s="292">
        <v>1970.8</v>
      </c>
    </row>
    <row r="34" spans="1:8" ht="14.1" customHeight="1">
      <c r="A34" s="19" t="s">
        <v>132</v>
      </c>
      <c r="B34" s="20">
        <v>2072</v>
      </c>
      <c r="C34" s="20">
        <v>0</v>
      </c>
      <c r="D34" s="20">
        <f t="shared" si="0"/>
        <v>2072</v>
      </c>
      <c r="E34" s="70">
        <f>'- 7 -'!E34</f>
        <v>1981.56</v>
      </c>
      <c r="F34" s="70">
        <v>1995.4</v>
      </c>
      <c r="G34" s="70">
        <v>1972.8</v>
      </c>
    </row>
    <row r="35" spans="1:8" ht="14.1" customHeight="1">
      <c r="A35" s="285" t="s">
        <v>133</v>
      </c>
      <c r="B35" s="286">
        <v>15995</v>
      </c>
      <c r="C35" s="286">
        <v>0</v>
      </c>
      <c r="D35" s="286">
        <f t="shared" si="0"/>
        <v>15995</v>
      </c>
      <c r="E35" s="292">
        <f>'- 7 -'!E35</f>
        <v>15428.5</v>
      </c>
      <c r="F35" s="292">
        <v>15351.6</v>
      </c>
      <c r="G35" s="292">
        <v>15406.800000000001</v>
      </c>
    </row>
    <row r="36" spans="1:8" ht="14.1" customHeight="1">
      <c r="A36" s="19" t="s">
        <v>134</v>
      </c>
      <c r="B36" s="20">
        <v>1701</v>
      </c>
      <c r="C36" s="20">
        <v>0</v>
      </c>
      <c r="D36" s="20">
        <f t="shared" si="0"/>
        <v>1701</v>
      </c>
      <c r="E36" s="70">
        <f>'- 7 -'!E36</f>
        <v>1636.5</v>
      </c>
      <c r="F36" s="70">
        <v>1523.2</v>
      </c>
      <c r="G36" s="70">
        <v>1516.8</v>
      </c>
    </row>
    <row r="37" spans="1:8" ht="14.1" customHeight="1">
      <c r="A37" s="285" t="s">
        <v>135</v>
      </c>
      <c r="B37" s="286">
        <v>4284</v>
      </c>
      <c r="C37" s="286">
        <v>0</v>
      </c>
      <c r="D37" s="286">
        <f t="shared" si="0"/>
        <v>4284</v>
      </c>
      <c r="E37" s="292">
        <f>'- 7 -'!E37</f>
        <v>4103.5</v>
      </c>
      <c r="F37" s="292">
        <v>3948.5</v>
      </c>
      <c r="G37" s="292">
        <v>3904.3</v>
      </c>
    </row>
    <row r="38" spans="1:8" ht="14.1" customHeight="1">
      <c r="A38" s="19" t="s">
        <v>136</v>
      </c>
      <c r="B38" s="20">
        <v>11250</v>
      </c>
      <c r="C38" s="20">
        <v>0</v>
      </c>
      <c r="D38" s="20">
        <f t="shared" si="0"/>
        <v>11250</v>
      </c>
      <c r="E38" s="70">
        <f>'- 7 -'!E38</f>
        <v>10799.300000000001</v>
      </c>
      <c r="F38" s="70">
        <v>10433.200000000001</v>
      </c>
      <c r="G38" s="70">
        <v>10360.9</v>
      </c>
    </row>
    <row r="39" spans="1:8" ht="14.1" customHeight="1">
      <c r="A39" s="285" t="s">
        <v>137</v>
      </c>
      <c r="B39" s="286">
        <v>1609</v>
      </c>
      <c r="C39" s="286">
        <v>0</v>
      </c>
      <c r="D39" s="286">
        <f t="shared" si="0"/>
        <v>1609</v>
      </c>
      <c r="E39" s="292">
        <f>'- 7 -'!E39</f>
        <v>1584.9</v>
      </c>
      <c r="F39" s="292">
        <v>1541.2</v>
      </c>
      <c r="G39" s="292">
        <v>1553.5</v>
      </c>
    </row>
    <row r="40" spans="1:8" ht="14.1" customHeight="1">
      <c r="A40" s="19" t="s">
        <v>138</v>
      </c>
      <c r="B40" s="20">
        <v>8251</v>
      </c>
      <c r="C40" s="20">
        <v>0</v>
      </c>
      <c r="D40" s="20">
        <f t="shared" si="0"/>
        <v>8251</v>
      </c>
      <c r="E40" s="70">
        <f>'- 7 -'!E40</f>
        <v>7958.9000000000005</v>
      </c>
      <c r="F40" s="70">
        <v>7799.8</v>
      </c>
      <c r="G40" s="70">
        <v>7865.9</v>
      </c>
    </row>
    <row r="41" spans="1:8" ht="14.1" customHeight="1">
      <c r="A41" s="285" t="s">
        <v>139</v>
      </c>
      <c r="B41" s="286">
        <v>4560</v>
      </c>
      <c r="C41" s="286">
        <v>0</v>
      </c>
      <c r="D41" s="286">
        <f t="shared" si="0"/>
        <v>4560</v>
      </c>
      <c r="E41" s="292">
        <f>'- 7 -'!E41</f>
        <v>4386</v>
      </c>
      <c r="F41" s="292">
        <v>4303.2</v>
      </c>
      <c r="G41" s="292">
        <v>4335.8</v>
      </c>
    </row>
    <row r="42" spans="1:8" ht="14.1" customHeight="1">
      <c r="A42" s="19" t="s">
        <v>140</v>
      </c>
      <c r="B42" s="20">
        <v>1484</v>
      </c>
      <c r="C42" s="20">
        <v>50</v>
      </c>
      <c r="D42" s="20">
        <f t="shared" si="0"/>
        <v>1434</v>
      </c>
      <c r="E42" s="70">
        <f>'- 7 -'!E42</f>
        <v>1384.1999999999998</v>
      </c>
      <c r="F42" s="70">
        <v>1371.6000000000001</v>
      </c>
      <c r="G42" s="70">
        <v>1407.3</v>
      </c>
    </row>
    <row r="43" spans="1:8" ht="14.1" customHeight="1">
      <c r="A43" s="285" t="s">
        <v>141</v>
      </c>
      <c r="B43" s="286">
        <v>986</v>
      </c>
      <c r="C43" s="286">
        <v>0</v>
      </c>
      <c r="D43" s="286">
        <f t="shared" si="0"/>
        <v>986</v>
      </c>
      <c r="E43" s="292">
        <f>'- 7 -'!E43</f>
        <v>946.69999999999993</v>
      </c>
      <c r="F43" s="292">
        <v>960.2</v>
      </c>
      <c r="G43" s="292">
        <v>978.8</v>
      </c>
    </row>
    <row r="44" spans="1:8" ht="14.1" customHeight="1">
      <c r="A44" s="19" t="s">
        <v>142</v>
      </c>
      <c r="B44" s="20">
        <v>704</v>
      </c>
      <c r="C44" s="20">
        <v>0</v>
      </c>
      <c r="D44" s="20">
        <f t="shared" si="0"/>
        <v>704</v>
      </c>
      <c r="E44" s="70">
        <f>'- 7 -'!E44</f>
        <v>681</v>
      </c>
      <c r="F44" s="70">
        <v>697.7</v>
      </c>
      <c r="G44" s="70">
        <v>702.5</v>
      </c>
    </row>
    <row r="45" spans="1:8" ht="14.1" customHeight="1">
      <c r="A45" s="285" t="s">
        <v>143</v>
      </c>
      <c r="B45" s="286">
        <v>1737</v>
      </c>
      <c r="C45" s="286">
        <v>0</v>
      </c>
      <c r="D45" s="286">
        <f t="shared" si="0"/>
        <v>1737</v>
      </c>
      <c r="E45" s="292">
        <f>'- 7 -'!E45</f>
        <v>1660</v>
      </c>
      <c r="F45" s="292">
        <v>1594</v>
      </c>
      <c r="G45" s="292">
        <v>1610.3</v>
      </c>
    </row>
    <row r="46" spans="1:8" ht="14.1" customHeight="1">
      <c r="A46" s="19" t="s">
        <v>144</v>
      </c>
      <c r="B46" s="20">
        <v>33040</v>
      </c>
      <c r="C46" s="20">
        <v>1731</v>
      </c>
      <c r="D46" s="20">
        <f t="shared" si="0"/>
        <v>31309</v>
      </c>
      <c r="E46" s="70">
        <f>'- 7 -'!E46</f>
        <v>29835</v>
      </c>
      <c r="F46" s="70">
        <v>29575.3</v>
      </c>
      <c r="G46" s="70">
        <v>29512.5</v>
      </c>
    </row>
    <row r="47" spans="1:8" ht="5.0999999999999996" customHeight="1">
      <c r="A47"/>
      <c r="B47"/>
      <c r="C47"/>
      <c r="D47"/>
      <c r="E47"/>
      <c r="F47"/>
      <c r="G47"/>
      <c r="H47"/>
    </row>
    <row r="48" spans="1:8" ht="14.1" customHeight="1">
      <c r="A48" s="287" t="s">
        <v>145</v>
      </c>
      <c r="B48" s="288">
        <f t="shared" ref="B48:F48" si="1">SUM(B11:B46)</f>
        <v>183130</v>
      </c>
      <c r="C48" s="288">
        <f t="shared" si="1"/>
        <v>2282</v>
      </c>
      <c r="D48" s="288">
        <f t="shared" si="1"/>
        <v>180848</v>
      </c>
      <c r="E48" s="295">
        <f t="shared" si="1"/>
        <v>174007.03428571433</v>
      </c>
      <c r="F48" s="295">
        <f t="shared" si="1"/>
        <v>165767.20000000001</v>
      </c>
      <c r="G48" s="295">
        <v>165406.39999999997</v>
      </c>
      <c r="H48" s="503"/>
    </row>
    <row r="49" spans="1:7" ht="5.0999999999999996" customHeight="1">
      <c r="A49" s="21" t="s">
        <v>7</v>
      </c>
      <c r="B49" s="22"/>
      <c r="C49" s="22"/>
      <c r="D49" s="22"/>
      <c r="E49" s="71"/>
      <c r="F49" s="71"/>
      <c r="G49" s="71"/>
    </row>
    <row r="50" spans="1:7" ht="14.1" customHeight="1">
      <c r="A50" s="285" t="s">
        <v>146</v>
      </c>
      <c r="B50" s="286">
        <v>174</v>
      </c>
      <c r="C50" s="286">
        <v>0</v>
      </c>
      <c r="D50" s="286">
        <f>+B50-C50</f>
        <v>174</v>
      </c>
      <c r="E50" s="292">
        <f>'- 7 -'!E50</f>
        <v>171</v>
      </c>
      <c r="F50" s="292">
        <v>164.4</v>
      </c>
      <c r="G50" s="292">
        <v>174.5</v>
      </c>
    </row>
    <row r="51" spans="1:7" ht="14.1" customHeight="1">
      <c r="A51" s="19" t="s">
        <v>612</v>
      </c>
      <c r="B51" s="20"/>
      <c r="C51" s="20"/>
      <c r="D51" s="20">
        <f>+B51-C51</f>
        <v>0</v>
      </c>
      <c r="E51" s="70">
        <f>'- 7 -'!E51</f>
        <v>1016</v>
      </c>
      <c r="F51" s="70"/>
      <c r="G51" s="70"/>
    </row>
    <row r="52" spans="1:7" ht="50.1" customHeight="1">
      <c r="A52" s="23"/>
      <c r="B52" s="23"/>
      <c r="C52" s="23"/>
      <c r="D52" s="23"/>
      <c r="E52" s="23"/>
      <c r="F52" s="79"/>
      <c r="G52" s="79"/>
    </row>
    <row r="53" spans="1:7" ht="15" customHeight="1">
      <c r="A53" s="2" t="s">
        <v>241</v>
      </c>
      <c r="C53" s="80"/>
      <c r="D53" s="80"/>
      <c r="E53" s="80"/>
      <c r="F53" s="80"/>
    </row>
    <row r="54" spans="1:7" ht="12" customHeight="1">
      <c r="A54" s="620" t="s">
        <v>463</v>
      </c>
      <c r="B54" s="620"/>
      <c r="C54" s="620"/>
      <c r="D54" s="620"/>
      <c r="E54" s="620"/>
      <c r="F54" s="620"/>
      <c r="G54" s="620"/>
    </row>
    <row r="55" spans="1:7" ht="12" customHeight="1">
      <c r="A55" s="620"/>
      <c r="B55" s="620"/>
      <c r="C55" s="620"/>
      <c r="D55" s="620"/>
      <c r="E55" s="620"/>
      <c r="F55" s="620"/>
      <c r="G55" s="620"/>
    </row>
    <row r="56" spans="1:7" ht="12" customHeight="1">
      <c r="A56" s="593" t="s">
        <v>635</v>
      </c>
      <c r="B56" s="593"/>
      <c r="C56" s="593"/>
      <c r="D56" s="593"/>
      <c r="E56" s="593"/>
      <c r="F56" s="593"/>
      <c r="G56" s="593"/>
    </row>
    <row r="57" spans="1:7">
      <c r="A57" s="593"/>
      <c r="B57" s="593"/>
      <c r="C57" s="593"/>
      <c r="D57" s="593"/>
      <c r="E57" s="593"/>
      <c r="F57" s="593"/>
      <c r="G57" s="593"/>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sheetPr transitionEvaluation="1" codeName="Sheet49"/>
  <dimension ref="A1:AD91"/>
  <sheetViews>
    <sheetView showGridLines="0" defaultGridColor="0" colorId="22" workbookViewId="0">
      <pane xSplit="1" ySplit="10" topLeftCell="B11" activePane="bottomRight" state="frozen"/>
      <selection activeCell="A3" sqref="A3"/>
      <selection pane="topRight" activeCell="A3" sqref="A3"/>
      <selection pane="bottomLeft" activeCell="A3" sqref="A3"/>
      <selection pane="bottomRight"/>
    </sheetView>
  </sheetViews>
  <sheetFormatPr defaultColWidth="15.83203125" defaultRowHeight="12"/>
  <cols>
    <col min="1" max="1" width="5.83203125" style="2" customWidth="1"/>
    <col min="2" max="2" width="30.83203125" style="2" customWidth="1"/>
    <col min="3" max="15" width="15.83203125" style="2" customWidth="1"/>
    <col min="16" max="16" width="9.1640625" style="2" customWidth="1"/>
    <col min="17" max="18" width="15.83203125" style="2" customWidth="1"/>
    <col min="19" max="19" width="17.1640625" style="2" bestFit="1" customWidth="1"/>
    <col min="20" max="21" width="15.83203125" style="2" customWidth="1"/>
    <col min="22" max="22" width="3.5" style="2" customWidth="1"/>
    <col min="23" max="23" width="15.83203125" style="2"/>
    <col min="24" max="24" width="1.83203125" style="2" customWidth="1"/>
    <col min="25" max="25" width="21.33203125" style="2" bestFit="1" customWidth="1"/>
    <col min="26" max="26" width="14.1640625" style="2" bestFit="1" customWidth="1"/>
    <col min="27" max="27" width="2.1640625" style="2" customWidth="1"/>
    <col min="28" max="28" width="23.6640625" style="2" bestFit="1" customWidth="1"/>
    <col min="29" max="16384" width="15.83203125" style="2"/>
  </cols>
  <sheetData>
    <row r="1" spans="1:29" ht="6" customHeight="1">
      <c r="A1" s="7"/>
      <c r="B1" s="205"/>
      <c r="C1" s="205"/>
      <c r="D1" s="205"/>
      <c r="E1" s="205"/>
      <c r="F1" s="205"/>
      <c r="G1" s="205"/>
      <c r="H1" s="205"/>
      <c r="I1" s="205"/>
      <c r="J1" s="205"/>
      <c r="K1" s="205"/>
      <c r="L1" s="205"/>
      <c r="M1" s="205"/>
      <c r="N1" s="205"/>
      <c r="O1" s="205"/>
      <c r="P1" s="205"/>
      <c r="Q1" s="205"/>
      <c r="R1" s="205"/>
      <c r="S1" s="205"/>
      <c r="T1" s="205"/>
      <c r="U1" s="205"/>
    </row>
    <row r="2" spans="1:29">
      <c r="A2" s="205"/>
      <c r="B2" s="184"/>
      <c r="C2" s="184"/>
      <c r="D2" s="184"/>
      <c r="E2" s="184"/>
      <c r="F2" s="184"/>
      <c r="G2" s="184"/>
      <c r="H2" s="184"/>
      <c r="I2" s="184"/>
      <c r="J2" s="184"/>
      <c r="K2" s="184"/>
      <c r="L2" s="184"/>
      <c r="M2" s="184"/>
      <c r="N2" s="184"/>
      <c r="O2" s="184"/>
      <c r="P2" s="184"/>
      <c r="Q2" s="184"/>
      <c r="R2" s="184"/>
      <c r="S2" s="184"/>
      <c r="T2" s="184"/>
      <c r="U2" s="184"/>
    </row>
    <row r="3" spans="1:29">
      <c r="A3" s="270" t="s">
        <v>49</v>
      </c>
      <c r="B3" s="2" t="s">
        <v>84</v>
      </c>
      <c r="C3" s="205"/>
      <c r="D3" s="205"/>
      <c r="E3" s="205"/>
      <c r="F3" s="205"/>
      <c r="G3" s="205"/>
      <c r="H3" s="205"/>
      <c r="I3" s="205"/>
      <c r="J3" s="205"/>
      <c r="K3" s="205"/>
      <c r="L3" s="205"/>
      <c r="M3" s="205"/>
      <c r="N3" s="205"/>
      <c r="O3" s="205"/>
      <c r="P3" s="205"/>
      <c r="Q3" s="205"/>
      <c r="R3" s="205"/>
      <c r="S3" s="205"/>
      <c r="T3" s="205"/>
      <c r="U3" s="205"/>
    </row>
    <row r="4" spans="1:29">
      <c r="A4" s="2" t="s">
        <v>333</v>
      </c>
      <c r="B4" s="276" t="s">
        <v>399</v>
      </c>
      <c r="C4" s="184"/>
      <c r="D4" s="184"/>
      <c r="E4" s="184"/>
      <c r="F4" s="184"/>
      <c r="G4" s="184"/>
      <c r="H4" s="184"/>
      <c r="I4" s="184"/>
      <c r="J4" s="184"/>
      <c r="K4" s="184"/>
      <c r="L4" s="184"/>
      <c r="M4" s="184"/>
      <c r="N4" s="184"/>
      <c r="O4" s="184"/>
      <c r="P4" s="184"/>
      <c r="Q4" s="184"/>
      <c r="R4" s="184"/>
      <c r="S4" s="184"/>
      <c r="T4" s="184"/>
      <c r="U4" s="184"/>
      <c r="W4" s="133" t="s">
        <v>633</v>
      </c>
    </row>
    <row r="5" spans="1:29">
      <c r="A5" s="2" t="s">
        <v>332</v>
      </c>
      <c r="B5" s="276" t="s">
        <v>620</v>
      </c>
      <c r="C5" s="271" t="s">
        <v>33</v>
      </c>
      <c r="D5" s="272"/>
      <c r="E5" s="272"/>
      <c r="F5" s="272"/>
      <c r="G5" s="272"/>
      <c r="H5" s="272"/>
      <c r="I5" s="272"/>
      <c r="J5" s="272"/>
      <c r="K5" s="272"/>
      <c r="L5" s="272"/>
      <c r="M5" s="273"/>
      <c r="N5" s="184"/>
      <c r="O5" s="184"/>
      <c r="P5" s="184"/>
      <c r="Q5" s="184"/>
      <c r="R5" s="184"/>
      <c r="S5" s="184"/>
      <c r="T5" s="184"/>
      <c r="U5" s="184"/>
      <c r="W5" s="2" t="s">
        <v>374</v>
      </c>
    </row>
    <row r="6" spans="1:29">
      <c r="A6" s="2" t="s">
        <v>4</v>
      </c>
      <c r="B6" s="490">
        <v>2015</v>
      </c>
      <c r="N6" s="873" t="s">
        <v>639</v>
      </c>
      <c r="O6" s="581"/>
      <c r="W6" s="133" t="s">
        <v>632</v>
      </c>
      <c r="AB6" s="2" t="s">
        <v>383</v>
      </c>
    </row>
    <row r="7" spans="1:29">
      <c r="A7" s="2" t="s">
        <v>5</v>
      </c>
      <c r="B7" s="274" t="str">
        <f>TEXT((B6+1),"0")</f>
        <v>2016</v>
      </c>
      <c r="M7" s="4" t="s">
        <v>235</v>
      </c>
      <c r="N7" s="873"/>
      <c r="O7" s="581"/>
      <c r="P7" s="4"/>
      <c r="Q7" s="4" t="s">
        <v>433</v>
      </c>
      <c r="R7" s="4" t="s">
        <v>31</v>
      </c>
      <c r="S7" s="4" t="s">
        <v>438</v>
      </c>
      <c r="T7" s="4"/>
      <c r="U7" s="4"/>
      <c r="W7" s="2" t="s">
        <v>371</v>
      </c>
      <c r="Y7" s="548" t="s">
        <v>634</v>
      </c>
      <c r="AB7" s="4" t="s">
        <v>31</v>
      </c>
    </row>
    <row r="8" spans="1:29">
      <c r="C8" s="275" t="s">
        <v>40</v>
      </c>
      <c r="D8" s="8"/>
      <c r="E8" s="8"/>
      <c r="F8" s="8"/>
      <c r="G8" s="8"/>
      <c r="H8" s="8"/>
      <c r="I8" s="8"/>
      <c r="J8" s="8">
        <v>700</v>
      </c>
      <c r="K8" s="4" t="s">
        <v>31</v>
      </c>
      <c r="L8" s="4" t="s">
        <v>232</v>
      </c>
      <c r="M8" s="4" t="s">
        <v>233</v>
      </c>
      <c r="N8" s="873"/>
      <c r="O8" s="581" t="s">
        <v>640</v>
      </c>
      <c r="P8" s="4" t="s">
        <v>645</v>
      </c>
      <c r="Q8" s="4" t="s">
        <v>434</v>
      </c>
      <c r="R8" s="4" t="s">
        <v>59</v>
      </c>
      <c r="S8" s="4" t="s">
        <v>439</v>
      </c>
      <c r="T8" s="4" t="s">
        <v>438</v>
      </c>
      <c r="U8" s="4"/>
      <c r="W8" s="2" t="s">
        <v>372</v>
      </c>
      <c r="Y8" s="528" t="s">
        <v>329</v>
      </c>
      <c r="Z8" s="2" t="s">
        <v>330</v>
      </c>
      <c r="AB8" s="4" t="s">
        <v>41</v>
      </c>
      <c r="AC8" s="547" t="s">
        <v>41</v>
      </c>
    </row>
    <row r="9" spans="1:29">
      <c r="A9" s="276" t="s">
        <v>149</v>
      </c>
      <c r="B9" s="2" t="s">
        <v>150</v>
      </c>
      <c r="C9" s="2">
        <v>100</v>
      </c>
      <c r="D9" s="2">
        <v>200</v>
      </c>
      <c r="E9" s="2">
        <v>300</v>
      </c>
      <c r="F9" s="2">
        <v>400</v>
      </c>
      <c r="G9" s="2">
        <v>500</v>
      </c>
      <c r="H9" s="2">
        <v>600</v>
      </c>
      <c r="I9" s="2">
        <v>700</v>
      </c>
      <c r="J9" s="4" t="s">
        <v>46</v>
      </c>
      <c r="K9" s="4" t="s">
        <v>47</v>
      </c>
      <c r="L9" s="4" t="s">
        <v>88</v>
      </c>
      <c r="M9" s="4" t="s">
        <v>103</v>
      </c>
      <c r="N9" s="873"/>
      <c r="O9" s="581" t="s">
        <v>641</v>
      </c>
      <c r="P9" s="4" t="s">
        <v>646</v>
      </c>
      <c r="Q9" s="4" t="s">
        <v>435</v>
      </c>
      <c r="R9" s="4" t="s">
        <v>65</v>
      </c>
      <c r="S9" s="4" t="s">
        <v>440</v>
      </c>
      <c r="T9" s="4" t="s">
        <v>441</v>
      </c>
      <c r="U9" s="4" t="s">
        <v>442</v>
      </c>
      <c r="W9" s="2" t="s">
        <v>373</v>
      </c>
      <c r="Y9" s="528" t="s">
        <v>63</v>
      </c>
      <c r="Z9" s="2" t="s">
        <v>63</v>
      </c>
      <c r="AB9" s="416" t="s">
        <v>631</v>
      </c>
      <c r="AC9" s="4" t="s">
        <v>398</v>
      </c>
    </row>
    <row r="10" spans="1:29">
      <c r="C10" s="551" t="s">
        <v>424</v>
      </c>
      <c r="D10" s="551" t="s">
        <v>426</v>
      </c>
      <c r="E10" s="551" t="s">
        <v>427</v>
      </c>
      <c r="F10" s="551" t="s">
        <v>428</v>
      </c>
      <c r="G10" s="551" t="s">
        <v>429</v>
      </c>
      <c r="H10" s="551" t="s">
        <v>430</v>
      </c>
      <c r="I10" s="551" t="s">
        <v>425</v>
      </c>
      <c r="J10" s="551" t="s">
        <v>423</v>
      </c>
      <c r="L10" s="551" t="s">
        <v>431</v>
      </c>
      <c r="M10" s="551" t="s">
        <v>432</v>
      </c>
      <c r="N10" s="551" t="s">
        <v>642</v>
      </c>
      <c r="O10" s="551" t="s">
        <v>641</v>
      </c>
      <c r="P10" s="551"/>
      <c r="Q10" s="551" t="s">
        <v>436</v>
      </c>
      <c r="R10" s="551" t="s">
        <v>437</v>
      </c>
      <c r="S10" s="551" t="s">
        <v>443</v>
      </c>
      <c r="T10" s="551" t="s">
        <v>444</v>
      </c>
      <c r="U10" s="551" t="s">
        <v>445</v>
      </c>
    </row>
    <row r="11" spans="1:29" ht="10.9" customHeight="1">
      <c r="A11" s="274" t="s">
        <v>151</v>
      </c>
      <c r="B11" s="2" t="s">
        <v>110</v>
      </c>
      <c r="C11" s="57">
        <v>43268</v>
      </c>
      <c r="D11" s="57">
        <v>0</v>
      </c>
      <c r="E11" s="57">
        <v>0</v>
      </c>
      <c r="F11" s="57">
        <v>0</v>
      </c>
      <c r="G11" s="57">
        <v>0</v>
      </c>
      <c r="H11" s="57">
        <v>4225</v>
      </c>
      <c r="I11" s="57">
        <v>0</v>
      </c>
      <c r="J11" s="57">
        <v>0</v>
      </c>
      <c r="K11" s="57">
        <f t="shared" ref="K11:K42" si="0">SUM(C11:I11)-J11</f>
        <v>47493</v>
      </c>
      <c r="L11" s="57">
        <v>25358</v>
      </c>
      <c r="M11" s="57">
        <v>0</v>
      </c>
      <c r="N11" s="57">
        <v>0</v>
      </c>
      <c r="O11" s="57">
        <v>0</v>
      </c>
      <c r="P11" s="586">
        <v>4.12</v>
      </c>
      <c r="Q11" s="57">
        <v>0</v>
      </c>
      <c r="R11" s="57">
        <v>2118224</v>
      </c>
      <c r="S11" s="57">
        <v>160590</v>
      </c>
      <c r="T11" s="57">
        <v>258160</v>
      </c>
      <c r="U11" s="57">
        <v>184635</v>
      </c>
      <c r="W11" s="2">
        <v>368964</v>
      </c>
      <c r="Y11" s="2">
        <v>8362700</v>
      </c>
      <c r="Z11" s="2">
        <v>7858369</v>
      </c>
      <c r="AB11" s="2">
        <v>272659</v>
      </c>
    </row>
    <row r="12" spans="1:29" ht="10.9" customHeight="1">
      <c r="A12" s="274" t="s">
        <v>152</v>
      </c>
      <c r="B12" s="2" t="s">
        <v>111</v>
      </c>
      <c r="C12" s="57">
        <v>389116</v>
      </c>
      <c r="D12" s="57">
        <v>0</v>
      </c>
      <c r="E12" s="57">
        <v>-11179</v>
      </c>
      <c r="F12" s="57">
        <v>0</v>
      </c>
      <c r="G12" s="57">
        <v>0</v>
      </c>
      <c r="H12" s="57">
        <v>0</v>
      </c>
      <c r="I12" s="57">
        <v>1827</v>
      </c>
      <c r="J12" s="57">
        <v>0</v>
      </c>
      <c r="K12" s="57">
        <f t="shared" si="0"/>
        <v>379764</v>
      </c>
      <c r="L12" s="57">
        <v>35462</v>
      </c>
      <c r="M12" s="57">
        <v>0</v>
      </c>
      <c r="N12" s="57">
        <v>0</v>
      </c>
      <c r="O12" s="57">
        <v>0</v>
      </c>
      <c r="P12" s="586">
        <v>4.04</v>
      </c>
      <c r="Q12" s="57">
        <v>0</v>
      </c>
      <c r="R12" s="57">
        <v>3077222</v>
      </c>
      <c r="S12" s="57">
        <v>204479</v>
      </c>
      <c r="T12" s="57">
        <v>475752</v>
      </c>
      <c r="U12" s="57">
        <v>307725</v>
      </c>
      <c r="W12" s="2">
        <v>325530</v>
      </c>
      <c r="Y12" s="2">
        <v>14157748</v>
      </c>
      <c r="Z12" s="2">
        <v>11420793</v>
      </c>
      <c r="AB12" s="2">
        <v>390464</v>
      </c>
    </row>
    <row r="13" spans="1:29" ht="10.9" customHeight="1">
      <c r="A13" s="274" t="s">
        <v>153</v>
      </c>
      <c r="B13" s="2" t="s">
        <v>112</v>
      </c>
      <c r="C13" s="57">
        <v>102960</v>
      </c>
      <c r="D13" s="57">
        <v>0</v>
      </c>
      <c r="E13" s="57">
        <v>0</v>
      </c>
      <c r="F13" s="57">
        <v>0</v>
      </c>
      <c r="G13" s="57">
        <v>0</v>
      </c>
      <c r="H13" s="57">
        <v>0</v>
      </c>
      <c r="I13" s="57">
        <v>0</v>
      </c>
      <c r="J13" s="57">
        <v>0</v>
      </c>
      <c r="K13" s="57">
        <f t="shared" si="0"/>
        <v>102960</v>
      </c>
      <c r="L13" s="57">
        <v>65724</v>
      </c>
      <c r="M13" s="57">
        <v>0</v>
      </c>
      <c r="N13" s="57">
        <v>0</v>
      </c>
      <c r="O13" s="57">
        <v>0</v>
      </c>
      <c r="P13" s="586">
        <v>3.5000000000000004</v>
      </c>
      <c r="Q13" s="57">
        <v>0</v>
      </c>
      <c r="R13" s="57">
        <v>7247246</v>
      </c>
      <c r="S13" s="57">
        <v>560020</v>
      </c>
      <c r="T13" s="57">
        <v>1113774</v>
      </c>
      <c r="U13" s="57">
        <v>1372460</v>
      </c>
      <c r="W13" s="2">
        <v>332491</v>
      </c>
      <c r="Y13" s="2">
        <v>43390966</v>
      </c>
      <c r="Z13" s="2">
        <v>41542953</v>
      </c>
      <c r="AB13" s="2">
        <v>1046673</v>
      </c>
    </row>
    <row r="14" spans="1:29" ht="10.9" customHeight="1">
      <c r="A14" s="274" t="s">
        <v>154</v>
      </c>
      <c r="B14" s="2" t="s">
        <v>147</v>
      </c>
      <c r="C14" s="57">
        <v>349843</v>
      </c>
      <c r="D14" s="57">
        <v>0</v>
      </c>
      <c r="E14" s="57">
        <v>0</v>
      </c>
      <c r="F14" s="57">
        <v>0</v>
      </c>
      <c r="G14" s="57">
        <v>0</v>
      </c>
      <c r="H14" s="57">
        <v>6601</v>
      </c>
      <c r="I14" s="57">
        <v>0</v>
      </c>
      <c r="J14" s="57">
        <v>0</v>
      </c>
      <c r="K14" s="57">
        <f t="shared" si="0"/>
        <v>356444</v>
      </c>
      <c r="L14" s="57">
        <v>0</v>
      </c>
      <c r="M14" s="57">
        <v>0</v>
      </c>
      <c r="N14" s="57">
        <v>0</v>
      </c>
      <c r="O14" s="57">
        <v>0</v>
      </c>
      <c r="P14" s="586">
        <v>3.5000000000000004</v>
      </c>
      <c r="Q14" s="57">
        <v>0</v>
      </c>
      <c r="R14" s="57">
        <v>7812587</v>
      </c>
      <c r="S14" s="57">
        <v>423947</v>
      </c>
      <c r="T14" s="57">
        <v>449936</v>
      </c>
      <c r="U14" s="57">
        <v>389785</v>
      </c>
      <c r="W14" s="2">
        <v>389297</v>
      </c>
      <c r="Y14" s="2">
        <v>0</v>
      </c>
      <c r="Z14" s="2">
        <v>0</v>
      </c>
      <c r="AB14" s="2">
        <v>953390</v>
      </c>
    </row>
    <row r="15" spans="1:29" ht="10.9" customHeight="1">
      <c r="A15" s="274" t="s">
        <v>155</v>
      </c>
      <c r="B15" s="2" t="s">
        <v>113</v>
      </c>
      <c r="C15" s="57">
        <v>72522</v>
      </c>
      <c r="D15" s="57">
        <v>0</v>
      </c>
      <c r="E15" s="57">
        <v>0</v>
      </c>
      <c r="F15" s="57">
        <v>0</v>
      </c>
      <c r="G15" s="57">
        <v>3900</v>
      </c>
      <c r="H15" s="57">
        <v>6650</v>
      </c>
      <c r="I15" s="57">
        <v>0</v>
      </c>
      <c r="J15" s="57">
        <v>0</v>
      </c>
      <c r="K15" s="57">
        <f t="shared" si="0"/>
        <v>83072</v>
      </c>
      <c r="L15" s="57">
        <v>25463</v>
      </c>
      <c r="M15" s="57">
        <v>0</v>
      </c>
      <c r="N15" s="57">
        <v>0</v>
      </c>
      <c r="O15" s="57">
        <v>0</v>
      </c>
      <c r="P15" s="586">
        <v>4.17</v>
      </c>
      <c r="Q15" s="57">
        <v>0</v>
      </c>
      <c r="R15" s="57">
        <v>2314834</v>
      </c>
      <c r="S15" s="57">
        <v>144864</v>
      </c>
      <c r="T15" s="57">
        <v>341140</v>
      </c>
      <c r="U15" s="57">
        <v>393888</v>
      </c>
      <c r="W15" s="2">
        <v>572165</v>
      </c>
      <c r="Y15" s="2">
        <v>11437209</v>
      </c>
      <c r="Z15" s="2">
        <v>9841892</v>
      </c>
      <c r="AB15" s="2">
        <v>291254</v>
      </c>
    </row>
    <row r="16" spans="1:29" ht="10.9" customHeight="1">
      <c r="A16" s="274" t="s">
        <v>156</v>
      </c>
      <c r="B16" s="2" t="s">
        <v>114</v>
      </c>
      <c r="C16" s="57">
        <v>0</v>
      </c>
      <c r="D16" s="57">
        <v>0</v>
      </c>
      <c r="E16" s="57">
        <v>0</v>
      </c>
      <c r="F16" s="57">
        <v>0</v>
      </c>
      <c r="G16" s="57">
        <v>0</v>
      </c>
      <c r="H16" s="57">
        <v>0</v>
      </c>
      <c r="I16" s="57">
        <v>0</v>
      </c>
      <c r="J16" s="57">
        <v>0</v>
      </c>
      <c r="K16" s="57">
        <f t="shared" si="0"/>
        <v>0</v>
      </c>
      <c r="L16" s="57">
        <v>22475</v>
      </c>
      <c r="M16" s="57">
        <v>0</v>
      </c>
      <c r="N16" s="57">
        <v>0</v>
      </c>
      <c r="O16" s="57">
        <v>0</v>
      </c>
      <c r="P16" s="586">
        <v>5</v>
      </c>
      <c r="Q16" s="57">
        <v>0</v>
      </c>
      <c r="R16" s="57">
        <v>1493691</v>
      </c>
      <c r="S16" s="57">
        <v>94122</v>
      </c>
      <c r="T16" s="57">
        <v>273834</v>
      </c>
      <c r="U16" s="57">
        <v>71803</v>
      </c>
      <c r="W16" s="2">
        <v>177865</v>
      </c>
      <c r="Y16" s="2">
        <v>4640885</v>
      </c>
      <c r="Z16" s="2">
        <v>3888172</v>
      </c>
      <c r="AB16" s="2">
        <v>209745</v>
      </c>
    </row>
    <row r="17" spans="1:30" ht="10.9" customHeight="1">
      <c r="A17" s="274" t="s">
        <v>157</v>
      </c>
      <c r="B17" s="2" t="s">
        <v>115</v>
      </c>
      <c r="C17" s="57">
        <v>72170</v>
      </c>
      <c r="D17" s="57">
        <v>0</v>
      </c>
      <c r="E17" s="57">
        <v>0</v>
      </c>
      <c r="F17" s="57">
        <v>0</v>
      </c>
      <c r="G17" s="57">
        <v>360</v>
      </c>
      <c r="H17" s="57">
        <v>0</v>
      </c>
      <c r="I17" s="57">
        <v>0</v>
      </c>
      <c r="J17" s="57">
        <v>0</v>
      </c>
      <c r="K17" s="57">
        <f t="shared" si="0"/>
        <v>72530</v>
      </c>
      <c r="L17" s="57">
        <v>28449</v>
      </c>
      <c r="M17" s="57">
        <v>0</v>
      </c>
      <c r="N17" s="57">
        <v>0</v>
      </c>
      <c r="O17" s="57">
        <v>0</v>
      </c>
      <c r="P17" s="586">
        <v>4.1900000000000004</v>
      </c>
      <c r="Q17" s="57">
        <v>0</v>
      </c>
      <c r="R17" s="57">
        <v>1795654</v>
      </c>
      <c r="S17" s="57">
        <v>130480</v>
      </c>
      <c r="T17" s="57">
        <v>307026</v>
      </c>
      <c r="U17" s="57">
        <v>123090</v>
      </c>
      <c r="W17" s="2">
        <v>670922</v>
      </c>
      <c r="Y17" s="2">
        <v>8726538</v>
      </c>
      <c r="Z17" s="2">
        <v>8238753</v>
      </c>
      <c r="AB17" s="2">
        <v>262183</v>
      </c>
    </row>
    <row r="18" spans="1:30" ht="10.9" customHeight="1">
      <c r="A18" s="274" t="s">
        <v>158</v>
      </c>
      <c r="B18" s="2" t="s">
        <v>116</v>
      </c>
      <c r="C18" s="57">
        <v>3210685</v>
      </c>
      <c r="D18" s="57">
        <v>0</v>
      </c>
      <c r="E18" s="57">
        <v>1407623</v>
      </c>
      <c r="F18" s="57">
        <v>0</v>
      </c>
      <c r="G18" s="57">
        <v>97563</v>
      </c>
      <c r="H18" s="57">
        <v>38875</v>
      </c>
      <c r="I18" s="57">
        <v>201913</v>
      </c>
      <c r="J18" s="57">
        <v>0</v>
      </c>
      <c r="K18" s="57">
        <f t="shared" si="0"/>
        <v>4956659</v>
      </c>
      <c r="L18" s="57">
        <v>0</v>
      </c>
      <c r="M18" s="57">
        <v>0</v>
      </c>
      <c r="N18" s="57">
        <v>0</v>
      </c>
      <c r="O18" s="57">
        <v>0</v>
      </c>
      <c r="P18" s="586">
        <v>3.5000000000000004</v>
      </c>
      <c r="Q18" s="57">
        <v>0</v>
      </c>
      <c r="R18" s="57">
        <v>6718713</v>
      </c>
      <c r="S18" s="57">
        <v>332263</v>
      </c>
      <c r="T18" s="57">
        <v>815048</v>
      </c>
      <c r="U18" s="57">
        <v>588781</v>
      </c>
      <c r="W18" s="2">
        <v>88244</v>
      </c>
      <c r="Y18" s="2">
        <v>3625964</v>
      </c>
      <c r="Z18" s="2">
        <v>3307490</v>
      </c>
      <c r="AB18" s="2">
        <v>1435393</v>
      </c>
    </row>
    <row r="19" spans="1:30" ht="10.9" customHeight="1">
      <c r="A19" s="274" t="s">
        <v>159</v>
      </c>
      <c r="B19" s="2" t="s">
        <v>117</v>
      </c>
      <c r="C19" s="57">
        <v>383888</v>
      </c>
      <c r="D19" s="57">
        <v>0</v>
      </c>
      <c r="E19" s="57">
        <v>0</v>
      </c>
      <c r="F19" s="57">
        <v>17000</v>
      </c>
      <c r="G19" s="57">
        <v>0</v>
      </c>
      <c r="H19" s="57">
        <v>14556</v>
      </c>
      <c r="I19" s="57">
        <v>0</v>
      </c>
      <c r="J19" s="57">
        <v>0</v>
      </c>
      <c r="K19" s="57">
        <f t="shared" si="0"/>
        <v>415444</v>
      </c>
      <c r="L19" s="57">
        <v>35727</v>
      </c>
      <c r="M19" s="57">
        <v>0</v>
      </c>
      <c r="N19" s="57">
        <v>0</v>
      </c>
      <c r="O19" s="57">
        <v>3542</v>
      </c>
      <c r="P19" s="586">
        <v>3.64</v>
      </c>
      <c r="Q19" s="57">
        <v>0</v>
      </c>
      <c r="R19" s="57">
        <v>4719795</v>
      </c>
      <c r="S19" s="57">
        <v>292201</v>
      </c>
      <c r="T19" s="57">
        <v>790154</v>
      </c>
      <c r="U19" s="57">
        <v>697510</v>
      </c>
      <c r="W19" s="2">
        <v>229539</v>
      </c>
      <c r="Y19" s="2">
        <v>17883368</v>
      </c>
      <c r="Z19" s="2">
        <v>17237195</v>
      </c>
      <c r="AB19" s="2">
        <v>639942</v>
      </c>
    </row>
    <row r="20" spans="1:30" ht="10.9" customHeight="1">
      <c r="A20" s="274" t="s">
        <v>160</v>
      </c>
      <c r="B20" s="2" t="s">
        <v>118</v>
      </c>
      <c r="C20" s="57">
        <v>1415081</v>
      </c>
      <c r="D20" s="57">
        <v>0</v>
      </c>
      <c r="E20" s="57">
        <v>0</v>
      </c>
      <c r="F20" s="57">
        <v>0</v>
      </c>
      <c r="G20" s="57">
        <v>0</v>
      </c>
      <c r="H20" s="57">
        <v>0</v>
      </c>
      <c r="I20" s="57">
        <v>0</v>
      </c>
      <c r="J20" s="57">
        <v>0</v>
      </c>
      <c r="K20" s="57">
        <f t="shared" si="0"/>
        <v>1415081</v>
      </c>
      <c r="L20" s="57">
        <v>69852</v>
      </c>
      <c r="M20" s="57">
        <v>0</v>
      </c>
      <c r="N20" s="57">
        <v>0</v>
      </c>
      <c r="O20" s="57">
        <v>0</v>
      </c>
      <c r="P20" s="586">
        <v>3.5000000000000004</v>
      </c>
      <c r="Q20" s="57">
        <v>0</v>
      </c>
      <c r="R20" s="57">
        <v>8464967</v>
      </c>
      <c r="S20" s="57">
        <v>515767</v>
      </c>
      <c r="T20" s="57">
        <v>1531442</v>
      </c>
      <c r="U20" s="57">
        <v>1288342</v>
      </c>
      <c r="W20" s="2">
        <v>237543</v>
      </c>
      <c r="Y20" s="2">
        <v>30625192</v>
      </c>
      <c r="Z20" s="2">
        <v>29117066</v>
      </c>
      <c r="AB20" s="2">
        <v>1047867</v>
      </c>
    </row>
    <row r="21" spans="1:30" ht="10.9" customHeight="1">
      <c r="A21" s="274" t="s">
        <v>161</v>
      </c>
      <c r="B21" s="2" t="s">
        <v>119</v>
      </c>
      <c r="C21" s="57">
        <v>250589</v>
      </c>
      <c r="D21" s="57">
        <v>70575</v>
      </c>
      <c r="E21" s="57">
        <v>0</v>
      </c>
      <c r="F21" s="57">
        <v>0</v>
      </c>
      <c r="G21" s="57">
        <v>11977</v>
      </c>
      <c r="H21" s="57">
        <v>16950</v>
      </c>
      <c r="I21" s="57">
        <v>0</v>
      </c>
      <c r="J21" s="57">
        <v>0</v>
      </c>
      <c r="K21" s="57">
        <f t="shared" si="0"/>
        <v>350091</v>
      </c>
      <c r="L21" s="57">
        <v>40376</v>
      </c>
      <c r="M21" s="57">
        <v>0</v>
      </c>
      <c r="N21" s="57">
        <v>0</v>
      </c>
      <c r="O21" s="57">
        <v>0</v>
      </c>
      <c r="P21" s="586">
        <v>3.93</v>
      </c>
      <c r="Q21" s="57">
        <v>0</v>
      </c>
      <c r="R21" s="57">
        <v>3291849</v>
      </c>
      <c r="S21" s="57">
        <v>262346</v>
      </c>
      <c r="T21" s="57">
        <v>464688</v>
      </c>
      <c r="U21" s="57">
        <v>564163</v>
      </c>
      <c r="W21" s="2">
        <v>397738</v>
      </c>
      <c r="Y21" s="2">
        <v>17237600</v>
      </c>
      <c r="Z21" s="2">
        <v>15948049</v>
      </c>
      <c r="AB21" s="2">
        <v>457101</v>
      </c>
    </row>
    <row r="22" spans="1:30" ht="10.9" customHeight="1">
      <c r="A22" s="274" t="s">
        <v>162</v>
      </c>
      <c r="B22" s="2" t="s">
        <v>120</v>
      </c>
      <c r="C22" s="57">
        <v>9029</v>
      </c>
      <c r="D22" s="57">
        <v>0</v>
      </c>
      <c r="E22" s="57">
        <v>0</v>
      </c>
      <c r="F22" s="57">
        <v>0</v>
      </c>
      <c r="G22" s="57">
        <v>0</v>
      </c>
      <c r="H22" s="57">
        <v>20586</v>
      </c>
      <c r="I22" s="57">
        <v>0</v>
      </c>
      <c r="J22" s="57">
        <v>0</v>
      </c>
      <c r="K22" s="57">
        <f t="shared" si="0"/>
        <v>29615</v>
      </c>
      <c r="L22" s="57">
        <v>0</v>
      </c>
      <c r="M22" s="57">
        <v>0</v>
      </c>
      <c r="N22" s="57">
        <v>0</v>
      </c>
      <c r="O22" s="57">
        <v>0</v>
      </c>
      <c r="P22" s="586">
        <v>5</v>
      </c>
      <c r="Q22" s="57">
        <v>0</v>
      </c>
      <c r="R22" s="57">
        <v>2800127</v>
      </c>
      <c r="S22" s="57">
        <v>183829</v>
      </c>
      <c r="T22" s="57">
        <v>442560</v>
      </c>
      <c r="U22" s="57">
        <v>317983</v>
      </c>
      <c r="W22" s="2">
        <v>138610</v>
      </c>
      <c r="Y22" s="2">
        <v>4776953</v>
      </c>
      <c r="Z22" s="2">
        <v>4467546</v>
      </c>
      <c r="AB22" s="2">
        <v>318923</v>
      </c>
    </row>
    <row r="23" spans="1:30" ht="10.9" customHeight="1">
      <c r="A23" s="274" t="s">
        <v>163</v>
      </c>
      <c r="B23" s="2" t="s">
        <v>121</v>
      </c>
      <c r="C23" s="57">
        <v>59616</v>
      </c>
      <c r="D23" s="57">
        <v>0</v>
      </c>
      <c r="E23" s="57">
        <v>0</v>
      </c>
      <c r="F23" s="57">
        <v>0</v>
      </c>
      <c r="G23" s="57">
        <v>0</v>
      </c>
      <c r="H23" s="57">
        <v>1700</v>
      </c>
      <c r="I23" s="57">
        <v>0</v>
      </c>
      <c r="J23" s="57">
        <v>0</v>
      </c>
      <c r="K23" s="57">
        <f t="shared" si="0"/>
        <v>61316</v>
      </c>
      <c r="L23" s="57">
        <v>26929</v>
      </c>
      <c r="M23" s="57">
        <v>0</v>
      </c>
      <c r="N23" s="57">
        <v>0</v>
      </c>
      <c r="O23" s="57">
        <v>0</v>
      </c>
      <c r="P23" s="586">
        <v>4.2299999999999995</v>
      </c>
      <c r="Q23" s="57">
        <v>0</v>
      </c>
      <c r="R23" s="57">
        <v>2143347</v>
      </c>
      <c r="S23" s="57">
        <v>105570</v>
      </c>
      <c r="T23" s="57">
        <v>311636</v>
      </c>
      <c r="U23" s="57">
        <v>246180</v>
      </c>
      <c r="W23" s="2">
        <v>229221</v>
      </c>
      <c r="Y23" s="2">
        <v>4890716</v>
      </c>
      <c r="Z23" s="2">
        <v>4450643</v>
      </c>
      <c r="AB23" s="2">
        <v>233256</v>
      </c>
    </row>
    <row r="24" spans="1:30" ht="10.9" customHeight="1">
      <c r="A24" s="274" t="s">
        <v>164</v>
      </c>
      <c r="B24" s="2" t="s">
        <v>122</v>
      </c>
      <c r="C24" s="57">
        <v>187823</v>
      </c>
      <c r="D24" s="57">
        <v>0</v>
      </c>
      <c r="E24" s="57">
        <v>0</v>
      </c>
      <c r="F24" s="57">
        <v>0</v>
      </c>
      <c r="G24" s="57">
        <v>0</v>
      </c>
      <c r="H24" s="57">
        <v>0</v>
      </c>
      <c r="I24" s="57">
        <v>0</v>
      </c>
      <c r="J24" s="57">
        <v>0</v>
      </c>
      <c r="K24" s="57">
        <f t="shared" si="0"/>
        <v>187823</v>
      </c>
      <c r="L24" s="57">
        <v>59586</v>
      </c>
      <c r="M24" s="57">
        <v>0</v>
      </c>
      <c r="N24" s="57">
        <v>0</v>
      </c>
      <c r="O24" s="57">
        <v>0</v>
      </c>
      <c r="P24" s="586">
        <v>3.6900000000000004</v>
      </c>
      <c r="Q24" s="57">
        <v>0</v>
      </c>
      <c r="R24" s="57">
        <v>5338864</v>
      </c>
      <c r="S24" s="57">
        <v>341523</v>
      </c>
      <c r="T24" s="57">
        <v>981008</v>
      </c>
      <c r="U24" s="57">
        <v>795982</v>
      </c>
      <c r="W24" s="2">
        <v>435844</v>
      </c>
      <c r="Y24" s="2">
        <v>29135244</v>
      </c>
      <c r="Z24" s="2">
        <v>26442341</v>
      </c>
      <c r="AB24" s="2">
        <v>711729</v>
      </c>
    </row>
    <row r="25" spans="1:30" ht="10.9" customHeight="1">
      <c r="A25" s="274" t="s">
        <v>165</v>
      </c>
      <c r="B25" s="2" t="s">
        <v>123</v>
      </c>
      <c r="C25" s="57">
        <v>589332</v>
      </c>
      <c r="D25" s="57">
        <v>416032</v>
      </c>
      <c r="E25" s="57">
        <v>27595</v>
      </c>
      <c r="F25" s="57">
        <v>0</v>
      </c>
      <c r="G25" s="57">
        <v>10270</v>
      </c>
      <c r="H25" s="57">
        <v>36500</v>
      </c>
      <c r="I25" s="57">
        <v>0</v>
      </c>
      <c r="J25" s="57">
        <v>0</v>
      </c>
      <c r="K25" s="57">
        <f t="shared" si="0"/>
        <v>1079729</v>
      </c>
      <c r="L25" s="57">
        <v>17966</v>
      </c>
      <c r="M25" s="57">
        <v>558720</v>
      </c>
      <c r="N25" s="57">
        <v>0</v>
      </c>
      <c r="O25" s="57">
        <v>70213</v>
      </c>
      <c r="P25" s="586">
        <v>3.5000000000000004</v>
      </c>
      <c r="Q25" s="57">
        <v>0</v>
      </c>
      <c r="R25" s="57">
        <v>15309187</v>
      </c>
      <c r="S25" s="57">
        <v>955080</v>
      </c>
      <c r="T25" s="57">
        <v>2873874</v>
      </c>
      <c r="U25" s="57">
        <v>4533815</v>
      </c>
      <c r="W25" s="2">
        <v>446063</v>
      </c>
      <c r="Y25" s="2">
        <v>96413305</v>
      </c>
      <c r="Z25" s="2">
        <v>89872302</v>
      </c>
      <c r="AB25" s="2">
        <v>2242083</v>
      </c>
    </row>
    <row r="26" spans="1:30" ht="10.9" customHeight="1">
      <c r="A26" s="274" t="s">
        <v>166</v>
      </c>
      <c r="B26" s="2" t="s">
        <v>124</v>
      </c>
      <c r="C26" s="57">
        <v>0</v>
      </c>
      <c r="D26" s="57">
        <v>0</v>
      </c>
      <c r="E26" s="57">
        <v>0</v>
      </c>
      <c r="F26" s="57">
        <v>0</v>
      </c>
      <c r="G26" s="57">
        <v>0</v>
      </c>
      <c r="H26" s="57">
        <v>5335</v>
      </c>
      <c r="I26" s="57">
        <v>0</v>
      </c>
      <c r="J26" s="57">
        <v>0</v>
      </c>
      <c r="K26" s="57">
        <f t="shared" si="0"/>
        <v>5335</v>
      </c>
      <c r="L26" s="57">
        <v>22132</v>
      </c>
      <c r="M26" s="57">
        <v>0</v>
      </c>
      <c r="N26" s="57">
        <v>0</v>
      </c>
      <c r="O26" s="57">
        <v>0</v>
      </c>
      <c r="P26" s="586">
        <v>3.8600000000000003</v>
      </c>
      <c r="Q26" s="57">
        <v>0</v>
      </c>
      <c r="R26" s="57">
        <v>3880825</v>
      </c>
      <c r="S26" s="57">
        <v>298207</v>
      </c>
      <c r="T26" s="57">
        <v>587314</v>
      </c>
      <c r="U26" s="57">
        <v>307725</v>
      </c>
      <c r="W26" s="2">
        <v>292889</v>
      </c>
      <c r="Y26" s="2">
        <v>15001021</v>
      </c>
      <c r="Z26" s="2">
        <v>14310661</v>
      </c>
      <c r="AB26" s="2">
        <v>769803</v>
      </c>
    </row>
    <row r="27" spans="1:30" ht="10.9" customHeight="1">
      <c r="A27" s="274" t="s">
        <v>167</v>
      </c>
      <c r="B27" s="2" t="s">
        <v>125</v>
      </c>
      <c r="C27" s="57">
        <v>0</v>
      </c>
      <c r="D27" s="57">
        <v>0</v>
      </c>
      <c r="E27" s="57">
        <v>0</v>
      </c>
      <c r="F27" s="57">
        <v>0</v>
      </c>
      <c r="G27" s="57">
        <v>0</v>
      </c>
      <c r="H27" s="57">
        <v>0</v>
      </c>
      <c r="I27" s="57">
        <v>0</v>
      </c>
      <c r="J27" s="57">
        <v>0</v>
      </c>
      <c r="K27" s="57">
        <f t="shared" si="0"/>
        <v>0</v>
      </c>
      <c r="L27" s="57">
        <v>47913</v>
      </c>
      <c r="M27" s="57">
        <v>0</v>
      </c>
      <c r="N27" s="57">
        <v>0</v>
      </c>
      <c r="O27" s="57">
        <v>0</v>
      </c>
      <c r="P27" s="586">
        <v>5</v>
      </c>
      <c r="Q27" s="57">
        <v>0</v>
      </c>
      <c r="R27" s="57">
        <v>4843884</v>
      </c>
      <c r="S27" s="57">
        <v>292583</v>
      </c>
      <c r="T27" s="57">
        <v>701642</v>
      </c>
      <c r="U27" s="57">
        <v>750849</v>
      </c>
      <c r="W27" s="2">
        <v>185741</v>
      </c>
      <c r="Y27" s="2">
        <v>9150673</v>
      </c>
      <c r="Z27" s="2">
        <v>8064623</v>
      </c>
      <c r="AB27" s="2">
        <v>465111</v>
      </c>
    </row>
    <row r="28" spans="1:30" ht="10.9" customHeight="1">
      <c r="A28" s="274" t="s">
        <v>168</v>
      </c>
      <c r="B28" s="2" t="s">
        <v>126</v>
      </c>
      <c r="C28" s="57">
        <v>113656</v>
      </c>
      <c r="D28" s="57">
        <v>0</v>
      </c>
      <c r="E28" s="57">
        <v>39900</v>
      </c>
      <c r="F28" s="57">
        <v>0</v>
      </c>
      <c r="G28" s="57">
        <v>0</v>
      </c>
      <c r="H28" s="57">
        <v>0</v>
      </c>
      <c r="I28" s="57">
        <v>0</v>
      </c>
      <c r="J28" s="57">
        <v>0</v>
      </c>
      <c r="K28" s="57">
        <f t="shared" si="0"/>
        <v>153556</v>
      </c>
      <c r="L28" s="57">
        <v>29494</v>
      </c>
      <c r="M28" s="57">
        <v>0</v>
      </c>
      <c r="N28" s="57">
        <v>167574</v>
      </c>
      <c r="O28" s="57">
        <v>0</v>
      </c>
      <c r="P28" s="586">
        <v>4.0599999999999996</v>
      </c>
      <c r="Q28" s="57">
        <v>0</v>
      </c>
      <c r="R28" s="57">
        <v>2389021</v>
      </c>
      <c r="S28" s="57">
        <v>156936</v>
      </c>
      <c r="T28" s="57">
        <v>254472</v>
      </c>
      <c r="U28" s="57">
        <v>174378</v>
      </c>
      <c r="W28" s="2">
        <v>413176</v>
      </c>
      <c r="Y28" s="2">
        <v>9428657</v>
      </c>
      <c r="Z28" s="2">
        <v>8611304</v>
      </c>
      <c r="AB28" s="2">
        <v>390571</v>
      </c>
      <c r="AC28" s="2">
        <v>50000</v>
      </c>
      <c r="AD28" s="2" t="s">
        <v>397</v>
      </c>
    </row>
    <row r="29" spans="1:30" ht="10.9" customHeight="1">
      <c r="A29" s="274" t="s">
        <v>169</v>
      </c>
      <c r="B29" s="2" t="s">
        <v>127</v>
      </c>
      <c r="C29" s="57">
        <v>1870369</v>
      </c>
      <c r="D29" s="57">
        <v>0</v>
      </c>
      <c r="E29" s="57">
        <v>0</v>
      </c>
      <c r="F29" s="57">
        <v>0</v>
      </c>
      <c r="G29" s="57">
        <v>480</v>
      </c>
      <c r="H29" s="57">
        <v>0</v>
      </c>
      <c r="I29" s="57">
        <v>0</v>
      </c>
      <c r="J29" s="57">
        <v>0</v>
      </c>
      <c r="K29" s="57">
        <f t="shared" si="0"/>
        <v>1870849</v>
      </c>
      <c r="L29" s="57">
        <v>121563</v>
      </c>
      <c r="M29" s="57">
        <v>770705</v>
      </c>
      <c r="N29" s="57">
        <v>0</v>
      </c>
      <c r="O29" s="57">
        <v>0</v>
      </c>
      <c r="P29" s="586">
        <v>3.5000000000000004</v>
      </c>
      <c r="Q29" s="57">
        <v>0</v>
      </c>
      <c r="R29" s="57">
        <v>12171491</v>
      </c>
      <c r="S29" s="57">
        <v>860349</v>
      </c>
      <c r="T29" s="57">
        <v>2632310</v>
      </c>
      <c r="U29" s="57">
        <v>3241370</v>
      </c>
      <c r="W29" s="2">
        <v>555452</v>
      </c>
      <c r="Y29" s="2">
        <v>91883350</v>
      </c>
      <c r="Z29" s="2">
        <v>87023661</v>
      </c>
      <c r="AB29" s="2">
        <v>1755029</v>
      </c>
    </row>
    <row r="30" spans="1:30" ht="10.9" customHeight="1">
      <c r="A30" s="274" t="s">
        <v>170</v>
      </c>
      <c r="B30" s="2" t="s">
        <v>128</v>
      </c>
      <c r="C30" s="57">
        <v>43782</v>
      </c>
      <c r="D30" s="57">
        <v>0</v>
      </c>
      <c r="E30" s="57">
        <v>0</v>
      </c>
      <c r="F30" s="57">
        <v>0</v>
      </c>
      <c r="G30" s="57">
        <v>0</v>
      </c>
      <c r="H30" s="57">
        <v>0</v>
      </c>
      <c r="I30" s="57">
        <v>0</v>
      </c>
      <c r="J30" s="57">
        <v>0</v>
      </c>
      <c r="K30" s="57">
        <f t="shared" si="0"/>
        <v>43782</v>
      </c>
      <c r="L30" s="57">
        <v>22472</v>
      </c>
      <c r="M30" s="57">
        <v>0</v>
      </c>
      <c r="N30" s="57">
        <v>0</v>
      </c>
      <c r="O30" s="57">
        <v>0</v>
      </c>
      <c r="P30" s="586">
        <v>4.25</v>
      </c>
      <c r="Q30" s="57">
        <v>0</v>
      </c>
      <c r="R30" s="57">
        <v>1624860</v>
      </c>
      <c r="S30" s="57">
        <v>106437</v>
      </c>
      <c r="T30" s="57">
        <v>222202</v>
      </c>
      <c r="U30" s="57">
        <v>225665</v>
      </c>
      <c r="W30" s="2">
        <v>351865</v>
      </c>
      <c r="Y30" s="2">
        <v>5967686</v>
      </c>
      <c r="Z30" s="2">
        <v>5635471</v>
      </c>
      <c r="AB30" s="2">
        <v>209725</v>
      </c>
    </row>
    <row r="31" spans="1:30" ht="10.9" customHeight="1">
      <c r="A31" s="274" t="s">
        <v>171</v>
      </c>
      <c r="B31" s="2" t="s">
        <v>129</v>
      </c>
      <c r="C31" s="57">
        <v>41600</v>
      </c>
      <c r="D31" s="57">
        <v>0</v>
      </c>
      <c r="E31" s="57">
        <v>0</v>
      </c>
      <c r="F31" s="57">
        <v>0</v>
      </c>
      <c r="G31" s="57">
        <v>0</v>
      </c>
      <c r="H31" s="57">
        <v>0</v>
      </c>
      <c r="I31" s="57">
        <v>0</v>
      </c>
      <c r="J31" s="57">
        <v>0</v>
      </c>
      <c r="K31" s="57">
        <f t="shared" si="0"/>
        <v>41600</v>
      </c>
      <c r="L31" s="57">
        <v>41113</v>
      </c>
      <c r="M31" s="57">
        <v>0</v>
      </c>
      <c r="N31" s="57">
        <v>0</v>
      </c>
      <c r="O31" s="57">
        <v>0</v>
      </c>
      <c r="P31" s="586">
        <v>3.82</v>
      </c>
      <c r="Q31" s="57">
        <v>0</v>
      </c>
      <c r="R31" s="57">
        <v>3556166</v>
      </c>
      <c r="S31" s="57">
        <v>291757</v>
      </c>
      <c r="T31" s="57">
        <v>819658</v>
      </c>
      <c r="U31" s="57">
        <v>576472</v>
      </c>
      <c r="W31" s="2">
        <v>334327</v>
      </c>
      <c r="Y31" s="2">
        <v>16049384</v>
      </c>
      <c r="Z31" s="2">
        <v>15526348</v>
      </c>
      <c r="AB31" s="2">
        <v>606504</v>
      </c>
    </row>
    <row r="32" spans="1:30" ht="10.9" customHeight="1">
      <c r="A32" s="274" t="s">
        <v>172</v>
      </c>
      <c r="B32" s="2" t="s">
        <v>130</v>
      </c>
      <c r="C32" s="57">
        <v>229578</v>
      </c>
      <c r="D32" s="57">
        <v>0</v>
      </c>
      <c r="E32" s="57">
        <v>784</v>
      </c>
      <c r="F32" s="57">
        <v>0</v>
      </c>
      <c r="G32" s="57">
        <v>0</v>
      </c>
      <c r="H32" s="57">
        <v>4595</v>
      </c>
      <c r="I32" s="57">
        <v>0</v>
      </c>
      <c r="J32" s="57">
        <v>0</v>
      </c>
      <c r="K32" s="57">
        <f t="shared" si="0"/>
        <v>234957</v>
      </c>
      <c r="L32" s="57">
        <v>31960</v>
      </c>
      <c r="M32" s="57">
        <v>0</v>
      </c>
      <c r="N32" s="57">
        <v>0</v>
      </c>
      <c r="O32" s="57">
        <v>0</v>
      </c>
      <c r="P32" s="586">
        <v>4.04</v>
      </c>
      <c r="Q32" s="57">
        <v>0</v>
      </c>
      <c r="R32" s="57">
        <v>2924188</v>
      </c>
      <c r="S32" s="57">
        <v>210585</v>
      </c>
      <c r="T32" s="57">
        <v>319012</v>
      </c>
      <c r="U32" s="57">
        <v>266695</v>
      </c>
      <c r="W32" s="2">
        <v>429590</v>
      </c>
      <c r="Y32" s="2">
        <v>14648487</v>
      </c>
      <c r="Z32" s="2">
        <v>13495378</v>
      </c>
      <c r="AB32" s="2">
        <v>383886</v>
      </c>
    </row>
    <row r="33" spans="1:28" ht="10.9" customHeight="1">
      <c r="A33" s="274" t="s">
        <v>173</v>
      </c>
      <c r="B33" s="2" t="s">
        <v>131</v>
      </c>
      <c r="C33" s="57">
        <v>97138</v>
      </c>
      <c r="D33" s="57">
        <v>0</v>
      </c>
      <c r="E33" s="57">
        <v>0</v>
      </c>
      <c r="F33" s="57">
        <v>0</v>
      </c>
      <c r="G33" s="57">
        <v>50</v>
      </c>
      <c r="H33" s="57">
        <v>8690</v>
      </c>
      <c r="I33" s="57">
        <v>0</v>
      </c>
      <c r="J33" s="57">
        <v>0</v>
      </c>
      <c r="K33" s="57">
        <f t="shared" si="0"/>
        <v>105878</v>
      </c>
      <c r="L33" s="57">
        <v>39884</v>
      </c>
      <c r="M33" s="57">
        <v>0</v>
      </c>
      <c r="N33" s="57">
        <v>0</v>
      </c>
      <c r="O33" s="57">
        <v>0</v>
      </c>
      <c r="P33" s="586">
        <v>4.0599999999999996</v>
      </c>
      <c r="Q33" s="57">
        <v>0</v>
      </c>
      <c r="R33" s="57">
        <v>3144611</v>
      </c>
      <c r="S33" s="57">
        <v>203971</v>
      </c>
      <c r="T33" s="57">
        <v>322700</v>
      </c>
      <c r="U33" s="57">
        <v>375425</v>
      </c>
      <c r="W33" s="2">
        <v>412249</v>
      </c>
      <c r="Y33" s="2">
        <v>14177973</v>
      </c>
      <c r="Z33" s="2">
        <v>13283988</v>
      </c>
      <c r="AB33" s="2">
        <v>491955</v>
      </c>
    </row>
    <row r="34" spans="1:28" ht="10.9" customHeight="1">
      <c r="A34" s="274" t="s">
        <v>174</v>
      </c>
      <c r="B34" s="2" t="s">
        <v>132</v>
      </c>
      <c r="C34" s="57">
        <v>416415</v>
      </c>
      <c r="D34" s="57">
        <v>6783</v>
      </c>
      <c r="E34" s="57">
        <v>0</v>
      </c>
      <c r="F34" s="57">
        <v>0</v>
      </c>
      <c r="G34" s="57">
        <v>0</v>
      </c>
      <c r="H34" s="57">
        <v>7699</v>
      </c>
      <c r="I34" s="57">
        <v>0</v>
      </c>
      <c r="J34" s="57">
        <v>0</v>
      </c>
      <c r="K34" s="57">
        <f t="shared" si="0"/>
        <v>430897</v>
      </c>
      <c r="L34" s="57">
        <v>37858</v>
      </c>
      <c r="M34" s="57">
        <v>0</v>
      </c>
      <c r="N34" s="57">
        <v>0</v>
      </c>
      <c r="O34" s="57">
        <v>0</v>
      </c>
      <c r="P34" s="586">
        <v>4.07</v>
      </c>
      <c r="Q34" s="57">
        <v>0</v>
      </c>
      <c r="R34" s="57">
        <v>3262197</v>
      </c>
      <c r="S34" s="57">
        <v>197545</v>
      </c>
      <c r="T34" s="57">
        <v>509866</v>
      </c>
      <c r="U34" s="57">
        <v>471845</v>
      </c>
      <c r="W34" s="2">
        <v>450476</v>
      </c>
      <c r="Y34" s="2">
        <v>16801368</v>
      </c>
      <c r="Z34" s="2">
        <v>15931492</v>
      </c>
      <c r="AB34" s="2">
        <v>359048</v>
      </c>
    </row>
    <row r="35" spans="1:28" ht="10.9" customHeight="1">
      <c r="A35" s="274" t="s">
        <v>175</v>
      </c>
      <c r="B35" s="2" t="s">
        <v>133</v>
      </c>
      <c r="C35" s="57">
        <v>548339</v>
      </c>
      <c r="D35" s="57">
        <v>0</v>
      </c>
      <c r="E35" s="57">
        <v>0</v>
      </c>
      <c r="F35" s="57">
        <v>0</v>
      </c>
      <c r="G35" s="57">
        <v>1150</v>
      </c>
      <c r="H35" s="57">
        <v>37030</v>
      </c>
      <c r="I35" s="57">
        <v>0</v>
      </c>
      <c r="J35" s="57">
        <v>0</v>
      </c>
      <c r="K35" s="57">
        <f t="shared" si="0"/>
        <v>586519</v>
      </c>
      <c r="L35" s="57">
        <v>95110</v>
      </c>
      <c r="M35" s="57">
        <v>368291</v>
      </c>
      <c r="N35" s="57">
        <v>0</v>
      </c>
      <c r="O35" s="57">
        <v>66010</v>
      </c>
      <c r="P35" s="586">
        <v>3.5000000000000004</v>
      </c>
      <c r="Q35" s="57">
        <v>0</v>
      </c>
      <c r="R35" s="57">
        <v>15546189</v>
      </c>
      <c r="S35" s="57">
        <v>1074612</v>
      </c>
      <c r="T35" s="57">
        <v>3613318</v>
      </c>
      <c r="U35" s="57">
        <v>4189163</v>
      </c>
      <c r="W35" s="2">
        <v>377253</v>
      </c>
      <c r="Y35" s="2">
        <v>80574170</v>
      </c>
      <c r="Z35" s="2">
        <v>79083647</v>
      </c>
      <c r="AB35" s="2">
        <v>2442101</v>
      </c>
    </row>
    <row r="36" spans="1:28" ht="10.9" customHeight="1">
      <c r="A36" s="274" t="s">
        <v>176</v>
      </c>
      <c r="B36" s="2" t="s">
        <v>134</v>
      </c>
      <c r="C36" s="57">
        <v>299091</v>
      </c>
      <c r="D36" s="57">
        <v>0</v>
      </c>
      <c r="E36" s="57">
        <v>0</v>
      </c>
      <c r="F36" s="57">
        <v>0</v>
      </c>
      <c r="G36" s="57">
        <v>0</v>
      </c>
      <c r="H36" s="57">
        <v>1370</v>
      </c>
      <c r="I36" s="57">
        <v>0</v>
      </c>
      <c r="J36" s="57">
        <v>0</v>
      </c>
      <c r="K36" s="57">
        <f t="shared" si="0"/>
        <v>300461</v>
      </c>
      <c r="L36" s="57">
        <v>33055</v>
      </c>
      <c r="M36" s="57">
        <v>0</v>
      </c>
      <c r="N36" s="57">
        <v>0</v>
      </c>
      <c r="O36" s="57">
        <v>0</v>
      </c>
      <c r="P36" s="586">
        <v>4.1300000000000008</v>
      </c>
      <c r="Q36" s="57">
        <v>0</v>
      </c>
      <c r="R36" s="57">
        <v>1889168</v>
      </c>
      <c r="S36" s="57">
        <v>155366</v>
      </c>
      <c r="T36" s="57">
        <v>310714</v>
      </c>
      <c r="U36" s="57">
        <v>123090</v>
      </c>
      <c r="W36" s="2">
        <v>474985</v>
      </c>
      <c r="Y36" s="2">
        <v>10721166</v>
      </c>
      <c r="Z36" s="2">
        <v>9957275</v>
      </c>
      <c r="AB36" s="2">
        <v>321899</v>
      </c>
    </row>
    <row r="37" spans="1:28" ht="10.9" customHeight="1">
      <c r="A37" s="274" t="s">
        <v>177</v>
      </c>
      <c r="B37" s="2" t="s">
        <v>135</v>
      </c>
      <c r="C37" s="57">
        <v>403074</v>
      </c>
      <c r="D37" s="57">
        <v>81119</v>
      </c>
      <c r="E37" s="57">
        <v>0</v>
      </c>
      <c r="F37" s="57">
        <v>0</v>
      </c>
      <c r="G37" s="57">
        <v>0</v>
      </c>
      <c r="H37" s="57">
        <v>24362</v>
      </c>
      <c r="I37" s="57">
        <v>0</v>
      </c>
      <c r="J37" s="57">
        <v>0</v>
      </c>
      <c r="K37" s="57">
        <f t="shared" si="0"/>
        <v>508555</v>
      </c>
      <c r="L37" s="57">
        <v>45375</v>
      </c>
      <c r="M37" s="57">
        <v>0</v>
      </c>
      <c r="N37" s="57">
        <v>0</v>
      </c>
      <c r="O37" s="57">
        <v>0</v>
      </c>
      <c r="P37" s="586">
        <v>3.6700000000000004</v>
      </c>
      <c r="Q37" s="57">
        <v>0</v>
      </c>
      <c r="R37" s="57">
        <v>6185695</v>
      </c>
      <c r="S37" s="57">
        <v>363262</v>
      </c>
      <c r="T37" s="57">
        <v>1184770</v>
      </c>
      <c r="U37" s="57">
        <v>986772</v>
      </c>
      <c r="W37" s="2">
        <v>278573</v>
      </c>
      <c r="Y37" s="2">
        <v>24810931</v>
      </c>
      <c r="Z37" s="2">
        <v>22231837</v>
      </c>
      <c r="AB37" s="2">
        <v>583225</v>
      </c>
    </row>
    <row r="38" spans="1:28" ht="10.9" customHeight="1">
      <c r="A38" s="274" t="s">
        <v>178</v>
      </c>
      <c r="B38" s="2" t="s">
        <v>136</v>
      </c>
      <c r="C38" s="57">
        <v>841533</v>
      </c>
      <c r="D38" s="57">
        <v>186599</v>
      </c>
      <c r="E38" s="57">
        <v>24900</v>
      </c>
      <c r="F38" s="57">
        <v>56419</v>
      </c>
      <c r="G38" s="57">
        <v>-81319</v>
      </c>
      <c r="H38" s="57">
        <v>119957</v>
      </c>
      <c r="I38" s="57">
        <v>0</v>
      </c>
      <c r="J38" s="57">
        <v>0</v>
      </c>
      <c r="K38" s="57">
        <f t="shared" si="0"/>
        <v>1148089</v>
      </c>
      <c r="L38" s="57">
        <v>92652</v>
      </c>
      <c r="M38" s="57">
        <v>0</v>
      </c>
      <c r="N38" s="57">
        <v>0</v>
      </c>
      <c r="O38" s="57">
        <v>0</v>
      </c>
      <c r="P38" s="586">
        <v>3.5000000000000004</v>
      </c>
      <c r="Q38" s="57">
        <v>0</v>
      </c>
      <c r="R38" s="57">
        <v>10995274</v>
      </c>
      <c r="S38" s="57">
        <v>730324</v>
      </c>
      <c r="T38" s="57">
        <v>1999818</v>
      </c>
      <c r="U38" s="57">
        <v>3432160</v>
      </c>
      <c r="W38" s="2">
        <v>297274</v>
      </c>
      <c r="Y38" s="2">
        <v>52754993</v>
      </c>
      <c r="Z38" s="2">
        <v>47391159</v>
      </c>
      <c r="AB38" s="2">
        <v>1324634</v>
      </c>
    </row>
    <row r="39" spans="1:28" ht="10.9" customHeight="1">
      <c r="A39" s="274" t="s">
        <v>179</v>
      </c>
      <c r="B39" s="2" t="s">
        <v>137</v>
      </c>
      <c r="C39" s="57">
        <v>176604</v>
      </c>
      <c r="D39" s="57">
        <v>0</v>
      </c>
      <c r="E39" s="57">
        <v>0</v>
      </c>
      <c r="F39" s="57">
        <v>0</v>
      </c>
      <c r="G39" s="57">
        <v>0</v>
      </c>
      <c r="H39" s="57">
        <v>0</v>
      </c>
      <c r="I39" s="57">
        <v>0</v>
      </c>
      <c r="J39" s="57">
        <v>0</v>
      </c>
      <c r="K39" s="57">
        <f t="shared" si="0"/>
        <v>176604</v>
      </c>
      <c r="L39" s="57">
        <v>32925</v>
      </c>
      <c r="M39" s="57">
        <v>0</v>
      </c>
      <c r="N39" s="57">
        <v>0</v>
      </c>
      <c r="O39" s="57">
        <v>0</v>
      </c>
      <c r="P39" s="586">
        <v>4.1399999999999997</v>
      </c>
      <c r="Q39" s="57">
        <v>0</v>
      </c>
      <c r="R39" s="57">
        <v>2106444</v>
      </c>
      <c r="S39" s="57">
        <v>158744</v>
      </c>
      <c r="T39" s="57">
        <v>241564</v>
      </c>
      <c r="U39" s="57">
        <v>143605</v>
      </c>
      <c r="W39" s="2">
        <v>639816</v>
      </c>
      <c r="Y39" s="2">
        <v>11972273</v>
      </c>
      <c r="Z39" s="2">
        <v>11213817</v>
      </c>
      <c r="AB39" s="2">
        <v>314353</v>
      </c>
    </row>
    <row r="40" spans="1:28" ht="10.9" customHeight="1">
      <c r="A40" s="274" t="s">
        <v>180</v>
      </c>
      <c r="B40" s="2" t="s">
        <v>138</v>
      </c>
      <c r="C40" s="57">
        <v>472745</v>
      </c>
      <c r="D40" s="57">
        <v>0</v>
      </c>
      <c r="E40" s="57">
        <v>0</v>
      </c>
      <c r="F40" s="57">
        <v>4895</v>
      </c>
      <c r="G40" s="57">
        <v>0</v>
      </c>
      <c r="H40" s="57">
        <v>0</v>
      </c>
      <c r="I40" s="57">
        <v>0</v>
      </c>
      <c r="J40" s="57">
        <v>0</v>
      </c>
      <c r="K40" s="57">
        <f t="shared" si="0"/>
        <v>477640</v>
      </c>
      <c r="L40" s="57">
        <v>79754</v>
      </c>
      <c r="M40" s="57">
        <v>292138</v>
      </c>
      <c r="N40" s="57">
        <v>0</v>
      </c>
      <c r="O40" s="57">
        <v>55668</v>
      </c>
      <c r="P40" s="586">
        <v>3.5000000000000004</v>
      </c>
      <c r="Q40" s="57">
        <v>0</v>
      </c>
      <c r="R40" s="57">
        <v>7948075</v>
      </c>
      <c r="S40" s="57">
        <v>545986</v>
      </c>
      <c r="T40" s="57">
        <v>2307766</v>
      </c>
      <c r="U40" s="57">
        <v>1743775</v>
      </c>
      <c r="W40" s="2">
        <v>540929</v>
      </c>
      <c r="Y40" s="2">
        <v>56374157</v>
      </c>
      <c r="Z40" s="2">
        <v>52893634</v>
      </c>
      <c r="AB40" s="2">
        <v>1422905</v>
      </c>
    </row>
    <row r="41" spans="1:28" ht="10.9" customHeight="1">
      <c r="A41" s="274" t="s">
        <v>181</v>
      </c>
      <c r="B41" s="2" t="s">
        <v>139</v>
      </c>
      <c r="C41" s="57">
        <v>563951</v>
      </c>
      <c r="D41" s="57">
        <v>270660</v>
      </c>
      <c r="E41" s="57">
        <v>20000</v>
      </c>
      <c r="F41" s="57">
        <v>0</v>
      </c>
      <c r="G41" s="57">
        <v>-13960</v>
      </c>
      <c r="H41" s="57">
        <v>0</v>
      </c>
      <c r="I41" s="57">
        <v>0</v>
      </c>
      <c r="J41" s="57">
        <v>0</v>
      </c>
      <c r="K41" s="57">
        <f t="shared" si="0"/>
        <v>840651</v>
      </c>
      <c r="L41" s="57">
        <v>54089</v>
      </c>
      <c r="M41" s="57">
        <v>0</v>
      </c>
      <c r="N41" s="57">
        <v>0</v>
      </c>
      <c r="O41" s="57">
        <v>10035</v>
      </c>
      <c r="P41" s="586">
        <v>3.62</v>
      </c>
      <c r="Q41" s="57">
        <v>0</v>
      </c>
      <c r="R41" s="57">
        <v>6587245</v>
      </c>
      <c r="S41" s="57">
        <v>434623</v>
      </c>
      <c r="T41" s="57">
        <v>939518</v>
      </c>
      <c r="U41" s="57">
        <v>1146789</v>
      </c>
      <c r="W41" s="2">
        <v>469301</v>
      </c>
      <c r="Y41" s="2">
        <v>34355635</v>
      </c>
      <c r="Z41" s="2">
        <v>31375938</v>
      </c>
      <c r="AB41" s="2">
        <v>726782</v>
      </c>
    </row>
    <row r="42" spans="1:28" ht="10.9" customHeight="1">
      <c r="A42" s="274" t="s">
        <v>182</v>
      </c>
      <c r="B42" s="2" t="s">
        <v>140</v>
      </c>
      <c r="C42" s="57">
        <v>60000</v>
      </c>
      <c r="D42" s="57">
        <v>0</v>
      </c>
      <c r="E42" s="57">
        <v>0</v>
      </c>
      <c r="F42" s="57">
        <v>0</v>
      </c>
      <c r="G42" s="57">
        <v>0</v>
      </c>
      <c r="H42" s="57">
        <v>0</v>
      </c>
      <c r="I42" s="57">
        <v>0</v>
      </c>
      <c r="J42" s="57">
        <v>0</v>
      </c>
      <c r="K42" s="57">
        <f t="shared" si="0"/>
        <v>60000</v>
      </c>
      <c r="L42" s="57">
        <v>31101</v>
      </c>
      <c r="M42" s="57">
        <v>0</v>
      </c>
      <c r="N42" s="57">
        <v>0</v>
      </c>
      <c r="O42" s="57">
        <v>0</v>
      </c>
      <c r="P42" s="586">
        <v>4.18</v>
      </c>
      <c r="Q42" s="57">
        <v>0</v>
      </c>
      <c r="R42" s="57">
        <v>2373912</v>
      </c>
      <c r="S42" s="57">
        <v>139903</v>
      </c>
      <c r="T42" s="57">
        <v>374332</v>
      </c>
      <c r="U42" s="57">
        <v>184635</v>
      </c>
      <c r="W42" s="2">
        <v>299120</v>
      </c>
      <c r="Y42" s="2">
        <v>7926893</v>
      </c>
      <c r="Z42" s="2">
        <v>6870396</v>
      </c>
      <c r="AB42" s="2">
        <v>329747</v>
      </c>
    </row>
    <row r="43" spans="1:28" ht="10.9" customHeight="1">
      <c r="A43" s="274" t="s">
        <v>183</v>
      </c>
      <c r="B43" s="2" t="s">
        <v>141</v>
      </c>
      <c r="C43" s="57">
        <v>28764</v>
      </c>
      <c r="D43" s="57">
        <v>0</v>
      </c>
      <c r="E43" s="57">
        <v>0</v>
      </c>
      <c r="F43" s="57">
        <v>0</v>
      </c>
      <c r="G43" s="57">
        <v>0</v>
      </c>
      <c r="H43" s="57">
        <v>0</v>
      </c>
      <c r="I43" s="57">
        <v>0</v>
      </c>
      <c r="J43" s="57">
        <v>0</v>
      </c>
      <c r="K43" s="57">
        <f>SUM(C43:I43)-J43</f>
        <v>28764</v>
      </c>
      <c r="L43" s="57">
        <v>21796</v>
      </c>
      <c r="M43" s="57">
        <v>0</v>
      </c>
      <c r="N43" s="57">
        <v>0</v>
      </c>
      <c r="O43" s="57">
        <v>0</v>
      </c>
      <c r="P43" s="586">
        <v>4.25</v>
      </c>
      <c r="Q43" s="57">
        <v>0</v>
      </c>
      <c r="R43" s="57">
        <v>1213827</v>
      </c>
      <c r="S43" s="57">
        <v>98901</v>
      </c>
      <c r="T43" s="57">
        <v>143832</v>
      </c>
      <c r="U43" s="57">
        <v>71803</v>
      </c>
      <c r="W43" s="2">
        <v>431452</v>
      </c>
      <c r="Y43" s="2">
        <v>6287461</v>
      </c>
      <c r="Z43" s="2">
        <v>6287461</v>
      </c>
      <c r="AB43" s="2">
        <v>182598</v>
      </c>
    </row>
    <row r="44" spans="1:28" ht="10.9" customHeight="1">
      <c r="A44" s="274" t="s">
        <v>184</v>
      </c>
      <c r="B44" s="2" t="s">
        <v>142</v>
      </c>
      <c r="C44" s="57">
        <v>175074</v>
      </c>
      <c r="D44" s="57">
        <v>0</v>
      </c>
      <c r="E44" s="57">
        <v>0</v>
      </c>
      <c r="F44" s="57">
        <v>0</v>
      </c>
      <c r="G44" s="57">
        <v>0</v>
      </c>
      <c r="H44" s="57">
        <v>0</v>
      </c>
      <c r="I44" s="57">
        <v>0</v>
      </c>
      <c r="J44" s="57">
        <v>0</v>
      </c>
      <c r="K44" s="57">
        <f>SUM(C44:I44)-J44</f>
        <v>175074</v>
      </c>
      <c r="L44" s="57">
        <v>16730</v>
      </c>
      <c r="M44" s="57">
        <v>0</v>
      </c>
      <c r="N44" s="57">
        <v>0</v>
      </c>
      <c r="O44" s="57">
        <v>0</v>
      </c>
      <c r="P44" s="586">
        <v>4.25</v>
      </c>
      <c r="Q44" s="57">
        <v>0</v>
      </c>
      <c r="R44" s="57">
        <v>1530412</v>
      </c>
      <c r="S44" s="57">
        <v>72561</v>
      </c>
      <c r="T44" s="57">
        <v>290430</v>
      </c>
      <c r="U44" s="57">
        <v>94369</v>
      </c>
      <c r="W44" s="2">
        <v>212427</v>
      </c>
      <c r="Y44" s="2">
        <v>3612546</v>
      </c>
      <c r="Z44" s="2">
        <v>3143627</v>
      </c>
      <c r="AB44" s="2">
        <v>180707</v>
      </c>
    </row>
    <row r="45" spans="1:28" ht="10.9" customHeight="1">
      <c r="A45" s="274" t="s">
        <v>185</v>
      </c>
      <c r="B45" s="2" t="s">
        <v>143</v>
      </c>
      <c r="C45" s="57">
        <v>334911</v>
      </c>
      <c r="D45" s="57">
        <v>0</v>
      </c>
      <c r="E45" s="57">
        <v>2050</v>
      </c>
      <c r="F45" s="57">
        <v>0</v>
      </c>
      <c r="G45" s="57">
        <v>-2050</v>
      </c>
      <c r="H45" s="57">
        <v>0</v>
      </c>
      <c r="I45" s="57">
        <v>0</v>
      </c>
      <c r="J45" s="57">
        <v>0</v>
      </c>
      <c r="K45" s="57">
        <f>SUM(C45:I45)-J45</f>
        <v>334911</v>
      </c>
      <c r="L45" s="57">
        <v>23298</v>
      </c>
      <c r="M45" s="57">
        <v>0</v>
      </c>
      <c r="N45" s="57">
        <v>0</v>
      </c>
      <c r="O45" s="57">
        <v>0</v>
      </c>
      <c r="P45" s="586">
        <v>4.1300000000000008</v>
      </c>
      <c r="Q45" s="57">
        <v>0</v>
      </c>
      <c r="R45" s="57">
        <v>1669720</v>
      </c>
      <c r="S45" s="57">
        <v>135490</v>
      </c>
      <c r="T45" s="57">
        <v>305182</v>
      </c>
      <c r="U45" s="57">
        <v>174378</v>
      </c>
      <c r="W45" s="2">
        <v>286085</v>
      </c>
      <c r="Y45" s="2">
        <v>7766138</v>
      </c>
      <c r="Z45" s="2">
        <v>7766138</v>
      </c>
      <c r="AB45" s="2">
        <v>213061</v>
      </c>
    </row>
    <row r="46" spans="1:28" ht="10.9" customHeight="1">
      <c r="A46" s="274" t="s">
        <v>186</v>
      </c>
      <c r="B46" s="2" t="s">
        <v>144</v>
      </c>
      <c r="C46" s="57">
        <v>1888621</v>
      </c>
      <c r="D46" s="57">
        <v>428816</v>
      </c>
      <c r="E46" s="57">
        <v>0</v>
      </c>
      <c r="F46" s="57">
        <v>0</v>
      </c>
      <c r="G46" s="57">
        <v>7928</v>
      </c>
      <c r="H46" s="57">
        <v>121455</v>
      </c>
      <c r="I46" s="57">
        <v>245</v>
      </c>
      <c r="J46" s="57">
        <v>0</v>
      </c>
      <c r="K46" s="57">
        <f>SUM(C46:I46)-J46</f>
        <v>2447065</v>
      </c>
      <c r="L46" s="57">
        <v>0</v>
      </c>
      <c r="M46" s="57">
        <v>180360</v>
      </c>
      <c r="N46" s="57">
        <v>0</v>
      </c>
      <c r="O46" s="57">
        <v>0</v>
      </c>
      <c r="P46" s="586">
        <v>3.5000000000000004</v>
      </c>
      <c r="Q46" s="57">
        <v>0</v>
      </c>
      <c r="R46" s="57">
        <v>28134820</v>
      </c>
      <c r="S46" s="57">
        <v>2070271</v>
      </c>
      <c r="T46" s="57">
        <v>6832020</v>
      </c>
      <c r="U46" s="57">
        <v>6831495</v>
      </c>
      <c r="W46" s="2">
        <v>362928</v>
      </c>
      <c r="Y46" s="2">
        <v>173982875</v>
      </c>
      <c r="Z46" s="2">
        <v>164402479</v>
      </c>
      <c r="AB46" s="2">
        <v>5005787</v>
      </c>
    </row>
    <row r="47" spans="1:28" ht="3.95" customHeight="1">
      <c r="A47" s="274"/>
      <c r="P47" s="503"/>
      <c r="AB47"/>
    </row>
    <row r="48" spans="1:28">
      <c r="A48" s="274"/>
      <c r="B48" s="2" t="s">
        <v>145</v>
      </c>
      <c r="C48" s="2">
        <f t="shared" ref="C48" si="1">SUM(C11:C46)</f>
        <v>15741167</v>
      </c>
      <c r="D48" s="2">
        <f t="shared" ref="D48:E48" si="2">SUM(D11:D46)</f>
        <v>1460584</v>
      </c>
      <c r="E48" s="2">
        <f t="shared" si="2"/>
        <v>1511673</v>
      </c>
      <c r="F48" s="2">
        <f t="shared" ref="F48" si="3">SUM(F11:F46)</f>
        <v>78314</v>
      </c>
      <c r="G48" s="2">
        <f t="shared" ref="G48" si="4">SUM(G11:G46)</f>
        <v>36349</v>
      </c>
      <c r="H48" s="2">
        <f t="shared" ref="H48" si="5">SUM(H11:H46)</f>
        <v>477136</v>
      </c>
      <c r="I48" s="2">
        <f t="shared" ref="I48" si="6">SUM(I11:I46)</f>
        <v>203985</v>
      </c>
      <c r="J48" s="2">
        <f t="shared" ref="J48" si="7">SUM(J11:J46)</f>
        <v>0</v>
      </c>
      <c r="K48" s="2">
        <f t="shared" ref="K48:M48" si="8">SUM(K11:K46)</f>
        <v>19509208</v>
      </c>
      <c r="L48" s="2">
        <f t="shared" si="8"/>
        <v>1373641</v>
      </c>
      <c r="M48" s="2">
        <f t="shared" si="8"/>
        <v>2170214</v>
      </c>
      <c r="N48" s="2">
        <f>SUM(N11:N46)</f>
        <v>167574</v>
      </c>
      <c r="O48" s="2">
        <f>SUM(O11:O46)</f>
        <v>205468</v>
      </c>
      <c r="P48" s="503">
        <f>SUM(P11:P46)</f>
        <v>142.54000000000002</v>
      </c>
      <c r="Q48" s="2">
        <f t="shared" ref="Q48:R48" si="9">SUM(Q11:Q46)</f>
        <v>0</v>
      </c>
      <c r="R48" s="2">
        <f t="shared" si="9"/>
        <v>198624331</v>
      </c>
      <c r="S48" s="2">
        <f t="shared" ref="S48:U48" si="10">SUM(S11:S46)</f>
        <v>13305494</v>
      </c>
      <c r="T48" s="2">
        <f t="shared" si="10"/>
        <v>36342472</v>
      </c>
      <c r="U48" s="2">
        <f t="shared" si="10"/>
        <v>37388600</v>
      </c>
      <c r="W48" s="2">
        <v>379006.21142656368</v>
      </c>
      <c r="Y48" s="2">
        <v>959552225</v>
      </c>
      <c r="Z48" s="2">
        <v>898133898</v>
      </c>
      <c r="AB48" s="2">
        <f>SUM(AB11:AB46)</f>
        <v>28992093</v>
      </c>
    </row>
    <row r="49" spans="1:28" ht="3.95" customHeight="1">
      <c r="A49" s="274"/>
      <c r="B49" s="2" t="s">
        <v>7</v>
      </c>
      <c r="P49" s="503"/>
    </row>
    <row r="50" spans="1:28" ht="10.9" customHeight="1">
      <c r="A50" s="274" t="s">
        <v>188</v>
      </c>
      <c r="B50" s="2" t="s">
        <v>146</v>
      </c>
      <c r="C50" s="57">
        <v>0</v>
      </c>
      <c r="D50" s="57">
        <v>0</v>
      </c>
      <c r="E50" s="57">
        <v>0</v>
      </c>
      <c r="F50" s="57">
        <v>0</v>
      </c>
      <c r="G50" s="57">
        <v>0</v>
      </c>
      <c r="H50" s="57">
        <v>0</v>
      </c>
      <c r="I50" s="57">
        <v>0</v>
      </c>
      <c r="J50" s="57">
        <v>0</v>
      </c>
      <c r="K50" s="57">
        <f>SUM(C50:I50)-J50</f>
        <v>0</v>
      </c>
      <c r="L50" s="57">
        <v>0</v>
      </c>
      <c r="M50" s="57">
        <v>0</v>
      </c>
      <c r="N50" s="57">
        <v>0</v>
      </c>
      <c r="O50" s="57">
        <v>0</v>
      </c>
      <c r="P50" s="586">
        <v>4.25</v>
      </c>
      <c r="Q50" s="57">
        <v>0</v>
      </c>
      <c r="R50" s="57">
        <v>180332</v>
      </c>
      <c r="S50" s="57">
        <v>15618</v>
      </c>
      <c r="T50" s="57">
        <v>9220</v>
      </c>
      <c r="U50" s="57">
        <v>71803</v>
      </c>
      <c r="AB50" s="417">
        <v>73056</v>
      </c>
    </row>
    <row r="51" spans="1:28">
      <c r="A51" s="274" t="s">
        <v>187</v>
      </c>
      <c r="B51" s="2" t="s">
        <v>612</v>
      </c>
      <c r="C51" s="57">
        <v>0</v>
      </c>
      <c r="D51" s="57">
        <v>0</v>
      </c>
      <c r="E51" s="57">
        <v>382455</v>
      </c>
      <c r="F51" s="57">
        <v>0</v>
      </c>
      <c r="G51" s="57">
        <v>0</v>
      </c>
      <c r="H51" s="57">
        <v>0</v>
      </c>
      <c r="I51" s="57">
        <v>0</v>
      </c>
      <c r="J51" s="57">
        <v>0</v>
      </c>
      <c r="K51" s="57">
        <f>SUM(C51:I51)-J51</f>
        <v>382455</v>
      </c>
      <c r="L51" s="57">
        <v>0</v>
      </c>
      <c r="M51" s="57">
        <v>0</v>
      </c>
      <c r="N51" s="57">
        <v>0</v>
      </c>
      <c r="O51" s="57">
        <v>0</v>
      </c>
      <c r="P51" s="586">
        <v>4.25</v>
      </c>
      <c r="Q51" s="57">
        <v>0</v>
      </c>
      <c r="R51" s="57">
        <v>0</v>
      </c>
      <c r="S51" s="57">
        <v>0</v>
      </c>
      <c r="T51" s="57">
        <v>0</v>
      </c>
      <c r="U51" s="57">
        <v>0</v>
      </c>
    </row>
    <row r="55" spans="1:28">
      <c r="B55" s="556" t="s">
        <v>446</v>
      </c>
      <c r="C55" s="870" t="s">
        <v>448</v>
      </c>
      <c r="D55" s="871"/>
      <c r="E55" s="871"/>
      <c r="F55" s="872"/>
      <c r="G55" s="556" t="s">
        <v>447</v>
      </c>
      <c r="K55" s="57"/>
    </row>
    <row r="56" spans="1:28">
      <c r="B56" s="555">
        <v>18</v>
      </c>
      <c r="C56" s="555">
        <v>0</v>
      </c>
      <c r="D56" s="555">
        <v>0</v>
      </c>
      <c r="E56" s="555"/>
      <c r="F56" s="555"/>
      <c r="G56" s="555">
        <v>100</v>
      </c>
    </row>
    <row r="57" spans="1:28">
      <c r="B57" s="557">
        <f>+B56+1</f>
        <v>19</v>
      </c>
      <c r="C57" s="557">
        <v>0</v>
      </c>
      <c r="D57" s="557">
        <v>0</v>
      </c>
      <c r="E57" s="557">
        <v>0</v>
      </c>
      <c r="F57" s="557"/>
      <c r="G57" s="557">
        <v>100</v>
      </c>
    </row>
    <row r="58" spans="1:28">
      <c r="B58" s="555">
        <f t="shared" ref="B58:B71" si="11">+B57+1</f>
        <v>20</v>
      </c>
      <c r="C58" s="555">
        <v>0</v>
      </c>
      <c r="D58" s="555"/>
      <c r="E58" s="555"/>
      <c r="F58" s="555"/>
      <c r="G58" s="555">
        <v>100</v>
      </c>
    </row>
    <row r="59" spans="1:28">
      <c r="B59" s="557">
        <f t="shared" si="11"/>
        <v>21</v>
      </c>
      <c r="C59" s="557">
        <v>0</v>
      </c>
      <c r="D59" s="557">
        <v>0</v>
      </c>
      <c r="E59" s="557">
        <v>0</v>
      </c>
      <c r="F59" s="557"/>
      <c r="G59" s="557">
        <v>200</v>
      </c>
    </row>
    <row r="60" spans="1:28">
      <c r="B60" s="555">
        <f t="shared" si="11"/>
        <v>22</v>
      </c>
      <c r="C60" s="555">
        <v>0</v>
      </c>
      <c r="D60" s="555">
        <v>0</v>
      </c>
      <c r="E60" s="555">
        <v>0</v>
      </c>
      <c r="F60" s="555"/>
      <c r="G60" s="555">
        <v>200</v>
      </c>
    </row>
    <row r="61" spans="1:28">
      <c r="B61" s="557">
        <f t="shared" si="11"/>
        <v>23</v>
      </c>
      <c r="C61" s="557">
        <v>0</v>
      </c>
      <c r="D61" s="557">
        <v>0</v>
      </c>
      <c r="E61" s="557"/>
      <c r="F61" s="557"/>
      <c r="G61" s="557">
        <v>300</v>
      </c>
    </row>
    <row r="62" spans="1:28">
      <c r="B62" s="555">
        <f t="shared" si="11"/>
        <v>24</v>
      </c>
      <c r="C62" s="555">
        <v>0</v>
      </c>
      <c r="D62" s="555">
        <v>0</v>
      </c>
      <c r="E62" s="555">
        <v>0</v>
      </c>
      <c r="F62" s="555">
        <v>0</v>
      </c>
      <c r="G62" s="555">
        <v>400</v>
      </c>
    </row>
    <row r="63" spans="1:28">
      <c r="B63" s="557">
        <f t="shared" si="11"/>
        <v>25</v>
      </c>
      <c r="C63" s="557">
        <v>0</v>
      </c>
      <c r="D63" s="557">
        <v>0</v>
      </c>
      <c r="E63" s="557">
        <v>0</v>
      </c>
      <c r="F63" s="557"/>
      <c r="G63" s="557">
        <v>500</v>
      </c>
    </row>
    <row r="64" spans="1:28">
      <c r="B64" s="555">
        <f t="shared" si="11"/>
        <v>26</v>
      </c>
      <c r="C64" s="555">
        <v>0</v>
      </c>
      <c r="D64" s="555"/>
      <c r="E64" s="555"/>
      <c r="F64" s="555"/>
      <c r="G64" s="555">
        <v>500</v>
      </c>
    </row>
    <row r="65" spans="2:7">
      <c r="B65" s="557">
        <f t="shared" si="11"/>
        <v>27</v>
      </c>
      <c r="C65" s="557">
        <v>0</v>
      </c>
      <c r="D65" s="557">
        <v>0</v>
      </c>
      <c r="E65" s="557">
        <v>0</v>
      </c>
      <c r="F65" s="557"/>
      <c r="G65" s="557">
        <v>600</v>
      </c>
    </row>
    <row r="66" spans="2:7">
      <c r="B66" s="555">
        <f t="shared" si="11"/>
        <v>28</v>
      </c>
      <c r="C66" s="555">
        <v>0</v>
      </c>
      <c r="D66" s="555">
        <v>0</v>
      </c>
      <c r="E66" s="555"/>
      <c r="F66" s="555"/>
      <c r="G66" s="555">
        <v>600</v>
      </c>
    </row>
    <row r="67" spans="2:7">
      <c r="B67" s="557">
        <f t="shared" si="11"/>
        <v>29</v>
      </c>
      <c r="C67" s="557">
        <v>0</v>
      </c>
      <c r="D67" s="557">
        <v>0</v>
      </c>
      <c r="E67" s="557">
        <v>0</v>
      </c>
      <c r="F67" s="557"/>
      <c r="G67" s="557">
        <v>700</v>
      </c>
    </row>
    <row r="68" spans="2:7">
      <c r="B68" s="555">
        <f t="shared" si="11"/>
        <v>30</v>
      </c>
      <c r="C68" s="555">
        <v>0</v>
      </c>
      <c r="D68" s="555">
        <v>0</v>
      </c>
      <c r="E68" s="555"/>
      <c r="F68" s="555"/>
      <c r="G68" s="555">
        <v>700</v>
      </c>
    </row>
    <row r="69" spans="2:7">
      <c r="B69" s="557">
        <f t="shared" si="11"/>
        <v>31</v>
      </c>
      <c r="C69" s="557">
        <v>0</v>
      </c>
      <c r="D69" s="557">
        <v>0</v>
      </c>
      <c r="E69" s="557">
        <v>0</v>
      </c>
      <c r="F69" s="557"/>
      <c r="G69" s="557">
        <v>800</v>
      </c>
    </row>
    <row r="70" spans="2:7">
      <c r="B70" s="555">
        <f t="shared" si="11"/>
        <v>32</v>
      </c>
      <c r="C70" s="555">
        <v>0</v>
      </c>
      <c r="D70" s="555">
        <v>0</v>
      </c>
      <c r="E70" s="555"/>
      <c r="F70" s="555"/>
      <c r="G70" s="555">
        <v>800</v>
      </c>
    </row>
    <row r="71" spans="2:7">
      <c r="B71" s="557">
        <f t="shared" si="11"/>
        <v>33</v>
      </c>
      <c r="C71" s="557">
        <v>0</v>
      </c>
      <c r="D71" s="557">
        <v>0</v>
      </c>
      <c r="E71" s="557">
        <v>0</v>
      </c>
      <c r="F71" s="557"/>
      <c r="G71" s="557">
        <v>900</v>
      </c>
    </row>
    <row r="72" spans="2:7">
      <c r="B72" s="576" t="s">
        <v>611</v>
      </c>
      <c r="C72" s="576">
        <f>SUM(C56:F71)</f>
        <v>0</v>
      </c>
    </row>
    <row r="88" spans="2:3">
      <c r="B88" s="2" t="s">
        <v>278</v>
      </c>
    </row>
    <row r="89" spans="2:3">
      <c r="B89" s="274">
        <f>+FALLYR-1</f>
        <v>2014</v>
      </c>
      <c r="C89" s="2" t="s">
        <v>279</v>
      </c>
    </row>
    <row r="90" spans="2:3">
      <c r="B90" s="274"/>
    </row>
    <row r="91" spans="2:3">
      <c r="B91" s="274"/>
    </row>
  </sheetData>
  <mergeCells count="2">
    <mergeCell ref="C55:F55"/>
    <mergeCell ref="N6:N9"/>
  </mergeCells>
  <phoneticPr fontId="6" type="noConversion"/>
  <pageMargins left="0.5" right="0.5" top="0.6" bottom="0.2" header="0.3" footer="0.5"/>
  <pageSetup scale="87" orientation="landscape" horizont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Sheet6">
    <pageSetUpPr fitToPage="1"/>
  </sheetPr>
  <dimension ref="A1:D58"/>
  <sheetViews>
    <sheetView showGridLines="0" showZeros="0" workbookViewId="0"/>
  </sheetViews>
  <sheetFormatPr defaultRowHeight="12"/>
  <cols>
    <col min="1" max="1" width="39.83203125" style="2" customWidth="1"/>
    <col min="2" max="3" width="31.83203125" style="2" customWidth="1"/>
    <col min="4" max="4" width="29.83203125" style="2" customWidth="1"/>
    <col min="5" max="16384" width="9.33203125" style="2"/>
  </cols>
  <sheetData>
    <row r="1" spans="1:4" ht="6.95" customHeight="1">
      <c r="A1" s="7"/>
      <c r="B1" s="8"/>
      <c r="C1" s="8"/>
      <c r="D1" s="8"/>
    </row>
    <row r="2" spans="1:4" ht="15.95" customHeight="1">
      <c r="A2" s="63"/>
      <c r="B2" s="9" t="s">
        <v>87</v>
      </c>
      <c r="C2" s="10"/>
      <c r="D2" s="64"/>
    </row>
    <row r="3" spans="1:4" ht="15.95" customHeight="1">
      <c r="A3" s="544"/>
      <c r="B3" s="11" t="str">
        <f>STATDATE</f>
        <v>ACTUAL SEPTEMBER 30, 2015</v>
      </c>
      <c r="C3" s="12"/>
      <c r="D3" s="66"/>
    </row>
    <row r="4" spans="1:4" ht="15.95" customHeight="1">
      <c r="B4" s="8"/>
      <c r="C4" s="8"/>
      <c r="D4" s="8"/>
    </row>
    <row r="5" spans="1:4" ht="15.95" customHeight="1">
      <c r="B5" s="8"/>
      <c r="C5" s="8"/>
      <c r="D5" s="8"/>
    </row>
    <row r="6" spans="1:4" ht="15.95" customHeight="1">
      <c r="B6" s="8"/>
      <c r="C6" s="8"/>
      <c r="D6" s="8"/>
    </row>
    <row r="7" spans="1:4" ht="15.95" customHeight="1">
      <c r="B7" s="301" t="s">
        <v>87</v>
      </c>
      <c r="C7" s="283"/>
      <c r="D7" s="8"/>
    </row>
    <row r="8" spans="1:4" ht="15.95" customHeight="1">
      <c r="A8" s="67"/>
      <c r="B8" s="629" t="s">
        <v>464</v>
      </c>
      <c r="C8" s="68"/>
      <c r="D8" s="69"/>
    </row>
    <row r="9" spans="1:4" ht="15.95" customHeight="1">
      <c r="A9" s="35" t="s">
        <v>42</v>
      </c>
      <c r="B9" s="630"/>
      <c r="C9" s="36" t="s">
        <v>242</v>
      </c>
    </row>
    <row r="10" spans="1:4" ht="5.0999999999999996" customHeight="1">
      <c r="A10" s="6"/>
    </row>
    <row r="11" spans="1:4" ht="14.1" customHeight="1">
      <c r="A11" s="285" t="s">
        <v>110</v>
      </c>
      <c r="B11" s="292">
        <v>16.520453425332676</v>
      </c>
      <c r="C11" s="292">
        <v>14.095878889823382</v>
      </c>
    </row>
    <row r="12" spans="1:4" ht="14.1" customHeight="1">
      <c r="A12" s="19" t="s">
        <v>111</v>
      </c>
      <c r="B12" s="70">
        <v>13.272081097793295</v>
      </c>
      <c r="C12" s="70">
        <v>10.589923898471492</v>
      </c>
    </row>
    <row r="13" spans="1:4" ht="14.1" customHeight="1">
      <c r="A13" s="285" t="s">
        <v>112</v>
      </c>
      <c r="B13" s="292">
        <v>17.590243278394919</v>
      </c>
      <c r="C13" s="292">
        <v>12.939146800501881</v>
      </c>
    </row>
    <row r="14" spans="1:4" ht="14.1" customHeight="1">
      <c r="A14" s="19" t="s">
        <v>359</v>
      </c>
      <c r="B14" s="70">
        <v>14.738903754379191</v>
      </c>
      <c r="C14" s="70">
        <v>12.042734464804923</v>
      </c>
    </row>
    <row r="15" spans="1:4" ht="14.1" customHeight="1">
      <c r="A15" s="285" t="s">
        <v>113</v>
      </c>
      <c r="B15" s="292">
        <v>16.588235294117649</v>
      </c>
      <c r="C15" s="292">
        <v>12.760180995475114</v>
      </c>
    </row>
    <row r="16" spans="1:4" ht="14.1" customHeight="1">
      <c r="A16" s="19" t="s">
        <v>114</v>
      </c>
      <c r="B16" s="70">
        <v>14.92</v>
      </c>
      <c r="C16" s="70">
        <v>11.685463659147871</v>
      </c>
    </row>
    <row r="17" spans="1:3" ht="14.1" customHeight="1">
      <c r="A17" s="285" t="s">
        <v>115</v>
      </c>
      <c r="B17" s="292">
        <v>14.266124010994853</v>
      </c>
      <c r="C17" s="292">
        <v>12.064134175784663</v>
      </c>
    </row>
    <row r="18" spans="1:3" ht="14.1" customHeight="1">
      <c r="A18" s="19" t="s">
        <v>116</v>
      </c>
      <c r="B18" s="70">
        <v>14.799486859634367</v>
      </c>
      <c r="C18" s="70">
        <v>11.871327583361477</v>
      </c>
    </row>
    <row r="19" spans="1:3" ht="14.1" customHeight="1">
      <c r="A19" s="285" t="s">
        <v>117</v>
      </c>
      <c r="B19" s="292">
        <v>17.982504564949679</v>
      </c>
      <c r="C19" s="292">
        <v>14.507862550960976</v>
      </c>
    </row>
    <row r="20" spans="1:3" ht="14.1" customHeight="1">
      <c r="A20" s="19" t="s">
        <v>118</v>
      </c>
      <c r="B20" s="70">
        <v>17.966349236505259</v>
      </c>
      <c r="C20" s="70">
        <v>14.567151246750745</v>
      </c>
    </row>
    <row r="21" spans="1:3" ht="14.1" customHeight="1">
      <c r="A21" s="285" t="s">
        <v>119</v>
      </c>
      <c r="B21" s="292">
        <v>15.865918487891319</v>
      </c>
      <c r="C21" s="292">
        <v>11.967476052572957</v>
      </c>
    </row>
    <row r="22" spans="1:3" ht="14.1" customHeight="1">
      <c r="A22" s="19" t="s">
        <v>120</v>
      </c>
      <c r="B22" s="70">
        <v>17.709826589595377</v>
      </c>
      <c r="C22" s="70">
        <v>12.92197385069591</v>
      </c>
    </row>
    <row r="23" spans="1:3" ht="14.1" customHeight="1">
      <c r="A23" s="285" t="s">
        <v>121</v>
      </c>
      <c r="B23" s="292">
        <v>15.027063599458726</v>
      </c>
      <c r="C23" s="292">
        <v>11.973045822102426</v>
      </c>
    </row>
    <row r="24" spans="1:3" ht="14.1" customHeight="1">
      <c r="A24" s="19" t="s">
        <v>122</v>
      </c>
      <c r="B24" s="70">
        <v>14.805267062314538</v>
      </c>
      <c r="C24" s="70">
        <v>11.788245717660956</v>
      </c>
    </row>
    <row r="25" spans="1:3" ht="14.1" customHeight="1">
      <c r="A25" s="285" t="s">
        <v>123</v>
      </c>
      <c r="B25" s="292">
        <v>18.422518348862635</v>
      </c>
      <c r="C25" s="292">
        <v>14.130881795132861</v>
      </c>
    </row>
    <row r="26" spans="1:3" ht="14.1" customHeight="1">
      <c r="A26" s="19" t="s">
        <v>124</v>
      </c>
      <c r="B26" s="70">
        <v>15.956839757223634</v>
      </c>
      <c r="C26" s="70">
        <v>12.807594620477159</v>
      </c>
    </row>
    <row r="27" spans="1:3" ht="14.1" customHeight="1">
      <c r="A27" s="285" t="s">
        <v>125</v>
      </c>
      <c r="B27" s="292">
        <v>15.371481481481482</v>
      </c>
      <c r="C27" s="292">
        <v>11.73348142164782</v>
      </c>
    </row>
    <row r="28" spans="1:3" ht="14.1" customHeight="1">
      <c r="A28" s="19" t="s">
        <v>126</v>
      </c>
      <c r="B28" s="70">
        <v>13.749136143745682</v>
      </c>
      <c r="C28" s="70">
        <v>11.33941293815902</v>
      </c>
    </row>
    <row r="29" spans="1:3" ht="14.1" customHeight="1">
      <c r="A29" s="285" t="s">
        <v>127</v>
      </c>
      <c r="B29" s="292">
        <v>17.902597952102902</v>
      </c>
      <c r="C29" s="292">
        <v>14.083011583011583</v>
      </c>
    </row>
    <row r="30" spans="1:3" ht="14.1" customHeight="1">
      <c r="A30" s="19" t="s">
        <v>128</v>
      </c>
      <c r="B30" s="70">
        <v>14.719249376924203</v>
      </c>
      <c r="C30" s="70">
        <v>12.196307094266277</v>
      </c>
    </row>
    <row r="31" spans="1:3" ht="14.1" customHeight="1">
      <c r="A31" s="285" t="s">
        <v>129</v>
      </c>
      <c r="B31" s="292">
        <v>16.706706195052138</v>
      </c>
      <c r="C31" s="292">
        <v>13.047904191616766</v>
      </c>
    </row>
    <row r="32" spans="1:3" ht="14.1" customHeight="1">
      <c r="A32" s="19" t="s">
        <v>130</v>
      </c>
      <c r="B32" s="70">
        <v>14.407912687585268</v>
      </c>
      <c r="C32" s="70">
        <v>12.031899743662775</v>
      </c>
    </row>
    <row r="33" spans="1:4" ht="14.1" customHeight="1">
      <c r="A33" s="285" t="s">
        <v>131</v>
      </c>
      <c r="B33" s="292">
        <v>15.547657265153251</v>
      </c>
      <c r="C33" s="292">
        <v>12.675099700897308</v>
      </c>
    </row>
    <row r="34" spans="1:4" ht="14.1" customHeight="1">
      <c r="A34" s="19" t="s">
        <v>132</v>
      </c>
      <c r="B34" s="70">
        <v>15.477310005467467</v>
      </c>
      <c r="C34" s="70">
        <v>12.125566026190183</v>
      </c>
    </row>
    <row r="35" spans="1:4" ht="14.1" customHeight="1">
      <c r="A35" s="285" t="s">
        <v>133</v>
      </c>
      <c r="B35" s="292">
        <v>17.061262855247154</v>
      </c>
      <c r="C35" s="292">
        <v>13.380483235911399</v>
      </c>
    </row>
    <row r="36" spans="1:4" ht="14.1" customHeight="1">
      <c r="A36" s="19" t="s">
        <v>134</v>
      </c>
      <c r="B36" s="70">
        <v>14.711434735706581</v>
      </c>
      <c r="C36" s="70">
        <v>12.065914620659147</v>
      </c>
    </row>
    <row r="37" spans="1:4" ht="14.1" customHeight="1">
      <c r="A37" s="285" t="s">
        <v>135</v>
      </c>
      <c r="B37" s="292">
        <v>18.461780717145814</v>
      </c>
      <c r="C37" s="292">
        <v>14.269569148381263</v>
      </c>
    </row>
    <row r="38" spans="1:4" ht="14.1" customHeight="1">
      <c r="A38" s="19" t="s">
        <v>136</v>
      </c>
      <c r="B38" s="70">
        <v>17.117292756379776</v>
      </c>
      <c r="C38" s="70">
        <v>13.871933204881181</v>
      </c>
    </row>
    <row r="39" spans="1:4" ht="14.1" customHeight="1">
      <c r="A39" s="285" t="s">
        <v>137</v>
      </c>
      <c r="B39" s="292">
        <v>13.95772787318362</v>
      </c>
      <c r="C39" s="292">
        <v>12.048806446708227</v>
      </c>
    </row>
    <row r="40" spans="1:4" ht="14.1" customHeight="1">
      <c r="A40" s="19" t="s">
        <v>138</v>
      </c>
      <c r="B40" s="70">
        <v>17.236383324309692</v>
      </c>
      <c r="C40" s="70">
        <v>13.195556660863799</v>
      </c>
    </row>
    <row r="41" spans="1:4" ht="14.1" customHeight="1">
      <c r="A41" s="285" t="s">
        <v>139</v>
      </c>
      <c r="B41" s="292">
        <v>15.859699873440606</v>
      </c>
      <c r="C41" s="292">
        <v>12.021378648759763</v>
      </c>
    </row>
    <row r="42" spans="1:4" ht="14.1" customHeight="1">
      <c r="A42" s="19" t="s">
        <v>140</v>
      </c>
      <c r="B42" s="70">
        <v>14.622860764842594</v>
      </c>
      <c r="C42" s="70">
        <v>12.148499210110582</v>
      </c>
    </row>
    <row r="43" spans="1:4" ht="14.1" customHeight="1">
      <c r="A43" s="285" t="s">
        <v>141</v>
      </c>
      <c r="B43" s="292">
        <v>15.421078351523049</v>
      </c>
      <c r="C43" s="292">
        <v>12.278858625162128</v>
      </c>
    </row>
    <row r="44" spans="1:4" ht="14.1" customHeight="1">
      <c r="A44" s="19" t="s">
        <v>142</v>
      </c>
      <c r="B44" s="70">
        <v>12.583148558758316</v>
      </c>
      <c r="C44" s="70">
        <v>10.699135899450118</v>
      </c>
    </row>
    <row r="45" spans="1:4" ht="14.1" customHeight="1">
      <c r="A45" s="285" t="s">
        <v>143</v>
      </c>
      <c r="B45" s="292">
        <v>16.187225743539738</v>
      </c>
      <c r="C45" s="292">
        <v>13.457640859343332</v>
      </c>
    </row>
    <row r="46" spans="1:4" ht="14.1" customHeight="1">
      <c r="A46" s="19" t="s">
        <v>144</v>
      </c>
      <c r="B46" s="70">
        <v>17.716430229865264</v>
      </c>
      <c r="C46" s="70">
        <v>13.381083941802265</v>
      </c>
    </row>
    <row r="47" spans="1:4" ht="5.0999999999999996" customHeight="1">
      <c r="A47"/>
      <c r="B47"/>
      <c r="C47"/>
      <c r="D47"/>
    </row>
    <row r="48" spans="1:4" ht="14.1" customHeight="1">
      <c r="A48" s="287" t="s">
        <v>145</v>
      </c>
      <c r="B48" s="295">
        <v>16.733283440938656</v>
      </c>
      <c r="C48" s="295">
        <v>13.113408572959694</v>
      </c>
      <c r="D48" s="6"/>
    </row>
    <row r="49" spans="1:4" ht="5.0999999999999996" customHeight="1">
      <c r="A49" s="21" t="s">
        <v>7</v>
      </c>
      <c r="B49" s="71"/>
      <c r="C49" s="71"/>
    </row>
    <row r="50" spans="1:4" ht="14.1" customHeight="1">
      <c r="A50" s="19" t="s">
        <v>146</v>
      </c>
      <c r="B50" s="70">
        <v>9.263271939328277</v>
      </c>
      <c r="C50" s="70">
        <v>7.661290322580645</v>
      </c>
    </row>
    <row r="51" spans="1:4" ht="14.1" customHeight="1">
      <c r="A51" s="285" t="s">
        <v>612</v>
      </c>
      <c r="B51" s="292">
        <v>29.882352941176471</v>
      </c>
      <c r="C51" s="292">
        <v>25.4</v>
      </c>
    </row>
    <row r="52" spans="1:4" ht="49.5" customHeight="1">
      <c r="A52" s="23"/>
      <c r="B52" s="23"/>
      <c r="C52" s="23"/>
      <c r="D52" s="23"/>
    </row>
    <row r="53" spans="1:4" ht="15" customHeight="1">
      <c r="A53" s="619" t="s">
        <v>465</v>
      </c>
      <c r="B53" s="619"/>
      <c r="C53" s="619"/>
      <c r="D53" s="619"/>
    </row>
    <row r="54" spans="1:4" ht="12" customHeight="1">
      <c r="A54" s="620"/>
      <c r="B54" s="620"/>
      <c r="C54" s="620"/>
      <c r="D54" s="620"/>
    </row>
    <row r="55" spans="1:4" ht="12" customHeight="1">
      <c r="A55" s="620"/>
      <c r="B55" s="620"/>
      <c r="C55" s="620"/>
      <c r="D55" s="620"/>
    </row>
    <row r="56" spans="1:4" ht="12" customHeight="1">
      <c r="A56" s="620" t="s">
        <v>466</v>
      </c>
      <c r="B56" s="620"/>
      <c r="C56" s="620"/>
      <c r="D56" s="620"/>
    </row>
    <row r="57" spans="1:4" ht="12" customHeight="1">
      <c r="A57" s="620"/>
      <c r="B57" s="620"/>
      <c r="C57" s="620"/>
      <c r="D57" s="620"/>
    </row>
    <row r="58" spans="1:4">
      <c r="A58" s="620"/>
      <c r="B58" s="620"/>
      <c r="C58" s="620"/>
      <c r="D58" s="620"/>
    </row>
  </sheetData>
  <mergeCells count="3">
    <mergeCell ref="B8:B9"/>
    <mergeCell ref="A53:D55"/>
    <mergeCell ref="A56:D5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sheetPr codeName="Sheet7"/>
  <dimension ref="A2:M28"/>
  <sheetViews>
    <sheetView showGridLines="0" showZeros="0" workbookViewId="0"/>
  </sheetViews>
  <sheetFormatPr defaultColWidth="15.83203125" defaultRowHeight="12"/>
  <cols>
    <col min="1" max="1" width="6.5" style="2" customWidth="1"/>
    <col min="2" max="2" width="39.5" style="2" customWidth="1"/>
    <col min="3" max="3" width="16" style="2" customWidth="1"/>
    <col min="4" max="4" width="15.83203125" style="2" customWidth="1"/>
    <col min="5" max="5" width="15.5" style="2" customWidth="1"/>
    <col min="6" max="6" width="17.1640625" style="2" customWidth="1"/>
    <col min="7" max="7" width="14.83203125" style="2" customWidth="1"/>
    <col min="8" max="8" width="15" style="2" customWidth="1"/>
    <col min="9" max="9" width="13.5" style="2" customWidth="1"/>
    <col min="10" max="10" width="3.33203125" style="2" customWidth="1"/>
    <col min="11" max="11" width="17.6640625" style="2" customWidth="1"/>
    <col min="12" max="12" width="6.83203125" style="2" customWidth="1"/>
    <col min="13" max="16384" width="15.83203125" style="2"/>
  </cols>
  <sheetData>
    <row r="2" spans="1:11">
      <c r="A2" s="39"/>
      <c r="B2" s="39"/>
      <c r="C2" s="40" t="str">
        <f>OPYEAR</f>
        <v>OPERATING FUND 2015/2016 ACTUAL</v>
      </c>
      <c r="D2" s="41"/>
      <c r="E2" s="41"/>
      <c r="F2" s="41"/>
      <c r="G2" s="41"/>
      <c r="H2" s="41"/>
      <c r="I2" s="41"/>
      <c r="J2" s="41"/>
      <c r="K2" s="42"/>
    </row>
    <row r="3" spans="1:11" ht="14.25">
      <c r="A3" s="540"/>
    </row>
    <row r="4" spans="1:11" ht="19.5" customHeight="1">
      <c r="C4" s="8"/>
      <c r="D4" s="8"/>
      <c r="E4" s="8"/>
      <c r="F4" s="8"/>
      <c r="G4" s="8"/>
      <c r="H4" s="8"/>
      <c r="I4" s="8"/>
      <c r="J4" s="8"/>
      <c r="K4" s="8"/>
    </row>
    <row r="5" spans="1:11" ht="15.75">
      <c r="C5" s="280" t="s">
        <v>257</v>
      </c>
      <c r="D5" s="43"/>
      <c r="E5" s="43"/>
      <c r="F5" s="43"/>
      <c r="G5" s="43"/>
      <c r="H5" s="43"/>
      <c r="I5" s="43"/>
      <c r="J5" s="43"/>
      <c r="K5" s="8"/>
    </row>
    <row r="6" spans="1:11" ht="16.5" customHeight="1">
      <c r="C6" s="8"/>
      <c r="D6" s="8"/>
      <c r="E6" s="8"/>
      <c r="F6" s="8"/>
      <c r="G6" s="8"/>
      <c r="H6" s="8"/>
      <c r="I6" s="8"/>
      <c r="J6" s="8"/>
      <c r="K6" s="8"/>
    </row>
    <row r="7" spans="1:11">
      <c r="C7" s="8"/>
      <c r="D7" s="8"/>
      <c r="E7" s="8"/>
      <c r="F7" s="8"/>
      <c r="G7" s="8"/>
      <c r="H7" s="8"/>
      <c r="I7" s="8"/>
      <c r="J7" s="8"/>
      <c r="K7" s="8"/>
    </row>
    <row r="8" spans="1:11">
      <c r="C8" s="282" t="s">
        <v>71</v>
      </c>
      <c r="D8" s="302"/>
      <c r="E8" s="302"/>
      <c r="F8" s="302"/>
      <c r="G8" s="302"/>
      <c r="H8" s="302"/>
      <c r="I8" s="302"/>
      <c r="J8" s="303"/>
      <c r="K8" s="8"/>
    </row>
    <row r="9" spans="1:11">
      <c r="C9" s="8"/>
      <c r="D9" s="8"/>
      <c r="E9" s="8"/>
      <c r="F9" s="8"/>
      <c r="G9" s="8"/>
      <c r="H9" s="8"/>
      <c r="I9" s="8"/>
      <c r="J9" s="8"/>
      <c r="K9" s="8"/>
    </row>
    <row r="10" spans="1:11">
      <c r="A10" s="44"/>
      <c r="B10" s="45"/>
      <c r="C10" s="304"/>
      <c r="D10" s="634" t="s">
        <v>467</v>
      </c>
      <c r="E10" s="305"/>
      <c r="F10" s="636" t="s">
        <v>468</v>
      </c>
      <c r="G10" s="637" t="s">
        <v>37</v>
      </c>
      <c r="H10" s="639" t="s">
        <v>469</v>
      </c>
      <c r="I10" s="306"/>
      <c r="J10" s="307"/>
      <c r="K10" s="304"/>
    </row>
    <row r="11" spans="1:11" ht="13.5" customHeight="1">
      <c r="A11" s="631" t="s">
        <v>78</v>
      </c>
      <c r="B11" s="632"/>
      <c r="C11" s="308" t="s">
        <v>72</v>
      </c>
      <c r="D11" s="635"/>
      <c r="E11" s="300" t="s">
        <v>67</v>
      </c>
      <c r="F11" s="635"/>
      <c r="G11" s="638"/>
      <c r="H11" s="640"/>
      <c r="I11" s="299" t="s">
        <v>47</v>
      </c>
      <c r="J11" s="309"/>
      <c r="K11" s="308" t="s">
        <v>73</v>
      </c>
    </row>
    <row r="13" spans="1:11">
      <c r="A13" s="47">
        <v>100</v>
      </c>
      <c r="B13" s="6" t="s">
        <v>26</v>
      </c>
      <c r="C13" s="48">
        <f>'- 12 -'!B21</f>
        <v>1055757803</v>
      </c>
      <c r="D13" s="49">
        <f>'- 12 -'!B22</f>
        <v>67875421</v>
      </c>
      <c r="E13" s="49">
        <f>'- 12 -'!B39</f>
        <v>33153556</v>
      </c>
      <c r="F13" s="49">
        <f>'- 12 -'!B45</f>
        <v>78703415</v>
      </c>
      <c r="G13" s="50"/>
      <c r="H13" s="184"/>
      <c r="I13" s="51"/>
      <c r="J13" s="50"/>
      <c r="K13" s="48">
        <f>SUM(C13:F13)</f>
        <v>1235490195</v>
      </c>
    </row>
    <row r="14" spans="1:11" ht="24" customHeight="1">
      <c r="A14" s="47">
        <v>200</v>
      </c>
      <c r="B14" s="6" t="s">
        <v>260</v>
      </c>
      <c r="C14" s="48">
        <f>'- 12 -'!D21</f>
        <v>357105059</v>
      </c>
      <c r="D14" s="49">
        <f>'- 12 -'!D22</f>
        <v>35844473</v>
      </c>
      <c r="E14" s="49">
        <f>'- 12 -'!D39</f>
        <v>10791932</v>
      </c>
      <c r="F14" s="49">
        <f>'- 12 -'!D45</f>
        <v>4709782</v>
      </c>
      <c r="G14" s="50"/>
      <c r="H14" s="184"/>
      <c r="I14" s="51"/>
      <c r="J14" s="50"/>
      <c r="K14" s="48">
        <f>SUM(C14:F14)</f>
        <v>408451246</v>
      </c>
    </row>
    <row r="15" spans="1:11" ht="24" customHeight="1">
      <c r="A15" s="47">
        <v>300</v>
      </c>
      <c r="B15" s="6" t="s">
        <v>106</v>
      </c>
      <c r="C15" s="48">
        <f>'- 12 -'!F21</f>
        <v>8230532</v>
      </c>
      <c r="D15" s="49">
        <f>'- 12 -'!F22</f>
        <v>568354</v>
      </c>
      <c r="E15" s="49">
        <f>'- 12 -'!F39</f>
        <v>929802</v>
      </c>
      <c r="F15" s="49">
        <f>'- 12 -'!F45</f>
        <v>486292</v>
      </c>
      <c r="G15" s="50"/>
      <c r="H15" s="184"/>
      <c r="I15" s="51">
        <f>'- 12 -'!F47</f>
        <v>46950</v>
      </c>
      <c r="J15" s="110" t="s">
        <v>96</v>
      </c>
      <c r="K15" s="48">
        <f>SUM(C15:F15,I15)</f>
        <v>10261930</v>
      </c>
    </row>
    <row r="16" spans="1:11" ht="24" customHeight="1">
      <c r="A16" s="47">
        <v>400</v>
      </c>
      <c r="B16" s="6" t="s">
        <v>74</v>
      </c>
      <c r="C16" s="48">
        <f>'- 12 -'!H21</f>
        <v>17517583</v>
      </c>
      <c r="D16" s="49">
        <f>'- 12 -'!H22</f>
        <v>1618982</v>
      </c>
      <c r="E16" s="49">
        <f>'- 12 -'!H39</f>
        <v>2821090</v>
      </c>
      <c r="F16" s="49">
        <f>'- 12 -'!H45</f>
        <v>1772305</v>
      </c>
      <c r="G16" s="50"/>
      <c r="H16" s="184"/>
      <c r="I16" s="51">
        <f>'- 12 -'!H47</f>
        <v>56419</v>
      </c>
      <c r="J16" s="110" t="s">
        <v>96</v>
      </c>
      <c r="K16" s="48">
        <f>SUM(C16:F16,I16)</f>
        <v>23786379</v>
      </c>
    </row>
    <row r="17" spans="1:13" ht="24" customHeight="1">
      <c r="A17" s="47">
        <v>500</v>
      </c>
      <c r="B17" s="6" t="s">
        <v>93</v>
      </c>
      <c r="C17" s="48">
        <f>'- 12 -'!J21</f>
        <v>49848184</v>
      </c>
      <c r="D17" s="49">
        <f>'- 12 -'!J22</f>
        <v>7135273</v>
      </c>
      <c r="E17" s="49">
        <f>'- 12 -'!J39</f>
        <v>16957616</v>
      </c>
      <c r="F17" s="49">
        <f>'- 12 -'!J45</f>
        <v>3068486</v>
      </c>
      <c r="G17" s="50"/>
      <c r="H17" s="184"/>
      <c r="I17" s="51">
        <f>'- 12 -'!J47</f>
        <v>-103369</v>
      </c>
      <c r="J17" s="110" t="s">
        <v>96</v>
      </c>
      <c r="K17" s="48">
        <f>SUM(C17:F17,I17)</f>
        <v>76906190</v>
      </c>
    </row>
    <row r="18" spans="1:13" ht="12" customHeight="1">
      <c r="A18" s="47"/>
      <c r="B18" s="6"/>
      <c r="C18" s="52"/>
      <c r="D18" s="53"/>
      <c r="E18" s="53"/>
      <c r="F18" s="53"/>
      <c r="G18" s="50"/>
      <c r="H18" s="184"/>
      <c r="I18" s="54"/>
      <c r="J18" s="428"/>
      <c r="K18" s="48"/>
    </row>
    <row r="19" spans="1:13" ht="24" customHeight="1">
      <c r="A19" s="55">
        <v>600</v>
      </c>
      <c r="B19" s="56" t="s">
        <v>283</v>
      </c>
      <c r="C19" s="48">
        <f>'- 13 -'!B21</f>
        <v>49594413</v>
      </c>
      <c r="D19" s="49">
        <f>'- 13 -'!B22</f>
        <v>4861414</v>
      </c>
      <c r="E19" s="49">
        <f>'- 13 -'!B39</f>
        <v>12865282</v>
      </c>
      <c r="F19" s="49">
        <f>'- 13 -'!B45</f>
        <v>7488572</v>
      </c>
      <c r="G19" s="50"/>
      <c r="H19" s="184"/>
      <c r="I19" s="51"/>
      <c r="J19" s="428"/>
      <c r="K19" s="48">
        <f>SUM(C19:F19)</f>
        <v>74809681</v>
      </c>
    </row>
    <row r="20" spans="1:13" ht="28.5" customHeight="1">
      <c r="A20" s="47">
        <v>700</v>
      </c>
      <c r="B20" s="6" t="s">
        <v>75</v>
      </c>
      <c r="C20" s="48">
        <f>'- 13 -'!D21</f>
        <v>45860723</v>
      </c>
      <c r="D20" s="49">
        <f>'- 13 -'!D22</f>
        <v>6893380</v>
      </c>
      <c r="E20" s="49">
        <f>'- 13 -'!D39</f>
        <v>25398841</v>
      </c>
      <c r="F20" s="49">
        <f>'- 13 -'!D45</f>
        <v>16524977</v>
      </c>
      <c r="G20" s="50"/>
      <c r="H20" s="184"/>
      <c r="I20" s="51"/>
      <c r="J20" s="428"/>
      <c r="K20" s="48">
        <f>SUM(C20:F20)</f>
        <v>94677921</v>
      </c>
      <c r="L20" s="633" t="s">
        <v>97</v>
      </c>
    </row>
    <row r="21" spans="1:13" ht="24" customHeight="1">
      <c r="A21" s="47">
        <v>800</v>
      </c>
      <c r="B21" s="6" t="s">
        <v>76</v>
      </c>
      <c r="C21" s="48">
        <f>'- 13 -'!F21</f>
        <v>112348164</v>
      </c>
      <c r="D21" s="49">
        <f>'- 13 -'!F22</f>
        <v>19076386</v>
      </c>
      <c r="E21" s="49">
        <f>'- 13 -'!F39</f>
        <v>96225713</v>
      </c>
      <c r="F21" s="49">
        <f>'- 13 -'!F45</f>
        <v>25837707</v>
      </c>
      <c r="G21" s="50"/>
      <c r="H21" s="184"/>
      <c r="I21" s="51">
        <f>'- 13 -'!F47</f>
        <v>0</v>
      </c>
      <c r="J21" s="429"/>
      <c r="K21" s="48">
        <f>SUM(C21:F21,I21)</f>
        <v>253487970</v>
      </c>
      <c r="L21" s="633"/>
    </row>
    <row r="22" spans="1:13" ht="24" customHeight="1">
      <c r="A22" s="47">
        <v>900</v>
      </c>
      <c r="B22" s="6" t="s">
        <v>30</v>
      </c>
      <c r="C22" s="52"/>
      <c r="D22" s="53"/>
      <c r="E22" s="53"/>
      <c r="F22" s="53"/>
      <c r="G22" s="49">
        <v>1803409</v>
      </c>
      <c r="H22" s="49">
        <v>-21387</v>
      </c>
      <c r="I22" s="54">
        <v>35849655</v>
      </c>
      <c r="J22" s="429" t="s">
        <v>224</v>
      </c>
      <c r="K22" s="48">
        <f>SUM(G22:I22)</f>
        <v>37631677</v>
      </c>
    </row>
    <row r="23" spans="1:13">
      <c r="A23" s="47"/>
      <c r="B23" s="6"/>
      <c r="C23" s="52"/>
      <c r="D23" s="53"/>
      <c r="E23" s="53"/>
      <c r="F23" s="53"/>
      <c r="G23" s="53"/>
      <c r="H23" s="32"/>
      <c r="I23" s="54"/>
      <c r="J23" s="50"/>
      <c r="K23" s="52"/>
    </row>
    <row r="24" spans="1:13">
      <c r="B24" s="6"/>
      <c r="C24" s="57"/>
      <c r="D24" s="57"/>
      <c r="E24" s="57"/>
      <c r="F24" s="57"/>
      <c r="G24" s="57"/>
      <c r="H24" s="57"/>
      <c r="I24" s="57"/>
      <c r="K24" s="57"/>
    </row>
    <row r="25" spans="1:13">
      <c r="A25" s="58"/>
      <c r="B25" s="59" t="s">
        <v>73</v>
      </c>
      <c r="C25" s="60">
        <f>SUM(C13:C22)</f>
        <v>1696262461</v>
      </c>
      <c r="D25" s="61">
        <f>SUM(D13:D22)</f>
        <v>143873683</v>
      </c>
      <c r="E25" s="61">
        <f>SUM(E13:E22)</f>
        <v>199143832</v>
      </c>
      <c r="F25" s="61">
        <f>SUM(F13:F22)</f>
        <v>138591536</v>
      </c>
      <c r="G25" s="61">
        <f>G22</f>
        <v>1803409</v>
      </c>
      <c r="H25" s="61">
        <f>H22</f>
        <v>-21387</v>
      </c>
      <c r="I25" s="431">
        <f>SUM(I13:I22)</f>
        <v>35849655</v>
      </c>
      <c r="J25" s="62"/>
      <c r="K25" s="60">
        <f>SUM(K13:K22)</f>
        <v>2215503189</v>
      </c>
      <c r="M25" s="2">
        <f>K25-'- 3 -'!D48</f>
        <v>0</v>
      </c>
    </row>
    <row r="26" spans="1:13" ht="60" customHeight="1"/>
    <row r="27" spans="1:13">
      <c r="A27" s="109" t="s">
        <v>96</v>
      </c>
      <c r="B27" s="133" t="s">
        <v>393</v>
      </c>
      <c r="C27" s="6"/>
    </row>
    <row r="28" spans="1:13" ht="13.5" customHeight="1">
      <c r="A28" s="430" t="s">
        <v>224</v>
      </c>
      <c r="B28" s="2" t="s">
        <v>277</v>
      </c>
      <c r="C28" s="6"/>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8">
    <pageSetUpPr autoPageBreaks="0"/>
  </sheetPr>
  <dimension ref="A2:L54"/>
  <sheetViews>
    <sheetView showGridLines="0" showZeros="0" workbookViewId="0"/>
  </sheetViews>
  <sheetFormatPr defaultColWidth="15.83203125" defaultRowHeight="12"/>
  <cols>
    <col min="1" max="1" width="49.6640625" style="2" customWidth="1"/>
    <col min="2" max="2" width="15.83203125" style="2" customWidth="1"/>
    <col min="3" max="3" width="8.83203125" style="2" customWidth="1"/>
    <col min="4" max="4" width="15.83203125" style="2" customWidth="1"/>
    <col min="5" max="5" width="8.83203125" style="2" customWidth="1"/>
    <col min="6" max="6" width="15.83203125" style="2" customWidth="1"/>
    <col min="7" max="7" width="8.83203125" style="2" customWidth="1"/>
    <col min="8" max="8" width="15.83203125" style="2" customWidth="1"/>
    <col min="9" max="9" width="8.83203125" style="2" customWidth="1"/>
    <col min="10" max="10" width="15.83203125" style="2" customWidth="1"/>
    <col min="11" max="11" width="8.83203125" style="2" customWidth="1"/>
    <col min="12" max="12" width="5" style="2" customWidth="1"/>
    <col min="13" max="16384" width="15.83203125" style="2"/>
  </cols>
  <sheetData>
    <row r="2" spans="1:11">
      <c r="A2" s="39"/>
      <c r="B2" s="39"/>
      <c r="C2" s="39"/>
      <c r="D2" s="40" t="str">
        <f>OPYEAR</f>
        <v>OPERATING FUND 2015/2016 ACTUAL</v>
      </c>
      <c r="E2" s="40"/>
      <c r="F2" s="40"/>
      <c r="G2" s="40"/>
      <c r="H2" s="41"/>
      <c r="I2" s="41"/>
      <c r="J2" s="42"/>
      <c r="K2" s="111" t="s">
        <v>11</v>
      </c>
    </row>
    <row r="3" spans="1:11" ht="9" customHeight="1">
      <c r="A3" s="540"/>
      <c r="J3" s="80"/>
      <c r="K3" s="80"/>
    </row>
    <row r="4" spans="1:11" ht="15.75">
      <c r="B4" s="281" t="s">
        <v>258</v>
      </c>
      <c r="C4" s="80"/>
      <c r="D4" s="80"/>
      <c r="E4" s="80"/>
      <c r="F4" s="80"/>
      <c r="G4" s="80"/>
      <c r="H4" s="80"/>
      <c r="I4" s="80"/>
      <c r="J4" s="80"/>
      <c r="K4" s="80"/>
    </row>
    <row r="5" spans="1:11" ht="15.75">
      <c r="B5" s="281" t="s">
        <v>259</v>
      </c>
      <c r="C5" s="80"/>
      <c r="D5" s="80"/>
      <c r="E5" s="80"/>
      <c r="F5" s="80"/>
      <c r="G5" s="80"/>
      <c r="H5" s="80"/>
      <c r="I5" s="80"/>
      <c r="J5" s="80"/>
      <c r="K5" s="80"/>
    </row>
    <row r="6" spans="1:11" ht="9" customHeight="1"/>
    <row r="7" spans="1:11">
      <c r="B7" s="112" t="s">
        <v>78</v>
      </c>
      <c r="C7" s="41"/>
      <c r="D7" s="41"/>
      <c r="E7" s="41"/>
      <c r="F7" s="41"/>
      <c r="G7" s="41"/>
      <c r="H7" s="41"/>
      <c r="I7" s="41"/>
      <c r="J7" s="41"/>
      <c r="K7" s="113"/>
    </row>
    <row r="8" spans="1:11">
      <c r="A8" s="8"/>
      <c r="B8" s="643" t="s">
        <v>470</v>
      </c>
      <c r="C8" s="644"/>
      <c r="D8" s="647" t="s">
        <v>260</v>
      </c>
      <c r="E8" s="644"/>
      <c r="F8" s="647" t="s">
        <v>106</v>
      </c>
      <c r="G8" s="644"/>
      <c r="H8" s="643" t="s">
        <v>471</v>
      </c>
      <c r="I8" s="644"/>
      <c r="J8" s="647" t="s">
        <v>93</v>
      </c>
      <c r="K8" s="644"/>
    </row>
    <row r="9" spans="1:11">
      <c r="A9" s="8"/>
      <c r="B9" s="645"/>
      <c r="C9" s="646"/>
      <c r="D9" s="645"/>
      <c r="E9" s="646"/>
      <c r="F9" s="645"/>
      <c r="G9" s="646"/>
      <c r="H9" s="645"/>
      <c r="I9" s="646"/>
      <c r="J9" s="645"/>
      <c r="K9" s="646"/>
    </row>
    <row r="10" spans="1:11">
      <c r="A10" s="114" t="s">
        <v>71</v>
      </c>
      <c r="B10" s="115" t="s">
        <v>43</v>
      </c>
      <c r="C10" s="115" t="s">
        <v>44</v>
      </c>
      <c r="D10" s="115" t="s">
        <v>43</v>
      </c>
      <c r="E10" s="115" t="s">
        <v>44</v>
      </c>
      <c r="F10" s="115" t="s">
        <v>43</v>
      </c>
      <c r="G10" s="115" t="s">
        <v>44</v>
      </c>
      <c r="H10" s="115" t="s">
        <v>43</v>
      </c>
      <c r="I10" s="115" t="s">
        <v>44</v>
      </c>
      <c r="J10" s="115" t="s">
        <v>43</v>
      </c>
      <c r="K10" s="46" t="s">
        <v>44</v>
      </c>
    </row>
    <row r="11" spans="1:11" ht="5.0999999999999996" customHeight="1">
      <c r="A11" s="116"/>
      <c r="B11" s="8"/>
      <c r="C11" s="8"/>
      <c r="D11" s="8"/>
      <c r="E11" s="8"/>
      <c r="F11" s="8"/>
      <c r="G11" s="8"/>
      <c r="H11" s="8"/>
      <c r="I11" s="8"/>
      <c r="J11" s="8"/>
      <c r="K11" s="8"/>
    </row>
    <row r="12" spans="1:11">
      <c r="A12" s="314" t="s">
        <v>72</v>
      </c>
      <c r="B12" s="117"/>
      <c r="C12" s="118"/>
      <c r="D12" s="117"/>
      <c r="E12" s="118"/>
      <c r="F12" s="117"/>
      <c r="G12" s="118"/>
      <c r="H12" s="117"/>
      <c r="I12" s="118"/>
      <c r="J12" s="117"/>
      <c r="K12" s="118"/>
    </row>
    <row r="13" spans="1:11">
      <c r="A13" s="119" t="s">
        <v>190</v>
      </c>
      <c r="B13" s="120"/>
      <c r="C13" s="340"/>
      <c r="D13" s="120"/>
      <c r="E13" s="340"/>
      <c r="F13" s="120"/>
      <c r="G13" s="340"/>
      <c r="H13" s="120"/>
      <c r="I13" s="340"/>
      <c r="J13" s="120">
        <v>4023450</v>
      </c>
      <c r="K13" s="340"/>
    </row>
    <row r="14" spans="1:11">
      <c r="A14" s="119" t="s">
        <v>226</v>
      </c>
      <c r="B14" s="120">
        <v>89472495</v>
      </c>
      <c r="C14" s="340">
        <f>B14/'- 13 -'!$J$53*100</f>
        <v>4.0384728599909954</v>
      </c>
      <c r="D14" s="120">
        <v>7093345</v>
      </c>
      <c r="E14" s="340">
        <f>D14/'- 13 -'!$J$53*100</f>
        <v>0.32016857548292155</v>
      </c>
      <c r="F14" s="120">
        <v>993773</v>
      </c>
      <c r="G14" s="340">
        <f>F14/'- 13 -'!$J$53*100</f>
        <v>4.4855408240172923E-2</v>
      </c>
      <c r="H14" s="120">
        <v>916154</v>
      </c>
      <c r="I14" s="340">
        <f>H14/'- 13 -'!$J$53*100</f>
        <v>4.1351960337891437E-2</v>
      </c>
      <c r="J14" s="120">
        <v>21938935</v>
      </c>
      <c r="K14" s="340">
        <f>J14/'- 13 -'!$J$53*100</f>
        <v>0.99024614854661808</v>
      </c>
    </row>
    <row r="15" spans="1:11">
      <c r="A15" s="119" t="s">
        <v>191</v>
      </c>
      <c r="B15" s="120">
        <v>887716801</v>
      </c>
      <c r="C15" s="340">
        <f>B15/'- 13 -'!$J$53*100</f>
        <v>40.068405471385674</v>
      </c>
      <c r="D15" s="120">
        <v>154986499</v>
      </c>
      <c r="E15" s="340">
        <f>D15/'- 13 -'!$J$53*100</f>
        <v>6.9955439364524432</v>
      </c>
      <c r="F15" s="120">
        <v>6193620</v>
      </c>
      <c r="G15" s="340">
        <f>F15/'- 13 -'!$J$53*100</f>
        <v>0.27955816226089847</v>
      </c>
      <c r="H15" s="120">
        <v>8507821</v>
      </c>
      <c r="I15" s="340">
        <f>H15/'- 13 -'!$J$53*100</f>
        <v>0.3840130333479741</v>
      </c>
      <c r="J15" s="120"/>
      <c r="K15" s="340">
        <f>J15/'- 13 -'!$J$53*100</f>
        <v>0</v>
      </c>
    </row>
    <row r="16" spans="1:11">
      <c r="A16" s="119" t="s">
        <v>192</v>
      </c>
      <c r="B16" s="120">
        <v>22200241</v>
      </c>
      <c r="C16" s="340">
        <f>B16/'- 13 -'!$J$53*100</f>
        <v>1.0020405797754868</v>
      </c>
      <c r="D16" s="120">
        <v>156005583</v>
      </c>
      <c r="E16" s="340">
        <f>D16/'- 13 -'!$J$53*100</f>
        <v>7.0415417939621845</v>
      </c>
      <c r="F16" s="120">
        <v>370117</v>
      </c>
      <c r="G16" s="340">
        <f>F16/'- 13 -'!$J$53*100</f>
        <v>1.6705775998772439E-2</v>
      </c>
      <c r="H16" s="120">
        <v>4643577</v>
      </c>
      <c r="I16" s="340">
        <f>H16/'- 13 -'!$J$53*100</f>
        <v>0.20959468815280502</v>
      </c>
      <c r="J16" s="120"/>
      <c r="K16" s="340">
        <f>J16/'- 13 -'!$J$53*100</f>
        <v>0</v>
      </c>
    </row>
    <row r="17" spans="1:12">
      <c r="A17" s="119" t="s">
        <v>193</v>
      </c>
      <c r="B17" s="120">
        <v>6466939</v>
      </c>
      <c r="C17" s="340">
        <f>B17/'- 13 -'!$J$53*100</f>
        <v>0.29189481794061184</v>
      </c>
      <c r="D17" s="120">
        <v>1343577</v>
      </c>
      <c r="E17" s="340">
        <f>D17/'- 13 -'!$J$53*100</f>
        <v>6.0644327061720155E-2</v>
      </c>
      <c r="F17" s="120">
        <v>245090</v>
      </c>
      <c r="G17" s="340">
        <f>F17/'- 13 -'!$J$53*100</f>
        <v>1.1062498181761814E-2</v>
      </c>
      <c r="H17" s="120">
        <v>2045852</v>
      </c>
      <c r="I17" s="340">
        <f>H17/'- 13 -'!$J$53*100</f>
        <v>9.2342543678460037E-2</v>
      </c>
      <c r="J17" s="120">
        <v>5785818</v>
      </c>
      <c r="K17" s="340">
        <f>J17/'- 13 -'!$J$53*100</f>
        <v>0.26115141827493893</v>
      </c>
    </row>
    <row r="18" spans="1:12">
      <c r="A18" s="121" t="s">
        <v>194</v>
      </c>
      <c r="B18" s="120">
        <v>36827937</v>
      </c>
      <c r="C18" s="340">
        <f>B18/'- 13 -'!$J$53*100</f>
        <v>1.6622831861787042</v>
      </c>
      <c r="D18" s="120">
        <v>2595652</v>
      </c>
      <c r="E18" s="340">
        <f>D18/'- 13 -'!$J$53*100</f>
        <v>0.11715857656569592</v>
      </c>
      <c r="F18" s="120">
        <v>427932</v>
      </c>
      <c r="G18" s="340">
        <f>F18/'- 13 -'!$J$53*100</f>
        <v>1.9315341188615189E-2</v>
      </c>
      <c r="H18" s="120">
        <v>676003</v>
      </c>
      <c r="I18" s="340">
        <f>H18/'- 13 -'!$J$53*100</f>
        <v>3.0512391196562613E-2</v>
      </c>
      <c r="J18" s="120">
        <v>15959412</v>
      </c>
      <c r="K18" s="340">
        <f>J18/'- 13 -'!$J$53*100</f>
        <v>0.72035156975799775</v>
      </c>
    </row>
    <row r="19" spans="1:12">
      <c r="A19" s="121" t="s">
        <v>195</v>
      </c>
      <c r="B19" s="120"/>
      <c r="C19" s="341"/>
      <c r="D19" s="122">
        <v>34890742</v>
      </c>
      <c r="E19" s="341">
        <f>D19/'- 13 -'!$J$53*100</f>
        <v>1.5748450362532969</v>
      </c>
      <c r="F19" s="122"/>
      <c r="G19" s="341"/>
      <c r="H19" s="122">
        <v>652503</v>
      </c>
      <c r="I19" s="341"/>
      <c r="J19" s="122"/>
      <c r="K19" s="341"/>
    </row>
    <row r="20" spans="1:12">
      <c r="A20" s="124" t="s">
        <v>196</v>
      </c>
      <c r="B20" s="123">
        <v>13073390</v>
      </c>
      <c r="C20" s="341">
        <f>B20/'- 13 -'!$J$53*100</f>
        <v>0.59008671551047809</v>
      </c>
      <c r="D20" s="123">
        <v>189661</v>
      </c>
      <c r="E20" s="341">
        <f>D20/'- 13 -'!$J$53*100</f>
        <v>8.5606286166352262E-3</v>
      </c>
      <c r="F20" s="123">
        <v>0</v>
      </c>
      <c r="G20" s="341">
        <f>F20/'- 13 -'!$J$53*100</f>
        <v>0</v>
      </c>
      <c r="H20" s="123">
        <v>75673</v>
      </c>
      <c r="I20" s="341">
        <f>H20/'- 13 -'!$J$53*100</f>
        <v>3.415612325710807E-3</v>
      </c>
      <c r="J20" s="123">
        <v>2140569</v>
      </c>
      <c r="K20" s="341">
        <f>J20/'- 13 -'!$J$53*100</f>
        <v>9.6617734997085578E-2</v>
      </c>
    </row>
    <row r="21" spans="1:12" ht="12.75" customHeight="1">
      <c r="A21" s="125" t="s">
        <v>197</v>
      </c>
      <c r="B21" s="343">
        <f>SUM(B13:B20)</f>
        <v>1055757803</v>
      </c>
      <c r="C21" s="344">
        <f>B21/'- 13 -'!$J$53*100</f>
        <v>47.653183630781946</v>
      </c>
      <c r="D21" s="343">
        <f>SUM(D13:D20)</f>
        <v>357105059</v>
      </c>
      <c r="E21" s="344">
        <f>D21/'- 13 -'!$J$53*100</f>
        <v>16.118462874394897</v>
      </c>
      <c r="F21" s="343">
        <f>SUM(F13:F20)</f>
        <v>8230532</v>
      </c>
      <c r="G21" s="344">
        <f>F21/'- 13 -'!$J$53*100</f>
        <v>0.37149718587022085</v>
      </c>
      <c r="H21" s="343">
        <f>SUM(H13:H20)</f>
        <v>17517583</v>
      </c>
      <c r="I21" s="344">
        <f>H21/'- 13 -'!$J$53*100</f>
        <v>0.79068191311910585</v>
      </c>
      <c r="J21" s="343">
        <f>SUM(J13:J20)</f>
        <v>49848184</v>
      </c>
      <c r="K21" s="344">
        <f>J21/'- 13 -'!$J$53*100</f>
        <v>2.2499712141014658</v>
      </c>
    </row>
    <row r="22" spans="1:12">
      <c r="A22" s="314" t="s">
        <v>80</v>
      </c>
      <c r="B22" s="343">
        <v>67875421</v>
      </c>
      <c r="C22" s="344">
        <f>B22/'- 13 -'!$J$53*100</f>
        <v>3.0636571112604254</v>
      </c>
      <c r="D22" s="343">
        <v>35844473</v>
      </c>
      <c r="E22" s="344">
        <f>D22/'- 13 -'!$J$53*100</f>
        <v>1.6178930898392854</v>
      </c>
      <c r="F22" s="343">
        <v>568354</v>
      </c>
      <c r="G22" s="344">
        <f>F22/'- 13 -'!$J$53*100</f>
        <v>2.5653495008352255E-2</v>
      </c>
      <c r="H22" s="343">
        <v>1618982</v>
      </c>
      <c r="I22" s="344">
        <f>H22/'- 13 -'!$J$53*100</f>
        <v>7.3075137424232342E-2</v>
      </c>
      <c r="J22" s="343">
        <v>7135273</v>
      </c>
      <c r="K22" s="344">
        <f>J22/'- 13 -'!$J$53*100</f>
        <v>0.32206105752529346</v>
      </c>
    </row>
    <row r="23" spans="1:12">
      <c r="A23" s="314" t="s">
        <v>67</v>
      </c>
      <c r="B23" s="128"/>
      <c r="C23" s="342"/>
      <c r="D23" s="128"/>
      <c r="E23" s="342"/>
      <c r="F23" s="128"/>
      <c r="G23" s="342"/>
      <c r="H23" s="128"/>
      <c r="I23" s="342"/>
      <c r="J23" s="128"/>
      <c r="K23" s="342"/>
    </row>
    <row r="24" spans="1:12">
      <c r="A24" s="121" t="s">
        <v>198</v>
      </c>
      <c r="B24" s="120">
        <v>6599386</v>
      </c>
      <c r="C24" s="340">
        <f>B24/'- 13 -'!$J$53*100</f>
        <v>0.29787300838771213</v>
      </c>
      <c r="D24" s="120">
        <v>6749643</v>
      </c>
      <c r="E24" s="340">
        <f>D24/'- 13 -'!$J$53*100</f>
        <v>0.30465507941997372</v>
      </c>
      <c r="F24" s="120">
        <v>84708</v>
      </c>
      <c r="G24" s="340">
        <f>F24/'- 13 -'!$J$53*100</f>
        <v>3.8234203597889739E-3</v>
      </c>
      <c r="H24" s="120">
        <v>1434670</v>
      </c>
      <c r="I24" s="340">
        <f>H24/'- 13 -'!$J$53*100</f>
        <v>6.4755943801983851E-2</v>
      </c>
      <c r="J24" s="120">
        <v>4481638</v>
      </c>
      <c r="K24" s="340">
        <f>J24/'- 13 -'!$J$53*100</f>
        <v>0.20228533284228101</v>
      </c>
    </row>
    <row r="25" spans="1:12">
      <c r="A25" s="121" t="s">
        <v>199</v>
      </c>
      <c r="B25" s="122">
        <v>4289609</v>
      </c>
      <c r="C25" s="341">
        <f>B25/'- 13 -'!$J$53*100</f>
        <v>0.19361782105744466</v>
      </c>
      <c r="D25" s="122">
        <v>342994</v>
      </c>
      <c r="E25" s="341">
        <f>D25/'- 13 -'!$J$53*100</f>
        <v>1.5481539440022896E-2</v>
      </c>
      <c r="F25" s="122">
        <v>62989</v>
      </c>
      <c r="G25" s="341">
        <f>F25/'- 13 -'!$J$53*100</f>
        <v>2.8431013014443467E-3</v>
      </c>
      <c r="H25" s="122">
        <v>52604</v>
      </c>
      <c r="I25" s="341">
        <f>H25/'- 13 -'!$J$53*100</f>
        <v>2.374359028738008E-3</v>
      </c>
      <c r="J25" s="122">
        <v>1116477</v>
      </c>
      <c r="K25" s="341">
        <f>J25/'- 13 -'!$J$53*100</f>
        <v>5.0393834030270042E-2</v>
      </c>
    </row>
    <row r="26" spans="1:12">
      <c r="A26" s="121" t="s">
        <v>200</v>
      </c>
      <c r="B26" s="122"/>
      <c r="C26" s="341">
        <f>B26/'- 13 -'!$J$53*100</f>
        <v>0</v>
      </c>
      <c r="D26" s="122"/>
      <c r="E26" s="341">
        <f>D26/'- 13 -'!$J$53*100</f>
        <v>0</v>
      </c>
      <c r="F26" s="122">
        <v>47932</v>
      </c>
      <c r="G26" s="341">
        <f>F26/'- 13 -'!$J$53*100</f>
        <v>2.1634814266114784E-3</v>
      </c>
      <c r="H26" s="122"/>
      <c r="I26" s="341">
        <f>H26/'- 13 -'!$J$53*100</f>
        <v>0</v>
      </c>
      <c r="J26" s="122"/>
      <c r="K26" s="341">
        <f>J26/'- 13 -'!$J$53*100</f>
        <v>0</v>
      </c>
    </row>
    <row r="27" spans="1:12" ht="19.5" customHeight="1">
      <c r="A27" s="121" t="s">
        <v>222</v>
      </c>
      <c r="B27" s="122">
        <v>3239672</v>
      </c>
      <c r="C27" s="341">
        <f>B27/'- 13 -'!$J$53*100</f>
        <v>0.14622736794444757</v>
      </c>
      <c r="D27" s="122">
        <v>2368216</v>
      </c>
      <c r="E27" s="341">
        <f>D27/'- 13 -'!$J$53*100</f>
        <v>0.10689291767929836</v>
      </c>
      <c r="F27" s="122">
        <v>78720</v>
      </c>
      <c r="G27" s="341">
        <f>F27/'- 13 -'!$J$53*100</f>
        <v>3.5531431591182419E-3</v>
      </c>
      <c r="H27" s="122">
        <v>237292</v>
      </c>
      <c r="I27" s="341">
        <f>H27/'- 13 -'!$J$53*100</f>
        <v>1.0710523964856274E-2</v>
      </c>
      <c r="J27" s="122">
        <v>2405195</v>
      </c>
      <c r="K27" s="341">
        <f>J27/'- 13 -'!$J$53*100</f>
        <v>0.10856201931650662</v>
      </c>
      <c r="L27" s="641" t="s">
        <v>108</v>
      </c>
    </row>
    <row r="28" spans="1:12" ht="12.75" customHeight="1">
      <c r="A28" s="121" t="s">
        <v>201</v>
      </c>
      <c r="B28" s="122"/>
      <c r="C28" s="341">
        <f>B28/'- 13 -'!$J$53*100</f>
        <v>0</v>
      </c>
      <c r="D28" s="122"/>
      <c r="E28" s="341">
        <f>D28/'- 13 -'!$J$53*100</f>
        <v>0</v>
      </c>
      <c r="F28" s="122"/>
      <c r="G28" s="341">
        <f>F28/'- 13 -'!$J$53*100</f>
        <v>0</v>
      </c>
      <c r="H28" s="122"/>
      <c r="I28" s="341">
        <f>H28/'- 13 -'!$J$53*100</f>
        <v>0</v>
      </c>
      <c r="J28" s="122"/>
      <c r="K28" s="341">
        <f>J28/'- 13 -'!$J$53*100</f>
        <v>0</v>
      </c>
      <c r="L28" s="642"/>
    </row>
    <row r="29" spans="1:12" ht="12.75" customHeight="1">
      <c r="A29" s="121" t="s">
        <v>202</v>
      </c>
      <c r="B29" s="122">
        <v>1117827</v>
      </c>
      <c r="C29" s="341">
        <f>B29/'- 13 -'!$J$53*100</f>
        <v>5.0454768268898213E-2</v>
      </c>
      <c r="D29" s="122">
        <v>576312</v>
      </c>
      <c r="E29" s="341">
        <f>D29/'- 13 -'!$J$53*100</f>
        <v>2.6012691060947061E-2</v>
      </c>
      <c r="F29" s="122">
        <v>1026</v>
      </c>
      <c r="G29" s="341">
        <f>F29/'- 13 -'!$J$53*100</f>
        <v>4.6310021357410017E-5</v>
      </c>
      <c r="H29" s="122"/>
      <c r="I29" s="341">
        <f>H29/'- 13 -'!$J$53*100</f>
        <v>0</v>
      </c>
      <c r="J29" s="122"/>
      <c r="K29" s="341">
        <f>J29/'- 13 -'!$J$53*100</f>
        <v>0</v>
      </c>
      <c r="L29" s="642"/>
    </row>
    <row r="30" spans="1:12" ht="12.75" customHeight="1">
      <c r="A30" s="121" t="s">
        <v>203</v>
      </c>
      <c r="B30" s="122">
        <v>443440</v>
      </c>
      <c r="C30" s="341">
        <f>B30/'- 13 -'!$J$53*100</f>
        <v>2.0015317612797172E-2</v>
      </c>
      <c r="D30" s="122">
        <v>21401</v>
      </c>
      <c r="E30" s="341">
        <f>D30/'- 13 -'!$J$53*100</f>
        <v>9.6596565991221412E-4</v>
      </c>
      <c r="F30" s="122">
        <v>8867</v>
      </c>
      <c r="G30" s="341">
        <f>F30/'- 13 -'!$J$53*100</f>
        <v>4.0022510660443918E-4</v>
      </c>
      <c r="H30" s="122">
        <v>64960</v>
      </c>
      <c r="I30" s="341">
        <f>H30/'- 13 -'!$J$53*100</f>
        <v>2.9320652898414761E-3</v>
      </c>
      <c r="J30" s="122">
        <v>228489</v>
      </c>
      <c r="K30" s="341">
        <f>J30/'- 13 -'!$J$53*100</f>
        <v>1.0313187592527541E-2</v>
      </c>
    </row>
    <row r="31" spans="1:12">
      <c r="A31" s="121" t="s">
        <v>204</v>
      </c>
      <c r="B31" s="122">
        <v>147300</v>
      </c>
      <c r="C31" s="341">
        <f>B31/'- 13 -'!$J$53*100</f>
        <v>6.648602481429333E-3</v>
      </c>
      <c r="D31" s="122">
        <v>15755</v>
      </c>
      <c r="E31" s="341">
        <f>D31/'- 13 -'!$J$53*100</f>
        <v>7.1112513302728543E-4</v>
      </c>
      <c r="F31" s="122">
        <v>3138</v>
      </c>
      <c r="G31" s="341">
        <f>F31/'- 13 -'!$J$53*100</f>
        <v>1.4163825245570432E-4</v>
      </c>
      <c r="H31" s="122">
        <v>1425</v>
      </c>
      <c r="I31" s="341">
        <f>H31/'- 13 -'!$J$53*100</f>
        <v>6.4319474107513914E-5</v>
      </c>
      <c r="J31" s="122">
        <v>1559243</v>
      </c>
      <c r="K31" s="341">
        <f>J31/'- 13 -'!$J$53*100</f>
        <v>7.037872966022618E-2</v>
      </c>
    </row>
    <row r="32" spans="1:12">
      <c r="A32" s="121" t="s">
        <v>205</v>
      </c>
      <c r="B32" s="122">
        <v>2810661</v>
      </c>
      <c r="C32" s="341">
        <f>B32/'- 13 -'!$J$53*100</f>
        <v>0.12686332450140292</v>
      </c>
      <c r="D32" s="122">
        <v>80597</v>
      </c>
      <c r="E32" s="341">
        <f>D32/'- 13 -'!$J$53*100</f>
        <v>3.6378643190479289E-3</v>
      </c>
      <c r="F32" s="122">
        <v>61297</v>
      </c>
      <c r="G32" s="341">
        <f>F32/'- 13 -'!$J$53*100</f>
        <v>2.7667303890303719E-3</v>
      </c>
      <c r="H32" s="122">
        <v>37638</v>
      </c>
      <c r="I32" s="341">
        <f>H32/'- 13 -'!$J$53*100</f>
        <v>1.6988465729534095E-3</v>
      </c>
      <c r="J32" s="122">
        <v>197670</v>
      </c>
      <c r="K32" s="341">
        <f>J32/'- 13 -'!$J$53*100</f>
        <v>8.922126629355983E-3</v>
      </c>
    </row>
    <row r="33" spans="1:11">
      <c r="A33" s="121" t="s">
        <v>206</v>
      </c>
      <c r="B33" s="122">
        <v>2888190</v>
      </c>
      <c r="C33" s="341">
        <f>B33/'- 13 -'!$J$53*100</f>
        <v>0.1303627101211092</v>
      </c>
      <c r="D33" s="122">
        <v>225557</v>
      </c>
      <c r="E33" s="341">
        <f>D33/'- 13 -'!$J$53*100</f>
        <v>1.0180847453521765E-2</v>
      </c>
      <c r="F33" s="122">
        <v>506861</v>
      </c>
      <c r="G33" s="341">
        <f>F33/'- 13 -'!$J$53*100</f>
        <v>2.2877917870602532E-2</v>
      </c>
      <c r="H33" s="122">
        <v>816530</v>
      </c>
      <c r="I33" s="341">
        <f>H33/'- 13 -'!$J$53*100</f>
        <v>3.6855284345970761E-2</v>
      </c>
      <c r="J33" s="122">
        <v>-314942</v>
      </c>
      <c r="K33" s="341">
        <f>J33/'- 13 -'!$J$53*100</f>
        <v>-1.4215371097802559E-2</v>
      </c>
    </row>
    <row r="34" spans="1:11">
      <c r="A34" s="393" t="s">
        <v>247</v>
      </c>
      <c r="B34" s="122"/>
      <c r="C34" s="341">
        <f>B34/'- 13 -'!$J$53*100</f>
        <v>0</v>
      </c>
      <c r="D34" s="122"/>
      <c r="E34" s="341">
        <f>D34/'- 13 -'!$J$53*100</f>
        <v>0</v>
      </c>
      <c r="F34" s="122">
        <v>3392</v>
      </c>
      <c r="G34" s="341">
        <f>F34/'- 13 -'!$J$53*100</f>
        <v>1.5310291661241207E-4</v>
      </c>
      <c r="H34" s="122"/>
      <c r="I34" s="341">
        <f>H34/'- 13 -'!$J$53*100</f>
        <v>0</v>
      </c>
      <c r="J34" s="122"/>
      <c r="K34" s="341">
        <f>J34/'- 13 -'!$J$53*100</f>
        <v>0</v>
      </c>
    </row>
    <row r="35" spans="1:11">
      <c r="A35" s="121" t="s">
        <v>207</v>
      </c>
      <c r="B35" s="122">
        <v>384420</v>
      </c>
      <c r="C35" s="341">
        <f>B35/'- 13 -'!$J$53*100</f>
        <v>1.7351362972919646E-2</v>
      </c>
      <c r="D35" s="122">
        <v>36796</v>
      </c>
      <c r="E35" s="341">
        <f>D35/'- 13 -'!$J$53*100</f>
        <v>1.6608416626386539E-3</v>
      </c>
      <c r="F35" s="122">
        <v>18397</v>
      </c>
      <c r="G35" s="341">
        <f>F35/'- 13 -'!$J$53*100</f>
        <v>8.3037569484626912E-4</v>
      </c>
      <c r="H35" s="122">
        <v>85007</v>
      </c>
      <c r="I35" s="341">
        <f>H35/'- 13 -'!$J$53*100</f>
        <v>3.8369161652332877E-3</v>
      </c>
      <c r="J35" s="122">
        <v>733284</v>
      </c>
      <c r="K35" s="341">
        <f>J35/'- 13 -'!$J$53*100</f>
        <v>3.3097853509792441E-2</v>
      </c>
    </row>
    <row r="36" spans="1:11">
      <c r="A36" s="121" t="s">
        <v>208</v>
      </c>
      <c r="B36" s="122">
        <v>1087099</v>
      </c>
      <c r="C36" s="341">
        <f>B36/'- 13 -'!$J$53*100</f>
        <v>4.9067814724774922E-2</v>
      </c>
      <c r="D36" s="122">
        <v>118249</v>
      </c>
      <c r="E36" s="341">
        <f>D36/'- 13 -'!$J$53*100</f>
        <v>5.3373428026241487E-3</v>
      </c>
      <c r="F36" s="122">
        <v>514</v>
      </c>
      <c r="G36" s="341">
        <f>F36/'- 13 -'!$J$53*100</f>
        <v>2.320014715176291E-5</v>
      </c>
      <c r="H36" s="122">
        <v>25709</v>
      </c>
      <c r="I36" s="341">
        <f>H36/'- 13 -'!$J$53*100</f>
        <v>1.1604135858456668E-3</v>
      </c>
      <c r="J36" s="122">
        <v>2666386</v>
      </c>
      <c r="K36" s="341">
        <f>J36/'- 13 -'!$J$53*100</f>
        <v>0.12035125985097375</v>
      </c>
    </row>
    <row r="37" spans="1:11">
      <c r="A37" s="126" t="s">
        <v>209</v>
      </c>
      <c r="B37" s="122">
        <v>433397</v>
      </c>
      <c r="C37" s="341">
        <f>B37/'- 13 -'!$J$53*100</f>
        <v>1.9562012013876636E-2</v>
      </c>
      <c r="D37" s="122">
        <v>196149</v>
      </c>
      <c r="E37" s="341">
        <f>D37/'- 13 -'!$J$53*100</f>
        <v>8.8534740538349088E-3</v>
      </c>
      <c r="F37" s="122">
        <v>31392</v>
      </c>
      <c r="G37" s="341">
        <f>F37/'- 13 -'!$J$53*100</f>
        <v>1.4169241622337381E-3</v>
      </c>
      <c r="H37" s="122">
        <v>49567</v>
      </c>
      <c r="I37" s="341">
        <f>H37/'- 13 -'!$J$53*100</f>
        <v>2.2372795600611524E-3</v>
      </c>
      <c r="J37" s="122">
        <v>1358498</v>
      </c>
      <c r="K37" s="341">
        <f>J37/'- 13 -'!$J$53*100</f>
        <v>6.1317808376217149E-2</v>
      </c>
    </row>
    <row r="38" spans="1:11">
      <c r="A38" s="127" t="s">
        <v>210</v>
      </c>
      <c r="B38" s="122">
        <v>9712555</v>
      </c>
      <c r="C38" s="341">
        <f>B38/'- 13 -'!$J$53*100</f>
        <v>0.43839047708091561</v>
      </c>
      <c r="D38" s="122">
        <v>60263</v>
      </c>
      <c r="E38" s="341">
        <f>D38/'- 13 -'!$J$53*100</f>
        <v>2.720059275888499E-3</v>
      </c>
      <c r="F38" s="122">
        <v>20569</v>
      </c>
      <c r="G38" s="341">
        <f>F38/'- 13 -'!$J$53*100</f>
        <v>9.2841211432803769E-4</v>
      </c>
      <c r="H38" s="122">
        <v>15688</v>
      </c>
      <c r="I38" s="341">
        <f>H38/'- 13 -'!$J$53*100</f>
        <v>7.0810098933240574E-4</v>
      </c>
      <c r="J38" s="122">
        <v>2525678</v>
      </c>
      <c r="K38" s="341">
        <f>J38/'- 13 -'!$J$53*100</f>
        <v>0.11400019699994211</v>
      </c>
    </row>
    <row r="39" spans="1:11">
      <c r="A39" s="125" t="s">
        <v>211</v>
      </c>
      <c r="B39" s="343">
        <f>SUM(B24:B38)</f>
        <v>33153556</v>
      </c>
      <c r="C39" s="344">
        <f>B39/'- 13 -'!$J$53*100</f>
        <v>1.496434587167728</v>
      </c>
      <c r="D39" s="343">
        <f>SUM(D24:D38)</f>
        <v>10791932</v>
      </c>
      <c r="E39" s="344">
        <f>D39/'- 13 -'!$J$53*100</f>
        <v>0.48710974796073742</v>
      </c>
      <c r="F39" s="343">
        <f>SUM(F24:F38)</f>
        <v>929802</v>
      </c>
      <c r="G39" s="344">
        <f>F39/'- 13 -'!$J$53*100</f>
        <v>4.1967982922185718E-2</v>
      </c>
      <c r="H39" s="343">
        <f>SUM(H24:H38)</f>
        <v>2821090</v>
      </c>
      <c r="I39" s="344">
        <f>H39/'- 13 -'!$J$53*100</f>
        <v>0.12733405277892382</v>
      </c>
      <c r="J39" s="343">
        <f>SUM(J24:J38)</f>
        <v>16957616</v>
      </c>
      <c r="K39" s="344">
        <f>J39/'- 13 -'!$J$53*100</f>
        <v>0.7654069777102902</v>
      </c>
    </row>
    <row r="40" spans="1:11">
      <c r="A40" s="315" t="s">
        <v>212</v>
      </c>
      <c r="B40" s="128"/>
      <c r="C40" s="342"/>
      <c r="D40" s="128"/>
      <c r="E40" s="342"/>
      <c r="F40" s="128"/>
      <c r="G40" s="342"/>
      <c r="H40" s="128"/>
      <c r="I40" s="342"/>
      <c r="J40" s="128"/>
      <c r="K40" s="342"/>
    </row>
    <row r="41" spans="1:11">
      <c r="A41" s="121" t="s">
        <v>213</v>
      </c>
      <c r="B41" s="122">
        <v>31574701</v>
      </c>
      <c r="C41" s="341">
        <f>B41/'- 13 -'!$J$53*100</f>
        <v>1.4251706409978904</v>
      </c>
      <c r="D41" s="122">
        <v>2592318</v>
      </c>
      <c r="E41" s="341">
        <f>D41/'- 13 -'!$J$53*100</f>
        <v>0.11700809156452087</v>
      </c>
      <c r="F41" s="122">
        <v>222298</v>
      </c>
      <c r="G41" s="341">
        <f>F41/'- 13 -'!$J$53*100</f>
        <v>1.0033747687826054E-2</v>
      </c>
      <c r="H41" s="122">
        <v>1329334</v>
      </c>
      <c r="I41" s="341">
        <f>H41/'- 13 -'!$J$53*100</f>
        <v>6.0001448275956416E-2</v>
      </c>
      <c r="J41" s="122">
        <v>1652297</v>
      </c>
      <c r="K41" s="341">
        <f>J41/'- 13 -'!$J$53*100</f>
        <v>7.4578859024156438E-2</v>
      </c>
    </row>
    <row r="42" spans="1:11">
      <c r="A42" s="121" t="s">
        <v>214</v>
      </c>
      <c r="B42" s="122">
        <v>10752392</v>
      </c>
      <c r="C42" s="341">
        <f>B42/'- 13 -'!$J$53*100</f>
        <v>0.48532505181602786</v>
      </c>
      <c r="D42" s="122">
        <v>708479</v>
      </c>
      <c r="E42" s="341">
        <f>D42/'- 13 -'!$J$53*100</f>
        <v>3.1978243295591118E-2</v>
      </c>
      <c r="F42" s="122">
        <v>82865</v>
      </c>
      <c r="G42" s="341">
        <f>F42/'- 13 -'!$J$53*100</f>
        <v>3.7402338399432564E-3</v>
      </c>
      <c r="H42" s="122">
        <v>121187</v>
      </c>
      <c r="I42" s="341">
        <f>H42/'- 13 -'!$J$53*100</f>
        <v>5.469953760468273E-3</v>
      </c>
      <c r="J42" s="122">
        <v>92661</v>
      </c>
      <c r="K42" s="341">
        <f>J42/'- 13 -'!$J$53*100</f>
        <v>4.1823907300184886E-3</v>
      </c>
    </row>
    <row r="43" spans="1:11">
      <c r="A43" s="121" t="s">
        <v>215</v>
      </c>
      <c r="B43" s="122">
        <v>13885336</v>
      </c>
      <c r="C43" s="341">
        <f>B43/'- 13 -'!$J$53*100</f>
        <v>0.62673509426395146</v>
      </c>
      <c r="D43" s="122">
        <v>664033</v>
      </c>
      <c r="E43" s="341">
        <f>D43/'- 13 -'!$J$53*100</f>
        <v>2.9972107614059499E-2</v>
      </c>
      <c r="F43" s="122">
        <v>71773</v>
      </c>
      <c r="G43" s="341">
        <f>F43/'- 13 -'!$J$53*100</f>
        <v>3.23958008078498E-3</v>
      </c>
      <c r="H43" s="122">
        <v>199512</v>
      </c>
      <c r="I43" s="341">
        <f>H43/'- 13 -'!$J$53*100</f>
        <v>9.0052680127286431E-3</v>
      </c>
      <c r="J43" s="122">
        <v>495090</v>
      </c>
      <c r="K43" s="341">
        <f>J43/'- 13 -'!$J$53*100</f>
        <v>2.2346616446237939E-2</v>
      </c>
    </row>
    <row r="44" spans="1:11">
      <c r="A44" s="127" t="s">
        <v>216</v>
      </c>
      <c r="B44" s="122">
        <v>22490986</v>
      </c>
      <c r="C44" s="341">
        <f>B44/'- 13 -'!$J$53*100</f>
        <v>1.0151637836347074</v>
      </c>
      <c r="D44" s="122">
        <v>744952</v>
      </c>
      <c r="E44" s="341">
        <f>D44/'- 13 -'!$J$53*100</f>
        <v>3.3624505877432077E-2</v>
      </c>
      <c r="F44" s="122">
        <v>109356</v>
      </c>
      <c r="G44" s="341">
        <f>F44/'- 13 -'!$J$53*100</f>
        <v>4.9359441477202044E-3</v>
      </c>
      <c r="H44" s="122">
        <v>122272</v>
      </c>
      <c r="I44" s="341">
        <f>H44/'- 13 -'!$J$53*100</f>
        <v>5.5189268337360988E-3</v>
      </c>
      <c r="J44" s="122">
        <v>828438</v>
      </c>
      <c r="K44" s="341">
        <f>J44/'- 13 -'!$J$53*100</f>
        <v>3.7392769467144288E-2</v>
      </c>
    </row>
    <row r="45" spans="1:11">
      <c r="A45" s="125" t="s">
        <v>217</v>
      </c>
      <c r="B45" s="343">
        <f>SUM(B41:B44)</f>
        <v>78703415</v>
      </c>
      <c r="C45" s="344">
        <f>B45/'- 13 -'!$J$53*100</f>
        <v>3.5523945707125768</v>
      </c>
      <c r="D45" s="343">
        <f>SUM(D41:D44)</f>
        <v>4709782</v>
      </c>
      <c r="E45" s="344">
        <f>D45/'- 13 -'!$J$53*100</f>
        <v>0.2125829483516036</v>
      </c>
      <c r="F45" s="343">
        <f>SUM(F41:F44)</f>
        <v>486292</v>
      </c>
      <c r="G45" s="344">
        <f>F45/'- 13 -'!$J$53*100</f>
        <v>2.1949505756274496E-2</v>
      </c>
      <c r="H45" s="343">
        <f>SUM(H41:H44)</f>
        <v>1772305</v>
      </c>
      <c r="I45" s="344">
        <f>H45/'- 13 -'!$J$53*100</f>
        <v>7.999559688288943E-2</v>
      </c>
      <c r="J45" s="343">
        <f>SUM(J41:J44)</f>
        <v>3068486</v>
      </c>
      <c r="K45" s="344">
        <f>J45/'- 13 -'!$J$53*100</f>
        <v>0.13850063566755716</v>
      </c>
    </row>
    <row r="46" spans="1:11">
      <c r="A46" s="314" t="s">
        <v>47</v>
      </c>
      <c r="B46" s="128"/>
      <c r="C46" s="342"/>
      <c r="D46" s="128"/>
      <c r="E46" s="342"/>
      <c r="F46" s="128"/>
      <c r="G46" s="342"/>
      <c r="H46" s="128"/>
      <c r="I46" s="342"/>
      <c r="J46" s="128"/>
      <c r="K46" s="342"/>
    </row>
    <row r="47" spans="1:11" ht="14.25">
      <c r="A47" s="127" t="s">
        <v>243</v>
      </c>
      <c r="B47" s="122"/>
      <c r="C47" s="341"/>
      <c r="D47" s="122"/>
      <c r="E47" s="341"/>
      <c r="F47" s="122">
        <v>46950</v>
      </c>
      <c r="G47" s="341"/>
      <c r="H47" s="122">
        <v>56419</v>
      </c>
      <c r="I47" s="341"/>
      <c r="J47" s="122">
        <v>-103369</v>
      </c>
      <c r="K47" s="341"/>
    </row>
    <row r="48" spans="1:11">
      <c r="A48" s="125" t="s">
        <v>220</v>
      </c>
      <c r="B48" s="343"/>
      <c r="C48" s="344"/>
      <c r="D48" s="343"/>
      <c r="E48" s="344"/>
      <c r="F48" s="343">
        <f>F47</f>
        <v>46950</v>
      </c>
      <c r="G48" s="344"/>
      <c r="H48" s="343">
        <f>H47</f>
        <v>56419</v>
      </c>
      <c r="I48" s="344"/>
      <c r="J48" s="343">
        <f>J47</f>
        <v>-103369</v>
      </c>
      <c r="K48" s="344"/>
    </row>
    <row r="49" spans="1:11" ht="5.0999999999999996" customHeight="1">
      <c r="A49" s="23"/>
      <c r="B49" s="32"/>
      <c r="C49" s="129"/>
      <c r="D49" s="57"/>
      <c r="E49" s="129"/>
      <c r="F49" s="57"/>
      <c r="G49" s="129"/>
      <c r="H49" s="57"/>
      <c r="I49" s="129"/>
      <c r="J49" s="57"/>
      <c r="K49" s="129"/>
    </row>
    <row r="50" spans="1:11">
      <c r="A50" s="316" t="s">
        <v>221</v>
      </c>
      <c r="B50" s="345">
        <f>SUM(B48,B45,B39,B22,B21)</f>
        <v>1235490195</v>
      </c>
      <c r="C50" s="346">
        <f>B50/'- 13 -'!$J$53*100</f>
        <v>55.765669899922678</v>
      </c>
      <c r="D50" s="345">
        <f>SUM(D48,D45,D39,D22,D21)</f>
        <v>408451246</v>
      </c>
      <c r="E50" s="346">
        <f>D50/'- 13 -'!$J$53*100</f>
        <v>18.436048660546522</v>
      </c>
      <c r="F50" s="345">
        <f>SUM(F48,F45,F39,F22,F21)</f>
        <v>10261930</v>
      </c>
      <c r="G50" s="346">
        <f>F50/'- 13 -'!$J$53*100</f>
        <v>0.46318732696710191</v>
      </c>
      <c r="H50" s="345">
        <f>SUM(H48,H45,H39,H22,H21)</f>
        <v>23786379</v>
      </c>
      <c r="I50" s="346">
        <f>H50/'- 13 -'!$J$53*100</f>
        <v>1.0736332548786054</v>
      </c>
      <c r="J50" s="345">
        <f>SUM(J48,J45,J39,J22,J21)</f>
        <v>76906190</v>
      </c>
      <c r="K50" s="346">
        <f>J50/'- 13 -'!$J$53*100</f>
        <v>3.4712741729210843</v>
      </c>
    </row>
    <row r="51" spans="1:11" ht="15.95" customHeight="1">
      <c r="A51" s="415" t="s">
        <v>394</v>
      </c>
    </row>
    <row r="52" spans="1:11">
      <c r="A52" s="132"/>
      <c r="B52" s="2">
        <f>+B50-'- 15 -'!B48</f>
        <v>0</v>
      </c>
      <c r="D52" s="2">
        <f>+D50-'- 15 -'!E48</f>
        <v>0</v>
      </c>
      <c r="F52" s="2">
        <f>+F50-'- 15 -'!H48</f>
        <v>0</v>
      </c>
      <c r="H52" s="2">
        <f>H50-'- 16 -'!B48</f>
        <v>0</v>
      </c>
      <c r="J52" s="2">
        <f>+J50-'- 16 -'!D48</f>
        <v>0</v>
      </c>
    </row>
    <row r="54" spans="1:11">
      <c r="F54" s="2">
        <f>+F50-'- 15 -'!H48</f>
        <v>0</v>
      </c>
      <c r="J54" s="2">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68</vt:i4>
      </vt:variant>
    </vt:vector>
  </HeadingPairs>
  <TitlesOfParts>
    <vt:vector size="128"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REVYEAR</vt:lpstr>
      <vt:lpstr>SPRINGYR</vt:lpstr>
      <vt:lpstr>STATDATE</vt:lpstr>
      <vt:lpstr>TAXYEAR</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2017-04-18T19:22:44Z</cp:lastPrinted>
  <dcterms:created xsi:type="dcterms:W3CDTF">1999-01-19T20:49:35Z</dcterms:created>
  <dcterms:modified xsi:type="dcterms:W3CDTF">2017-06-06T19:03:01Z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259919226</vt:i4>
  </property>
  <property fmtid="{D5CDD505-2E9C-101B-9397-08002B2CF9AE}" pid="3" name="_NewReviewCycle">
    <vt:lpwstr/>
  </property>
  <property fmtid="{D5CDD505-2E9C-101B-9397-08002B2CF9AE}" pid="4" name="_EmailSubject">
    <vt:lpwstr>FRAME report Actual 15-16 to be posted it.</vt:lpwstr>
  </property>
  <property fmtid="{D5CDD505-2E9C-101B-9397-08002B2CF9AE}" pid="5" name="_AuthorEmail">
    <vt:lpwstr>Gonzalo.Pizarro@gov.mb.ca</vt:lpwstr>
  </property>
  <property fmtid="{D5CDD505-2E9C-101B-9397-08002B2CF9AE}" pid="6" name="_AuthorEmailDisplayName">
    <vt:lpwstr>Pizarro, Gonzalo (MET)</vt:lpwstr>
  </property>
</Properties>
</file>