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sheets/sheet5.xml" ContentType="application/vnd.openxmlformats-officedocument.spreadsheetml.worksheet+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5" yWindow="-15" windowWidth="15480" windowHeight="5160" tabRatio="865"/>
  </bookViews>
  <sheets>
    <sheet name="README" sheetId="91" r:id="rId1"/>
    <sheet name="- 3 -" sheetId="5" r:id="rId2"/>
    <sheet name="- 4 -" sheetId="6" r:id="rId3"/>
    <sheet name="- 6 -" sheetId="14" r:id="rId4"/>
    <sheet name="- 7 -" sheetId="15" r:id="rId5"/>
    <sheet name="- 8 -" sheetId="16" r:id="rId6"/>
    <sheet name="- 9 -" sheetId="17" r:id="rId7"/>
    <sheet name="- 10 -" sheetId="21" r:id="rId8"/>
    <sheet name="- 12 -" sheetId="22" r:id="rId9"/>
    <sheet name="- 13 -" sheetId="23" r:id="rId10"/>
    <sheet name="- 15 -" sheetId="18" r:id="rId11"/>
    <sheet name="- 16 -" sheetId="19" r:id="rId12"/>
    <sheet name="- 17 -" sheetId="20" r:id="rId13"/>
    <sheet name="- 18 -" sheetId="8" r:id="rId14"/>
    <sheet name="- 19 -" sheetId="9" r:id="rId15"/>
    <sheet name="- 20 -" sheetId="7" r:id="rId16"/>
    <sheet name="- 21 -" sheetId="10" r:id="rId17"/>
    <sheet name="- 22 -" sheetId="11" r:id="rId18"/>
    <sheet name="- 23 -" sheetId="86" r:id="rId19"/>
    <sheet name="- 24 -" sheetId="82" r:id="rId20"/>
    <sheet name="- 25 -" sheetId="25" r:id="rId21"/>
    <sheet name="- 26 -" sheetId="26" r:id="rId22"/>
    <sheet name="- 27 -" sheetId="27" r:id="rId23"/>
    <sheet name="- 28 -" sheetId="28" r:id="rId24"/>
    <sheet name="- 29 -" sheetId="29" r:id="rId25"/>
    <sheet name="- 30 -" sheetId="34" r:id="rId26"/>
    <sheet name="- 31 -" sheetId="35" r:id="rId27"/>
    <sheet name="- 32 -" sheetId="36" r:id="rId28"/>
    <sheet name="- 33 -" sheetId="37" r:id="rId29"/>
    <sheet name="- 34 -" sheetId="38" r:id="rId30"/>
    <sheet name="- 35 -" sheetId="39" r:id="rId31"/>
    <sheet name="- 36 -" sheetId="40" r:id="rId32"/>
    <sheet name="- 37 -" sheetId="41" r:id="rId33"/>
    <sheet name="- 38 -" sheetId="54" r:id="rId34"/>
    <sheet name="- 39 -" sheetId="76" r:id="rId35"/>
    <sheet name="- 41 -" sheetId="42" r:id="rId36"/>
    <sheet name="- 42 -" sheetId="43" r:id="rId37"/>
    <sheet name="- 43 -" sheetId="44" r:id="rId38"/>
    <sheet name="- 44 -" sheetId="45" r:id="rId39"/>
    <sheet name="- 45 -" sheetId="33" r:id="rId40"/>
    <sheet name="- 46 -" sheetId="48" r:id="rId41"/>
    <sheet name="- 48 -" sheetId="49" r:id="rId42"/>
    <sheet name="- 49 - " sheetId="88" r:id="rId43"/>
    <sheet name="- 51 -" sheetId="50" r:id="rId44"/>
    <sheet name="- 52 -" sheetId="51" r:id="rId45"/>
    <sheet name="- 53 -" sheetId="81" r:id="rId46"/>
    <sheet name="- 54 -" sheetId="47" r:id="rId47"/>
    <sheet name="- 55 -" sheetId="46" r:id="rId48"/>
    <sheet name="- 56 -" sheetId="52" r:id="rId49"/>
    <sheet name="- 57 -" sheetId="84" r:id="rId50"/>
    <sheet name="- 58 -" sheetId="85" r:id="rId51"/>
    <sheet name="- 59 -" sheetId="89" r:id="rId52"/>
    <sheet name="- 60 -" sheetId="90" r:id="rId53"/>
    <sheet name="- 61 -" sheetId="78" r:id="rId54"/>
    <sheet name="Data" sheetId="2" state="hidden" r:id="rId55"/>
  </sheets>
  <externalReferences>
    <externalReference r:id="rId56"/>
    <externalReference r:id="rId57"/>
    <externalReference r:id="rId58"/>
  </externalReferences>
  <definedNames>
    <definedName name="_Fill" localSheetId="51" hidden="1">#REF!</definedName>
    <definedName name="_Fill" localSheetId="0" hidden="1">#REF!</definedName>
    <definedName name="_Fill" hidden="1">#REF!</definedName>
    <definedName name="_Order1" hidden="1">0</definedName>
    <definedName name="capyear" localSheetId="0">#REF!</definedName>
    <definedName name="capyear">#REF!</definedName>
    <definedName name="DATE_ENTRY" localSheetId="0">#REF!</definedName>
    <definedName name="DATE_ENTRY">#REF!</definedName>
    <definedName name="DIV">[1]Data!$A$9:$A$696</definedName>
    <definedName name="DIVNUM">[2]DATA!$B$1</definedName>
    <definedName name="HTML_CodePage" hidden="1">1252</definedName>
    <definedName name="HTML_Control" localSheetId="18" hidden="1">{"'- 4 -'!$A$1:$G$76","'-3 -'!$A$1:$G$77"}</definedName>
    <definedName name="HTML_Control" localSheetId="19" hidden="1">{"'- 4 -'!$A$1:$G$76","'-3 -'!$A$1:$G$77"}</definedName>
    <definedName name="HTML_Control" localSheetId="42" hidden="1">{"'- 4 -'!$A$1:$G$76","'-3 -'!$A$1:$G$77"}</definedName>
    <definedName name="HTML_Control" localSheetId="45" hidden="1">{"'- 4 -'!$A$1:$G$76","'-3 -'!$A$1:$G$77"}</definedName>
    <definedName name="HTML_Control" localSheetId="49" hidden="1">{"'- 4 -'!$A$1:$G$76","'-3 -'!$A$1:$G$77"}</definedName>
    <definedName name="HTML_Control" localSheetId="50" hidden="1">{"'- 4 -'!$A$1:$G$76","'-3 -'!$A$1:$G$77"}</definedName>
    <definedName name="HTML_Control" localSheetId="53" hidden="1">{"'- 4 -'!$A$1:$G$76","'-3 -'!$A$1:$G$77"}</definedName>
    <definedName name="HTML_Control" localSheetId="0" hidden="1">{"'- 4 -'!$A$1:$G$76","'-3 -'!$A$1:$G$77"}</definedName>
    <definedName name="HTML_Control" hidden="1">{"'- 4 -'!$A$1:$G$76","'-3 -'!$A$1:$G$77"}</definedName>
    <definedName name="HTML_Description" hidden="1">""</definedName>
    <definedName name="HTML_Email" hidden="1">""</definedName>
    <definedName name="HTML_Header" hidden="1">"- 8 -"</definedName>
    <definedName name="HTML_LastUpdate" hidden="1">"1999-01-20"</definedName>
    <definedName name="HTML_LineAfter" hidden="1">FALSE</definedName>
    <definedName name="HTML_LineBefore" hidden="1">FALSE</definedName>
    <definedName name="HTML_Name" hidden="1">"Chris J. Anderson"</definedName>
    <definedName name="HTML_OBDlg2" hidden="1">TRUE</definedName>
    <definedName name="HTML_OBDlg4" hidden="1">TRUE</definedName>
    <definedName name="HTML_OS" hidden="1">0</definedName>
    <definedName name="HTML_PathFile" hidden="1">"C:\frame\FIN98\MyHTML.htm"</definedName>
    <definedName name="HTML_Title" hidden="1">"98AFRAME"</definedName>
    <definedName name="LIST">[2]DATA!$D$1:$D$39</definedName>
    <definedName name="LOADED1" localSheetId="0">#REF!</definedName>
    <definedName name="LOADED1">#REF!</definedName>
    <definedName name="LOADED2" localSheetId="0">#REF!</definedName>
    <definedName name="LOADED2">#REF!</definedName>
    <definedName name="LOADED3" localSheetId="0">#REF!</definedName>
    <definedName name="LOADED3">#REF!</definedName>
    <definedName name="NOW" localSheetId="0">#REF!</definedName>
    <definedName name="NOW">#REF!</definedName>
    <definedName name="OD_FINISH" localSheetId="0">#REF!</definedName>
    <definedName name="OD_FINISH">#REF!</definedName>
    <definedName name="OD_FIRST" localSheetId="0">#REF!</definedName>
    <definedName name="OD_FIRST">#REF!</definedName>
    <definedName name="OD_LAST" localSheetId="0">#REF!</definedName>
    <definedName name="OD_LAST">#REF!</definedName>
    <definedName name="OD_START" localSheetId="0">#REF!</definedName>
    <definedName name="OD_START">#REF!</definedName>
    <definedName name="ONE_AM" localSheetId="0">#REF!</definedName>
    <definedName name="ONE_AM">#REF!</definedName>
    <definedName name="ONE_PM" localSheetId="0">#REF!</definedName>
    <definedName name="ONE_PM">#REF!</definedName>
    <definedName name="OPYEAR" localSheetId="0">'[3]- 3 -'!$A$3</definedName>
    <definedName name="OPYEAR">'- 3 -'!$A$3</definedName>
    <definedName name="_xlnm.Print_Area" localSheetId="7">'- 10 -'!$A$1:$L$34</definedName>
    <definedName name="_xlnm.Print_Area" localSheetId="8">'- 12 -'!$A$2:$L$53</definedName>
    <definedName name="_xlnm.Print_Area" localSheetId="9">'- 13 -'!$A$2:$L$55</definedName>
    <definedName name="_xlnm.Print_Area" localSheetId="10">'- 15 -'!$A$1:$I$59</definedName>
    <definedName name="_xlnm.Print_Area" localSheetId="11">'- 16 -'!$A$1:$I$59</definedName>
    <definedName name="_xlnm.Print_Area" localSheetId="12">'- 17 -'!$A$1:$J$59</definedName>
    <definedName name="_xlnm.Print_Area" localSheetId="13">'- 18 -'!$A$1:$G$59</definedName>
    <definedName name="_xlnm.Print_Area" localSheetId="14">'- 19 -'!$A$1:$J$59</definedName>
    <definedName name="_xlnm.Print_Area" localSheetId="15">'- 20 -'!$A$1:$I$59</definedName>
    <definedName name="_xlnm.Print_Area" localSheetId="16">'- 21 -'!$A$1:$J$59</definedName>
    <definedName name="_xlnm.Print_Area" localSheetId="17">'- 22 -'!$A$1:$I$58</definedName>
    <definedName name="_xlnm.Print_Area" localSheetId="18">'- 23 -'!$A$1:$E$59</definedName>
    <definedName name="_xlnm.Print_Area" localSheetId="19">'- 24 -'!$A$1:$F$59</definedName>
    <definedName name="_xlnm.Print_Area" localSheetId="20">'- 25 -'!$A$1:$I$59</definedName>
    <definedName name="_xlnm.Print_Area" localSheetId="21">'- 26 -'!$A$1:$J$59</definedName>
    <definedName name="_xlnm.Print_Area" localSheetId="22">'- 27 -'!$A$1:$E$59</definedName>
    <definedName name="_xlnm.Print_Area" localSheetId="23">'- 28 -'!$A$1:$J$59</definedName>
    <definedName name="_xlnm.Print_Area" localSheetId="24">'- 29 -'!$A$1:$G$59</definedName>
    <definedName name="_xlnm.Print_Area" localSheetId="1">'- 3 -'!$A$1:$F$59</definedName>
    <definedName name="_xlnm.Print_Area" localSheetId="25">'- 30 -'!$A$1:$G$59</definedName>
    <definedName name="_xlnm.Print_Area" localSheetId="26">'- 31 -'!$A$1:$F$59</definedName>
    <definedName name="_xlnm.Print_Area" localSheetId="27">'- 32 -'!$A$1:$G$59</definedName>
    <definedName name="_xlnm.Print_Area" localSheetId="28">'- 33 -'!$A$1:$F$59</definedName>
    <definedName name="_xlnm.Print_Area" localSheetId="29">'- 34 -'!$A$1:$F$59</definedName>
    <definedName name="_xlnm.Print_Area" localSheetId="30">'- 35 -'!$A$1:$H$59</definedName>
    <definedName name="_xlnm.Print_Area" localSheetId="31">'- 36 -'!$A$1:$E$59</definedName>
    <definedName name="_xlnm.Print_Area" localSheetId="32">'- 37 -'!$A$1:$G$59</definedName>
    <definedName name="_xlnm.Print_Area" localSheetId="33">'- 38 -'!$A$1:$J$59</definedName>
    <definedName name="_xlnm.Print_Area" localSheetId="34">'- 39 -'!$A$1:$H$58</definedName>
    <definedName name="_xlnm.Print_Area" localSheetId="2">'- 4 -'!$A$1:$E$59</definedName>
    <definedName name="_xlnm.Print_Area" localSheetId="35">'- 41 -'!$A$1:$H$59</definedName>
    <definedName name="_xlnm.Print_Area" localSheetId="36">'- 42 -'!$A$1:$I$62</definedName>
    <definedName name="_xlnm.Print_Area" localSheetId="37">'- 43 -'!$A$1:$I$59</definedName>
    <definedName name="_xlnm.Print_Area" localSheetId="38">'- 44 -'!$A$1:$I$59</definedName>
    <definedName name="_xlnm.Print_Area" localSheetId="39">'- 45 -'!$A$1:$C$60</definedName>
    <definedName name="_xlnm.Print_Area" localSheetId="40">'- 46 -'!$A$1:$D$58</definedName>
    <definedName name="_xlnm.Print_Area" localSheetId="41">'- 48 -'!$A$1:$G$57</definedName>
    <definedName name="_xlnm.Print_Area" localSheetId="42">'- 49 - '!$A$1:$F$52</definedName>
    <definedName name="_xlnm.Print_Area" localSheetId="43">'- 51 -'!$A$1:$F$57</definedName>
    <definedName name="_xlnm.Print_Area" localSheetId="44">'- 52 -'!$A$1:$G$59</definedName>
    <definedName name="_xlnm.Print_Area" localSheetId="45">'- 53 -'!$A$1:$G$59</definedName>
    <definedName name="_xlnm.Print_Area" localSheetId="46">'- 54 -'!$A$1:$F$57</definedName>
    <definedName name="_xlnm.Print_Area" localSheetId="47">'- 55 -'!$A$1:$F$59</definedName>
    <definedName name="_xlnm.Print_Area" localSheetId="48">'- 56 -'!$A$1:$F$59</definedName>
    <definedName name="_xlnm.Print_Area" localSheetId="49">'- 57 -'!$A$2:$G$64</definedName>
    <definedName name="_xlnm.Print_Area" localSheetId="50">'- 58 -'!$A$1:$G$56</definedName>
    <definedName name="_xlnm.Print_Area" localSheetId="51">'- 59 -'!$A$1:$I$57</definedName>
    <definedName name="_xlnm.Print_Area" localSheetId="3">'- 6 -'!$A$1:$H$59</definedName>
    <definedName name="_xlnm.Print_Area" localSheetId="52">'- 60 -'!$A$2:$G$52</definedName>
    <definedName name="_xlnm.Print_Area" localSheetId="53">'- 61 -'!$A$1:$I$55</definedName>
    <definedName name="_xlnm.Print_Area" localSheetId="4">'- 7 -'!$A$1:$G$59</definedName>
    <definedName name="_xlnm.Print_Area" localSheetId="5">'- 8 -'!$A$1:$G$59</definedName>
    <definedName name="_xlnm.Print_Area" localSheetId="6">'- 9 -'!$A$1:$D$58</definedName>
    <definedName name="_xlnm.Print_Area" localSheetId="54">Data!$A$3:$N$52</definedName>
    <definedName name="_xlnm.Print_Area" localSheetId="0">README!$B$3:$B$15</definedName>
    <definedName name="REVYEAR" localSheetId="0">'[3]- 42 -'!$B$1</definedName>
    <definedName name="REVYEAR">'- 42 -'!$B$1</definedName>
    <definedName name="STAMP" localSheetId="0">#REF!</definedName>
    <definedName name="STAMP">#REF!</definedName>
    <definedName name="STATDATE" localSheetId="0">'[3]- 6 -'!$B$3</definedName>
    <definedName name="STATDATE">'- 6 -'!$B$3</definedName>
    <definedName name="TAXYEAR" localSheetId="42">'[3]- 46 -'!$B$3</definedName>
    <definedName name="TAXYEAR" localSheetId="0">'[3]- 46 -'!$B$3</definedName>
    <definedName name="TAXYEAR">'- 46 -'!$B$3</definedName>
    <definedName name="TOTAL1" localSheetId="0">#REF!</definedName>
    <definedName name="TOTAL1">#REF!</definedName>
    <definedName name="TOTAL2" localSheetId="0">#REF!</definedName>
    <definedName name="TOTAL2">#REF!</definedName>
    <definedName name="TOTAL3" localSheetId="0">#REF!</definedName>
    <definedName name="TOTAL3">#REF!</definedName>
    <definedName name="TWO" localSheetId="0">#REF!</definedName>
    <definedName name="TWO">#REF!</definedName>
    <definedName name="YEAR" localSheetId="0">#REF!</definedName>
    <definedName name="YEAR">Data!$B$6</definedName>
  </definedNames>
  <calcPr calcId="125725"/>
</workbook>
</file>

<file path=xl/calcChain.xml><?xml version="1.0" encoding="utf-8"?>
<calcChain xmlns="http://schemas.openxmlformats.org/spreadsheetml/2006/main">
  <c r="I28" i="41"/>
  <c r="L51" i="2" l="1"/>
  <c r="L50"/>
  <c r="L46"/>
  <c r="L45"/>
  <c r="L44"/>
  <c r="L43"/>
  <c r="L42"/>
  <c r="L41"/>
  <c r="L40"/>
  <c r="L39"/>
  <c r="L38"/>
  <c r="L37"/>
  <c r="L36"/>
  <c r="L35"/>
  <c r="L34"/>
  <c r="L33"/>
  <c r="L32"/>
  <c r="L31"/>
  <c r="L30"/>
  <c r="L29"/>
  <c r="L28"/>
  <c r="L27"/>
  <c r="L26"/>
  <c r="L24"/>
  <c r="L23"/>
  <c r="L22"/>
  <c r="L21"/>
  <c r="L20"/>
  <c r="L19"/>
  <c r="L18"/>
  <c r="L17"/>
  <c r="L16"/>
  <c r="L15"/>
  <c r="L14"/>
  <c r="N48"/>
  <c r="M48"/>
  <c r="E50" i="78"/>
  <c r="E46"/>
  <c r="E45"/>
  <c r="E44"/>
  <c r="L12" i="2" l="1"/>
  <c r="L13"/>
  <c r="E43" i="78"/>
  <c r="E42"/>
  <c r="E41"/>
  <c r="E40"/>
  <c r="E39"/>
  <c r="E38"/>
  <c r="E37"/>
  <c r="E36"/>
  <c r="E35"/>
  <c r="E34"/>
  <c r="E33"/>
  <c r="E32"/>
  <c r="E31"/>
  <c r="E30"/>
  <c r="E29"/>
  <c r="E28"/>
  <c r="E27"/>
  <c r="E26"/>
  <c r="E24"/>
  <c r="E23"/>
  <c r="E22"/>
  <c r="E21"/>
  <c r="E20"/>
  <c r="E19"/>
  <c r="E18"/>
  <c r="E17"/>
  <c r="E16"/>
  <c r="E15"/>
  <c r="I14"/>
  <c r="E14"/>
  <c r="E13"/>
  <c r="E12"/>
  <c r="D9"/>
  <c r="A3"/>
  <c r="D9" i="90" l="1"/>
  <c r="G9" s="1"/>
  <c r="B9"/>
  <c r="A3" s="1"/>
  <c r="I51" i="89"/>
  <c r="I46"/>
  <c r="I44"/>
  <c r="I42"/>
  <c r="I40"/>
  <c r="I38"/>
  <c r="I36"/>
  <c r="I34"/>
  <c r="I32"/>
  <c r="I30"/>
  <c r="I28"/>
  <c r="I26"/>
  <c r="I24"/>
  <c r="I22"/>
  <c r="I20"/>
  <c r="I18"/>
  <c r="I16"/>
  <c r="I14"/>
  <c r="I12"/>
  <c r="H48"/>
  <c r="G48"/>
  <c r="F48"/>
  <c r="E48"/>
  <c r="D48"/>
  <c r="C48"/>
  <c r="B48"/>
  <c r="J20" i="85"/>
  <c r="J16"/>
  <c r="I50"/>
  <c r="D50"/>
  <c r="C50"/>
  <c r="B2"/>
  <c r="A3" i="89" s="1"/>
  <c r="I52" i="84"/>
  <c r="F51"/>
  <c r="F47"/>
  <c r="F46"/>
  <c r="F45"/>
  <c r="F44"/>
  <c r="F43"/>
  <c r="F42"/>
  <c r="F41"/>
  <c r="F40"/>
  <c r="G40" s="1"/>
  <c r="F41" i="85" s="1"/>
  <c r="F39" i="84"/>
  <c r="F38"/>
  <c r="F37"/>
  <c r="F36"/>
  <c r="F35"/>
  <c r="F34"/>
  <c r="F33"/>
  <c r="F32"/>
  <c r="F31"/>
  <c r="F30"/>
  <c r="F29"/>
  <c r="F28"/>
  <c r="F27"/>
  <c r="F26"/>
  <c r="F25"/>
  <c r="F24"/>
  <c r="F23"/>
  <c r="F22"/>
  <c r="F21"/>
  <c r="F20"/>
  <c r="I19"/>
  <c r="F18"/>
  <c r="F17"/>
  <c r="F16"/>
  <c r="I15"/>
  <c r="F14"/>
  <c r="F13"/>
  <c r="F12"/>
  <c r="E49"/>
  <c r="D49"/>
  <c r="C49"/>
  <c r="B49"/>
  <c r="G12" i="81"/>
  <c r="G51"/>
  <c r="G50"/>
  <c r="G46"/>
  <c r="G45"/>
  <c r="G44"/>
  <c r="G43"/>
  <c r="G42"/>
  <c r="G41"/>
  <c r="G40"/>
  <c r="G39"/>
  <c r="G38"/>
  <c r="G37"/>
  <c r="G36"/>
  <c r="G35"/>
  <c r="G34"/>
  <c r="G33"/>
  <c r="G32"/>
  <c r="G31"/>
  <c r="G30"/>
  <c r="G29"/>
  <c r="G28"/>
  <c r="G27"/>
  <c r="G26"/>
  <c r="G24"/>
  <c r="G23"/>
  <c r="G22"/>
  <c r="G21"/>
  <c r="G20"/>
  <c r="G19"/>
  <c r="G18"/>
  <c r="G17"/>
  <c r="G16"/>
  <c r="G15"/>
  <c r="G14"/>
  <c r="G13"/>
  <c r="F48" i="50"/>
  <c r="F46"/>
  <c r="F45"/>
  <c r="F44"/>
  <c r="F43"/>
  <c r="F42"/>
  <c r="F41"/>
  <c r="F40"/>
  <c r="F39"/>
  <c r="F38"/>
  <c r="F37"/>
  <c r="F36"/>
  <c r="F35"/>
  <c r="F34"/>
  <c r="F33"/>
  <c r="F32"/>
  <c r="F31"/>
  <c r="F30"/>
  <c r="F29"/>
  <c r="F28"/>
  <c r="F27"/>
  <c r="F26"/>
  <c r="F25"/>
  <c r="F24"/>
  <c r="F23"/>
  <c r="F22"/>
  <c r="G22" i="78" s="1"/>
  <c r="F21" i="50"/>
  <c r="F20"/>
  <c r="F19"/>
  <c r="F18"/>
  <c r="F17"/>
  <c r="F16"/>
  <c r="G16" i="78" s="1"/>
  <c r="F15" i="50"/>
  <c r="F14"/>
  <c r="G14" i="78" s="1"/>
  <c r="F13" i="50"/>
  <c r="F12"/>
  <c r="F11"/>
  <c r="B3"/>
  <c r="A3" i="88" s="1"/>
  <c r="E53" i="49"/>
  <c r="D53"/>
  <c r="C53"/>
  <c r="B53"/>
  <c r="E48"/>
  <c r="D48"/>
  <c r="C48"/>
  <c r="B48"/>
  <c r="K47"/>
  <c r="I45"/>
  <c r="I44"/>
  <c r="F44"/>
  <c r="K44" s="1"/>
  <c r="I43"/>
  <c r="F43"/>
  <c r="G43" s="1"/>
  <c r="I43" i="78" s="1"/>
  <c r="I42" i="49"/>
  <c r="I41"/>
  <c r="I40"/>
  <c r="I39"/>
  <c r="F39"/>
  <c r="K39" s="1"/>
  <c r="I38"/>
  <c r="I37"/>
  <c r="I36"/>
  <c r="F36"/>
  <c r="K36" s="1"/>
  <c r="I35"/>
  <c r="I34"/>
  <c r="I33"/>
  <c r="I32"/>
  <c r="I31"/>
  <c r="I30"/>
  <c r="I29"/>
  <c r="I28"/>
  <c r="F28"/>
  <c r="K28" s="1"/>
  <c r="I27"/>
  <c r="I26"/>
  <c r="I25"/>
  <c r="I24"/>
  <c r="K23"/>
  <c r="I23"/>
  <c r="I22"/>
  <c r="I21"/>
  <c r="I20"/>
  <c r="I19"/>
  <c r="I18"/>
  <c r="I17"/>
  <c r="I16"/>
  <c r="I15"/>
  <c r="I14"/>
  <c r="F14" s="1"/>
  <c r="I13"/>
  <c r="I12"/>
  <c r="F12"/>
  <c r="K12" s="1"/>
  <c r="I11"/>
  <c r="F11"/>
  <c r="A3"/>
  <c r="B51" i="48"/>
  <c r="B50"/>
  <c r="G43" i="78" l="1"/>
  <c r="F49" i="84"/>
  <c r="F9" i="90"/>
  <c r="G12" i="49"/>
  <c r="I12" i="78" s="1"/>
  <c r="G12" s="1"/>
  <c r="G39" i="49"/>
  <c r="I39" i="78" s="1"/>
  <c r="G39" s="1"/>
  <c r="G44" i="49"/>
  <c r="I13" i="89"/>
  <c r="I15"/>
  <c r="I17"/>
  <c r="I19"/>
  <c r="I21"/>
  <c r="I23"/>
  <c r="I25"/>
  <c r="I27"/>
  <c r="I29"/>
  <c r="I31"/>
  <c r="I33"/>
  <c r="I35"/>
  <c r="I37"/>
  <c r="I39"/>
  <c r="I41"/>
  <c r="I43"/>
  <c r="I45"/>
  <c r="I50"/>
  <c r="G11" i="49"/>
  <c r="J12"/>
  <c r="G28"/>
  <c r="G36"/>
  <c r="K43"/>
  <c r="G12" i="84"/>
  <c r="G14"/>
  <c r="G16"/>
  <c r="G18"/>
  <c r="F19" i="85" s="1"/>
  <c r="G21" i="84"/>
  <c r="G23"/>
  <c r="G25"/>
  <c r="G27"/>
  <c r="G29"/>
  <c r="I29" s="1"/>
  <c r="G31"/>
  <c r="G33"/>
  <c r="G35"/>
  <c r="G37"/>
  <c r="G39"/>
  <c r="F40" i="85" s="1"/>
  <c r="I40" i="84"/>
  <c r="G43"/>
  <c r="G45"/>
  <c r="H49"/>
  <c r="G51"/>
  <c r="I11" i="89"/>
  <c r="K11" i="49"/>
  <c r="C48" i="50"/>
  <c r="G13" i="84"/>
  <c r="G17"/>
  <c r="G20"/>
  <c r="G22"/>
  <c r="G24"/>
  <c r="I24" s="1"/>
  <c r="G26"/>
  <c r="G28"/>
  <c r="I28" s="1"/>
  <c r="G30"/>
  <c r="G32"/>
  <c r="G34"/>
  <c r="G36"/>
  <c r="G38"/>
  <c r="G41"/>
  <c r="F42" i="85" s="1"/>
  <c r="G42" i="84"/>
  <c r="G44"/>
  <c r="I44" s="1"/>
  <c r="G46"/>
  <c r="F47" i="85" s="1"/>
  <c r="G47" i="84"/>
  <c r="F48" i="85" s="1"/>
  <c r="F13" i="46"/>
  <c r="F15"/>
  <c r="F15" i="52" s="1"/>
  <c r="F19" i="46"/>
  <c r="F19" i="52" s="1"/>
  <c r="F21" i="46"/>
  <c r="F21" i="52" s="1"/>
  <c r="F23" i="46"/>
  <c r="F23" i="52" s="1"/>
  <c r="F27" i="46"/>
  <c r="F29"/>
  <c r="F29" i="52" s="1"/>
  <c r="F31" i="46"/>
  <c r="F31" i="52" s="1"/>
  <c r="F33" i="46"/>
  <c r="F33" i="52" s="1"/>
  <c r="F35" i="46"/>
  <c r="F35" i="52" s="1"/>
  <c r="F37" i="46"/>
  <c r="F37" i="52" s="1"/>
  <c r="F39" i="46"/>
  <c r="F39" i="52" s="1"/>
  <c r="F41" i="46"/>
  <c r="F41" i="52" s="1"/>
  <c r="F43" i="46"/>
  <c r="F43" i="52" s="1"/>
  <c r="F45" i="46"/>
  <c r="F45" i="52" s="1"/>
  <c r="F50" i="46"/>
  <c r="F50" i="52" s="1"/>
  <c r="F13"/>
  <c r="F27"/>
  <c r="B46" i="48"/>
  <c r="C45" s="1"/>
  <c r="B45" i="50" s="1"/>
  <c r="D45" s="1"/>
  <c r="B45" i="48"/>
  <c r="B44"/>
  <c r="C43" s="1"/>
  <c r="B43" i="50" s="1"/>
  <c r="D43" s="1"/>
  <c r="B43" i="48"/>
  <c r="B42"/>
  <c r="C41" s="1"/>
  <c r="B41" i="50" s="1"/>
  <c r="D41" s="1"/>
  <c r="B41" i="48"/>
  <c r="B40"/>
  <c r="C39" s="1"/>
  <c r="B39" i="50" s="1"/>
  <c r="D39" s="1"/>
  <c r="B39" i="48"/>
  <c r="B38"/>
  <c r="C37" s="1"/>
  <c r="B37" i="50" s="1"/>
  <c r="D37" s="1"/>
  <c r="B37" i="48"/>
  <c r="B36"/>
  <c r="C35" s="1"/>
  <c r="B35" i="50" s="1"/>
  <c r="D35" s="1"/>
  <c r="B35" i="48"/>
  <c r="B34"/>
  <c r="C33" s="1"/>
  <c r="B33" i="50" s="1"/>
  <c r="D33" s="1"/>
  <c r="B33" i="48"/>
  <c r="B32"/>
  <c r="C31" s="1"/>
  <c r="B31" i="50" s="1"/>
  <c r="D31" s="1"/>
  <c r="B31" i="48"/>
  <c r="B30"/>
  <c r="C29" s="1"/>
  <c r="B29" i="50" s="1"/>
  <c r="D29" s="1"/>
  <c r="B29" i="48"/>
  <c r="B28"/>
  <c r="C27" s="1"/>
  <c r="B27" i="50" s="1"/>
  <c r="D27" s="1"/>
  <c r="B27" i="48"/>
  <c r="B26"/>
  <c r="C25" s="1"/>
  <c r="B25" i="50" s="1"/>
  <c r="D25" s="1"/>
  <c r="B25" i="48"/>
  <c r="B24"/>
  <c r="C23" s="1"/>
  <c r="B23" i="50" s="1"/>
  <c r="D23" s="1"/>
  <c r="B23" i="48"/>
  <c r="B22"/>
  <c r="C21" s="1"/>
  <c r="B21" i="50" s="1"/>
  <c r="D21" s="1"/>
  <c r="B21" i="48"/>
  <c r="B20"/>
  <c r="C19" s="1"/>
  <c r="B19" i="50" s="1"/>
  <c r="D19" s="1"/>
  <c r="B19" i="48"/>
  <c r="B18"/>
  <c r="C17" s="1"/>
  <c r="B17" i="50" s="1"/>
  <c r="D17" s="1"/>
  <c r="B17" i="48"/>
  <c r="B16"/>
  <c r="C15" s="1"/>
  <c r="B15" i="50" s="1"/>
  <c r="D15" s="1"/>
  <c r="B15" i="48"/>
  <c r="B14"/>
  <c r="C13" s="1"/>
  <c r="B13" i="50" s="1"/>
  <c r="D13" s="1"/>
  <c r="B13" i="48"/>
  <c r="B12"/>
  <c r="C11" s="1"/>
  <c r="B11" i="50" s="1"/>
  <c r="B11" i="48"/>
  <c r="A5"/>
  <c r="B48" l="1"/>
  <c r="B53" s="1"/>
  <c r="C51" s="1"/>
  <c r="I39" i="84"/>
  <c r="I48" i="89"/>
  <c r="I18" i="84"/>
  <c r="C46" i="48"/>
  <c r="B46" i="50" s="1"/>
  <c r="D46" s="1"/>
  <c r="D11"/>
  <c r="C12" i="48"/>
  <c r="B12" i="50" s="1"/>
  <c r="D12" s="1"/>
  <c r="C14" i="48"/>
  <c r="B14" i="50" s="1"/>
  <c r="D14" s="1"/>
  <c r="C16" i="48"/>
  <c r="B16" i="50" s="1"/>
  <c r="D16" s="1"/>
  <c r="C18" i="48"/>
  <c r="B18" i="50" s="1"/>
  <c r="D18" s="1"/>
  <c r="C20" i="48"/>
  <c r="B20" i="50" s="1"/>
  <c r="D20" s="1"/>
  <c r="C22" i="48"/>
  <c r="B22" i="50" s="1"/>
  <c r="D22" s="1"/>
  <c r="C24" i="48"/>
  <c r="B24" i="50" s="1"/>
  <c r="D24" s="1"/>
  <c r="C26" i="48"/>
  <c r="B26" i="50" s="1"/>
  <c r="D26" s="1"/>
  <c r="C28" i="48"/>
  <c r="B28" i="50" s="1"/>
  <c r="D28" s="1"/>
  <c r="C30" i="48"/>
  <c r="B30" i="50" s="1"/>
  <c r="D30" s="1"/>
  <c r="C32" i="48"/>
  <c r="B32" i="50" s="1"/>
  <c r="D32" s="1"/>
  <c r="C34" i="48"/>
  <c r="B34" i="50" s="1"/>
  <c r="D34" s="1"/>
  <c r="C36" i="48"/>
  <c r="B36" i="50" s="1"/>
  <c r="D36" s="1"/>
  <c r="C38" i="48"/>
  <c r="B38" i="50" s="1"/>
  <c r="D38" s="1"/>
  <c r="C40" i="48"/>
  <c r="B40" i="50" s="1"/>
  <c r="D40" s="1"/>
  <c r="C42" i="48"/>
  <c r="B42" i="50" s="1"/>
  <c r="D42" s="1"/>
  <c r="C44" i="48"/>
  <c r="B44" i="50" s="1"/>
  <c r="D44" s="1"/>
  <c r="I44" i="78"/>
  <c r="G44" s="1"/>
  <c r="J43" i="49"/>
  <c r="J38"/>
  <c r="F39" i="85"/>
  <c r="I38" i="84"/>
  <c r="F35" i="85"/>
  <c r="I34" i="84"/>
  <c r="F31" i="85"/>
  <c r="I30" i="84"/>
  <c r="F27" i="85"/>
  <c r="I26" i="84"/>
  <c r="F23" i="85"/>
  <c r="I22" i="84"/>
  <c r="F14" i="85"/>
  <c r="I13" i="84"/>
  <c r="I45"/>
  <c r="F46" i="85"/>
  <c r="F36"/>
  <c r="I35" i="84"/>
  <c r="F32" i="85"/>
  <c r="I31" i="84"/>
  <c r="F28" i="85"/>
  <c r="I27" i="84"/>
  <c r="I23"/>
  <c r="F24" i="85"/>
  <c r="F15"/>
  <c r="I14" i="84"/>
  <c r="I28" i="78"/>
  <c r="G28" s="1"/>
  <c r="J27" i="49"/>
  <c r="I11" i="78"/>
  <c r="G11" s="1"/>
  <c r="J11" i="49"/>
  <c r="I41" i="84"/>
  <c r="F43" i="85"/>
  <c r="I42" i="84"/>
  <c r="F37" i="85"/>
  <c r="I36" i="84"/>
  <c r="F33" i="85"/>
  <c r="I32" i="84"/>
  <c r="F21" i="85"/>
  <c r="I20" i="84"/>
  <c r="F18" i="85"/>
  <c r="I17" i="84"/>
  <c r="F44" i="85"/>
  <c r="I43" i="84"/>
  <c r="F38" i="85"/>
  <c r="I37" i="84"/>
  <c r="F34" i="85"/>
  <c r="I33" i="84"/>
  <c r="F26" i="85"/>
  <c r="I25" i="84"/>
  <c r="I21"/>
  <c r="F22" i="85"/>
  <c r="F17"/>
  <c r="I16" i="84"/>
  <c r="F13" i="85"/>
  <c r="G49" i="84"/>
  <c r="I49" s="1"/>
  <c r="I12"/>
  <c r="I36" i="78"/>
  <c r="G36" s="1"/>
  <c r="J35" i="49"/>
  <c r="I46" i="84"/>
  <c r="I47"/>
  <c r="F51" i="45"/>
  <c r="D48" i="50" l="1"/>
  <c r="C48" i="48"/>
  <c r="C53" s="1"/>
  <c r="B48" i="50"/>
  <c r="F50" i="45"/>
  <c r="F46"/>
  <c r="F45"/>
  <c r="F44"/>
  <c r="F43"/>
  <c r="F42"/>
  <c r="F41"/>
  <c r="F40"/>
  <c r="F39"/>
  <c r="F38"/>
  <c r="F36"/>
  <c r="F35"/>
  <c r="F34"/>
  <c r="F33"/>
  <c r="F32"/>
  <c r="F30"/>
  <c r="F29"/>
  <c r="F28"/>
  <c r="F27"/>
  <c r="F26"/>
  <c r="F24"/>
  <c r="F23"/>
  <c r="F22"/>
  <c r="F21"/>
  <c r="F20"/>
  <c r="F19"/>
  <c r="F18"/>
  <c r="F17"/>
  <c r="F16"/>
  <c r="F15"/>
  <c r="F13"/>
  <c r="F12"/>
  <c r="B50" i="43"/>
  <c r="F31" i="45" l="1"/>
  <c r="F37"/>
  <c r="F50" i="43"/>
  <c r="B45"/>
  <c r="B43"/>
  <c r="B41"/>
  <c r="B39"/>
  <c r="B37"/>
  <c r="B35"/>
  <c r="B33"/>
  <c r="B31"/>
  <c r="B29"/>
  <c r="B27"/>
  <c r="B23"/>
  <c r="B21"/>
  <c r="B19"/>
  <c r="B15"/>
  <c r="B13"/>
  <c r="F13" l="1"/>
  <c r="H13" s="1"/>
  <c r="F15"/>
  <c r="F21"/>
  <c r="F23"/>
  <c r="F27"/>
  <c r="H27" s="1"/>
  <c r="F29"/>
  <c r="F31"/>
  <c r="F33"/>
  <c r="F43"/>
  <c r="F45"/>
  <c r="B1"/>
  <c r="B2" i="46" l="1"/>
  <c r="B2" i="52"/>
  <c r="B2" i="47"/>
  <c r="B2" i="81"/>
  <c r="B2" i="51"/>
  <c r="A3" i="33"/>
  <c r="B2" i="45"/>
  <c r="B2" i="44"/>
  <c r="I13" i="45"/>
  <c r="I27"/>
  <c r="A2" i="42"/>
  <c r="B51" i="76"/>
  <c r="B50"/>
  <c r="E50" s="1"/>
  <c r="B46"/>
  <c r="B45"/>
  <c r="B44"/>
  <c r="E44" s="1"/>
  <c r="B43"/>
  <c r="B42"/>
  <c r="B41"/>
  <c r="B40"/>
  <c r="B39"/>
  <c r="B38"/>
  <c r="B37"/>
  <c r="B36"/>
  <c r="E36" s="1"/>
  <c r="B35"/>
  <c r="B34"/>
  <c r="B33"/>
  <c r="B32"/>
  <c r="E32" s="1"/>
  <c r="B31"/>
  <c r="B30"/>
  <c r="B29"/>
  <c r="B28"/>
  <c r="B27"/>
  <c r="E27" s="1"/>
  <c r="B26"/>
  <c r="B24"/>
  <c r="B23"/>
  <c r="B22"/>
  <c r="B21"/>
  <c r="B20"/>
  <c r="B19"/>
  <c r="B18"/>
  <c r="E18" s="1"/>
  <c r="B17"/>
  <c r="B16"/>
  <c r="B15"/>
  <c r="B14"/>
  <c r="B13"/>
  <c r="E13" s="1"/>
  <c r="B12"/>
  <c r="E12" s="1"/>
  <c r="E46"/>
  <c r="E38"/>
  <c r="E34"/>
  <c r="E23"/>
  <c r="F51" i="41"/>
  <c r="B51"/>
  <c r="F50"/>
  <c r="B50"/>
  <c r="I48"/>
  <c r="F46"/>
  <c r="B46"/>
  <c r="F45"/>
  <c r="B45"/>
  <c r="F44"/>
  <c r="B44"/>
  <c r="F43"/>
  <c r="B43"/>
  <c r="F42"/>
  <c r="B42"/>
  <c r="F41"/>
  <c r="B41"/>
  <c r="F40"/>
  <c r="B40"/>
  <c r="F39"/>
  <c r="B39"/>
  <c r="F38"/>
  <c r="B38"/>
  <c r="F37"/>
  <c r="B37"/>
  <c r="F36"/>
  <c r="B36"/>
  <c r="F35"/>
  <c r="B35"/>
  <c r="F34"/>
  <c r="B34"/>
  <c r="F33"/>
  <c r="B33"/>
  <c r="F32"/>
  <c r="B32"/>
  <c r="F31"/>
  <c r="B31"/>
  <c r="F30"/>
  <c r="B30"/>
  <c r="F29"/>
  <c r="B29"/>
  <c r="F28"/>
  <c r="B28"/>
  <c r="F27"/>
  <c r="B27"/>
  <c r="F26"/>
  <c r="B26"/>
  <c r="F24"/>
  <c r="B24"/>
  <c r="F23"/>
  <c r="B23"/>
  <c r="F22"/>
  <c r="B22"/>
  <c r="F21"/>
  <c r="B21"/>
  <c r="F20"/>
  <c r="B20"/>
  <c r="F19"/>
  <c r="B19"/>
  <c r="F18"/>
  <c r="B18"/>
  <c r="F17"/>
  <c r="B17"/>
  <c r="F16"/>
  <c r="B16"/>
  <c r="F15"/>
  <c r="B15"/>
  <c r="F14"/>
  <c r="B14"/>
  <c r="F13"/>
  <c r="B13"/>
  <c r="F12"/>
  <c r="B12"/>
  <c r="D12" s="1"/>
  <c r="D51" i="40"/>
  <c r="B51"/>
  <c r="D50"/>
  <c r="B50"/>
  <c r="B46"/>
  <c r="B45"/>
  <c r="B44"/>
  <c r="B43"/>
  <c r="B42"/>
  <c r="B41"/>
  <c r="B40"/>
  <c r="B39"/>
  <c r="B38"/>
  <c r="B37"/>
  <c r="B36"/>
  <c r="B35"/>
  <c r="B34"/>
  <c r="B33"/>
  <c r="B32"/>
  <c r="B31"/>
  <c r="B30"/>
  <c r="B29"/>
  <c r="B28"/>
  <c r="D27"/>
  <c r="B27"/>
  <c r="B26"/>
  <c r="B24"/>
  <c r="B23"/>
  <c r="B22"/>
  <c r="B21"/>
  <c r="B20"/>
  <c r="B19"/>
  <c r="B18"/>
  <c r="B17"/>
  <c r="B16"/>
  <c r="B15"/>
  <c r="D14"/>
  <c r="B14"/>
  <c r="B13"/>
  <c r="B12"/>
  <c r="G12" i="41" l="1"/>
  <c r="G14"/>
  <c r="G16"/>
  <c r="G18"/>
  <c r="G20"/>
  <c r="G22"/>
  <c r="G26"/>
  <c r="G28"/>
  <c r="G30"/>
  <c r="G32"/>
  <c r="G34"/>
  <c r="G36"/>
  <c r="G38"/>
  <c r="G40"/>
  <c r="D16" i="40"/>
  <c r="D18"/>
  <c r="D20"/>
  <c r="D22"/>
  <c r="D24"/>
  <c r="D26"/>
  <c r="D29"/>
  <c r="D31"/>
  <c r="D33"/>
  <c r="D35"/>
  <c r="D37"/>
  <c r="D39"/>
  <c r="D41"/>
  <c r="D43"/>
  <c r="D45"/>
  <c r="D12"/>
  <c r="D15"/>
  <c r="D17"/>
  <c r="D19"/>
  <c r="D21"/>
  <c r="D23"/>
  <c r="D28"/>
  <c r="D30"/>
  <c r="D32"/>
  <c r="D34"/>
  <c r="D36"/>
  <c r="D38"/>
  <c r="D40"/>
  <c r="D42"/>
  <c r="D44"/>
  <c r="D13" i="41"/>
  <c r="D15"/>
  <c r="D17"/>
  <c r="D19"/>
  <c r="D21"/>
  <c r="D23"/>
  <c r="D27"/>
  <c r="D29"/>
  <c r="D31"/>
  <c r="D33"/>
  <c r="D35"/>
  <c r="D37"/>
  <c r="D39"/>
  <c r="D41"/>
  <c r="G42"/>
  <c r="D43"/>
  <c r="G44"/>
  <c r="D45"/>
  <c r="D50"/>
  <c r="D13" i="40"/>
  <c r="G13" i="41"/>
  <c r="D14"/>
  <c r="G15"/>
  <c r="D16"/>
  <c r="G17"/>
  <c r="D18"/>
  <c r="G19"/>
  <c r="D20"/>
  <c r="G21"/>
  <c r="D22"/>
  <c r="G23"/>
  <c r="D24"/>
  <c r="D26"/>
  <c r="G27"/>
  <c r="D28"/>
  <c r="G29"/>
  <c r="D30"/>
  <c r="G31"/>
  <c r="D32"/>
  <c r="G33"/>
  <c r="D34"/>
  <c r="G35"/>
  <c r="D36"/>
  <c r="G37"/>
  <c r="D38"/>
  <c r="G39"/>
  <c r="D40"/>
  <c r="G41"/>
  <c r="D42"/>
  <c r="G43"/>
  <c r="D44"/>
  <c r="G45"/>
  <c r="D46"/>
  <c r="G27" i="45"/>
  <c r="E27"/>
  <c r="C27"/>
  <c r="I27" i="44"/>
  <c r="G27"/>
  <c r="E27"/>
  <c r="C27"/>
  <c r="C13" i="45"/>
  <c r="E13"/>
  <c r="G13" i="44"/>
  <c r="C13"/>
  <c r="E13"/>
  <c r="I13"/>
  <c r="G13" i="45"/>
  <c r="E20" i="76"/>
  <c r="E41"/>
  <c r="I27" i="43"/>
  <c r="I13"/>
  <c r="H51" i="39"/>
  <c r="F51"/>
  <c r="D51"/>
  <c r="B51"/>
  <c r="H50"/>
  <c r="F50"/>
  <c r="D50"/>
  <c r="B50"/>
  <c r="B46"/>
  <c r="F46" s="1"/>
  <c r="B45"/>
  <c r="F45" s="1"/>
  <c r="B44"/>
  <c r="F44" s="1"/>
  <c r="B43"/>
  <c r="F43" s="1"/>
  <c r="B42"/>
  <c r="F42" s="1"/>
  <c r="B41"/>
  <c r="F41" s="1"/>
  <c r="B40"/>
  <c r="F40" s="1"/>
  <c r="B39"/>
  <c r="F39" s="1"/>
  <c r="B38"/>
  <c r="F38" s="1"/>
  <c r="B37"/>
  <c r="F37" s="1"/>
  <c r="B36"/>
  <c r="F36" s="1"/>
  <c r="B35"/>
  <c r="F35" s="1"/>
  <c r="B34"/>
  <c r="F34" s="1"/>
  <c r="B33"/>
  <c r="F33" s="1"/>
  <c r="B32"/>
  <c r="F32" s="1"/>
  <c r="B31"/>
  <c r="F31" s="1"/>
  <c r="B30"/>
  <c r="F30" s="1"/>
  <c r="B29"/>
  <c r="F29" s="1"/>
  <c r="B28"/>
  <c r="F28" s="1"/>
  <c r="H27"/>
  <c r="F27"/>
  <c r="D27"/>
  <c r="B27"/>
  <c r="B26"/>
  <c r="F26" s="1"/>
  <c r="B24"/>
  <c r="F24" s="1"/>
  <c r="B23"/>
  <c r="F23" s="1"/>
  <c r="B22"/>
  <c r="F22" s="1"/>
  <c r="B21"/>
  <c r="F21" s="1"/>
  <c r="B20"/>
  <c r="F20" s="1"/>
  <c r="B19"/>
  <c r="F19" s="1"/>
  <c r="B18"/>
  <c r="F18" s="1"/>
  <c r="B17"/>
  <c r="F17" s="1"/>
  <c r="B16"/>
  <c r="F16" s="1"/>
  <c r="B15"/>
  <c r="F15" s="1"/>
  <c r="B14"/>
  <c r="F14" s="1"/>
  <c r="B13"/>
  <c r="F13" s="1"/>
  <c r="B12"/>
  <c r="F12" s="1"/>
  <c r="D19" l="1"/>
  <c r="D46"/>
  <c r="D38"/>
  <c r="D31"/>
  <c r="D32"/>
  <c r="D42"/>
  <c r="D15"/>
  <c r="D23"/>
  <c r="D34"/>
  <c r="D40"/>
  <c r="D44"/>
  <c r="D13"/>
  <c r="D17"/>
  <c r="D21"/>
  <c r="D28"/>
  <c r="D29"/>
  <c r="D30"/>
  <c r="D36"/>
  <c r="D37"/>
  <c r="D12"/>
  <c r="H13"/>
  <c r="D14"/>
  <c r="H15"/>
  <c r="D16"/>
  <c r="H17"/>
  <c r="D18"/>
  <c r="H19"/>
  <c r="D20"/>
  <c r="H21"/>
  <c r="D22"/>
  <c r="H23"/>
  <c r="D24"/>
  <c r="D26"/>
  <c r="H28"/>
  <c r="H30"/>
  <c r="H32"/>
  <c r="D33"/>
  <c r="H34"/>
  <c r="D35"/>
  <c r="H36"/>
  <c r="H38"/>
  <c r="D39"/>
  <c r="H40"/>
  <c r="D41"/>
  <c r="H42"/>
  <c r="D43"/>
  <c r="H44"/>
  <c r="D45"/>
  <c r="H46"/>
  <c r="H12"/>
  <c r="H14"/>
  <c r="H16"/>
  <c r="H18"/>
  <c r="H20"/>
  <c r="H22"/>
  <c r="H24"/>
  <c r="H26"/>
  <c r="H29"/>
  <c r="H31"/>
  <c r="H33"/>
  <c r="H35"/>
  <c r="H37"/>
  <c r="H39"/>
  <c r="H41"/>
  <c r="H43"/>
  <c r="H45"/>
  <c r="G46" i="41"/>
  <c r="E51" i="7"/>
  <c r="I51" s="1"/>
  <c r="E50"/>
  <c r="I50" s="1"/>
  <c r="E46"/>
  <c r="I46" s="1"/>
  <c r="E45"/>
  <c r="I45" s="1"/>
  <c r="E44"/>
  <c r="I44" s="1"/>
  <c r="E43"/>
  <c r="I43" s="1"/>
  <c r="E42"/>
  <c r="I42" s="1"/>
  <c r="E41"/>
  <c r="I41" s="1"/>
  <c r="E40"/>
  <c r="I40" s="1"/>
  <c r="E39"/>
  <c r="I39" s="1"/>
  <c r="E38"/>
  <c r="I38" s="1"/>
  <c r="E37"/>
  <c r="I37" s="1"/>
  <c r="E36"/>
  <c r="I36" s="1"/>
  <c r="E35"/>
  <c r="I35" s="1"/>
  <c r="E34"/>
  <c r="I34" s="1"/>
  <c r="E33"/>
  <c r="I33" s="1"/>
  <c r="E32"/>
  <c r="I32" s="1"/>
  <c r="E31"/>
  <c r="I31" s="1"/>
  <c r="E30"/>
  <c r="I30" s="1"/>
  <c r="E29"/>
  <c r="I29" s="1"/>
  <c r="E28"/>
  <c r="I28" s="1"/>
  <c r="E27"/>
  <c r="I27" s="1"/>
  <c r="E26"/>
  <c r="G26" s="1"/>
  <c r="E24"/>
  <c r="I24" s="1"/>
  <c r="E23"/>
  <c r="I23" s="1"/>
  <c r="E22"/>
  <c r="G22" s="1"/>
  <c r="E21"/>
  <c r="I21" s="1"/>
  <c r="E20"/>
  <c r="H20" s="1"/>
  <c r="E19"/>
  <c r="I19" s="1"/>
  <c r="E18"/>
  <c r="I18" s="1"/>
  <c r="E17"/>
  <c r="I17" s="1"/>
  <c r="E16"/>
  <c r="I16" s="1"/>
  <c r="E15"/>
  <c r="I15" s="1"/>
  <c r="E14"/>
  <c r="I14" s="1"/>
  <c r="E13"/>
  <c r="I13" s="1"/>
  <c r="E12"/>
  <c r="I12" s="1"/>
  <c r="J51" i="9"/>
  <c r="G51"/>
  <c r="D51"/>
  <c r="J50"/>
  <c r="G50"/>
  <c r="D50"/>
  <c r="J46"/>
  <c r="G46"/>
  <c r="D46"/>
  <c r="J45"/>
  <c r="G45"/>
  <c r="D45"/>
  <c r="J44"/>
  <c r="G44"/>
  <c r="D44"/>
  <c r="J43"/>
  <c r="G43"/>
  <c r="D43"/>
  <c r="J42"/>
  <c r="G42"/>
  <c r="D42"/>
  <c r="J41"/>
  <c r="G41"/>
  <c r="D41"/>
  <c r="J40"/>
  <c r="G40"/>
  <c r="D40"/>
  <c r="J39"/>
  <c r="G39"/>
  <c r="D39"/>
  <c r="J38"/>
  <c r="G38"/>
  <c r="D38"/>
  <c r="J37"/>
  <c r="G37"/>
  <c r="D37"/>
  <c r="J36"/>
  <c r="G36"/>
  <c r="D36"/>
  <c r="J35"/>
  <c r="G35"/>
  <c r="D35"/>
  <c r="J34"/>
  <c r="G34"/>
  <c r="D34"/>
  <c r="J33"/>
  <c r="G33"/>
  <c r="D33"/>
  <c r="J32"/>
  <c r="G32"/>
  <c r="D32"/>
  <c r="J31"/>
  <c r="G31"/>
  <c r="D31"/>
  <c r="J30"/>
  <c r="G30"/>
  <c r="D30"/>
  <c r="J29"/>
  <c r="G29"/>
  <c r="D29"/>
  <c r="J28"/>
  <c r="G28"/>
  <c r="D28"/>
  <c r="J27"/>
  <c r="G27"/>
  <c r="D27"/>
  <c r="J26"/>
  <c r="G26"/>
  <c r="D26"/>
  <c r="J24"/>
  <c r="G24"/>
  <c r="D24"/>
  <c r="J23"/>
  <c r="G23"/>
  <c r="D23"/>
  <c r="J22"/>
  <c r="G22"/>
  <c r="D22"/>
  <c r="J21"/>
  <c r="G21"/>
  <c r="D21"/>
  <c r="J20"/>
  <c r="G20"/>
  <c r="D20"/>
  <c r="J19"/>
  <c r="G19"/>
  <c r="D19"/>
  <c r="J18"/>
  <c r="G18"/>
  <c r="D18"/>
  <c r="J17"/>
  <c r="G17"/>
  <c r="D17"/>
  <c r="J16"/>
  <c r="G16"/>
  <c r="D16"/>
  <c r="J15"/>
  <c r="G15"/>
  <c r="D15"/>
  <c r="J14"/>
  <c r="G14"/>
  <c r="J13"/>
  <c r="G13"/>
  <c r="D13"/>
  <c r="J12"/>
  <c r="G12"/>
  <c r="D12"/>
  <c r="G51" i="8"/>
  <c r="G50"/>
  <c r="G44"/>
  <c r="G41"/>
  <c r="G37"/>
  <c r="G29"/>
  <c r="G28"/>
  <c r="G22"/>
  <c r="G21"/>
  <c r="G14"/>
  <c r="H51" i="20"/>
  <c r="E51"/>
  <c r="B51"/>
  <c r="H50"/>
  <c r="E50"/>
  <c r="B50"/>
  <c r="H46"/>
  <c r="E46"/>
  <c r="B46"/>
  <c r="H45"/>
  <c r="E45"/>
  <c r="B45"/>
  <c r="H44"/>
  <c r="E44"/>
  <c r="B44"/>
  <c r="H43"/>
  <c r="E43"/>
  <c r="B43"/>
  <c r="H42"/>
  <c r="E42"/>
  <c r="B42"/>
  <c r="H41"/>
  <c r="E41"/>
  <c r="B41"/>
  <c r="H40"/>
  <c r="E40"/>
  <c r="B40"/>
  <c r="H39"/>
  <c r="E39"/>
  <c r="B39"/>
  <c r="H38"/>
  <c r="E38"/>
  <c r="B38"/>
  <c r="H37"/>
  <c r="E37"/>
  <c r="B37"/>
  <c r="H36"/>
  <c r="E36"/>
  <c r="B36"/>
  <c r="H35"/>
  <c r="E35"/>
  <c r="B35"/>
  <c r="H34"/>
  <c r="E34"/>
  <c r="B34"/>
  <c r="H33"/>
  <c r="E33"/>
  <c r="B33"/>
  <c r="H32"/>
  <c r="E32"/>
  <c r="B32"/>
  <c r="H31"/>
  <c r="E31"/>
  <c r="B31"/>
  <c r="H30"/>
  <c r="E30"/>
  <c r="B30"/>
  <c r="H29"/>
  <c r="E29"/>
  <c r="B29"/>
  <c r="H28"/>
  <c r="E28"/>
  <c r="B28"/>
  <c r="H27"/>
  <c r="E27"/>
  <c r="B27"/>
  <c r="H26"/>
  <c r="E26"/>
  <c r="B26"/>
  <c r="H24"/>
  <c r="E24"/>
  <c r="B24"/>
  <c r="H23"/>
  <c r="E23"/>
  <c r="B23"/>
  <c r="H22"/>
  <c r="E22"/>
  <c r="B22"/>
  <c r="H21"/>
  <c r="E21"/>
  <c r="B21"/>
  <c r="H20"/>
  <c r="E20"/>
  <c r="B20"/>
  <c r="H19"/>
  <c r="E19"/>
  <c r="B19"/>
  <c r="H18"/>
  <c r="E18"/>
  <c r="B18"/>
  <c r="H17"/>
  <c r="E17"/>
  <c r="B17"/>
  <c r="H16"/>
  <c r="E16"/>
  <c r="B16"/>
  <c r="H15"/>
  <c r="E15"/>
  <c r="B15"/>
  <c r="H14"/>
  <c r="E14"/>
  <c r="B14"/>
  <c r="H13"/>
  <c r="E13"/>
  <c r="B13"/>
  <c r="H12"/>
  <c r="E12"/>
  <c r="B12"/>
  <c r="G51" i="19"/>
  <c r="D51"/>
  <c r="B51"/>
  <c r="G50"/>
  <c r="D50"/>
  <c r="B50"/>
  <c r="G46"/>
  <c r="D46"/>
  <c r="B46"/>
  <c r="G45"/>
  <c r="D45"/>
  <c r="B45"/>
  <c r="G44"/>
  <c r="D44"/>
  <c r="B44"/>
  <c r="G43"/>
  <c r="D43"/>
  <c r="B43"/>
  <c r="G42"/>
  <c r="D42"/>
  <c r="B42"/>
  <c r="G41"/>
  <c r="D41"/>
  <c r="B41"/>
  <c r="G40"/>
  <c r="D40"/>
  <c r="B40"/>
  <c r="G39"/>
  <c r="D39"/>
  <c r="B39"/>
  <c r="G38"/>
  <c r="D38"/>
  <c r="B38"/>
  <c r="G37"/>
  <c r="D37"/>
  <c r="B37"/>
  <c r="G36"/>
  <c r="D36"/>
  <c r="B36"/>
  <c r="G35"/>
  <c r="D35"/>
  <c r="B35"/>
  <c r="G34"/>
  <c r="D34"/>
  <c r="B34"/>
  <c r="G33"/>
  <c r="D33"/>
  <c r="B33"/>
  <c r="G32"/>
  <c r="D32"/>
  <c r="B32"/>
  <c r="G31"/>
  <c r="D31"/>
  <c r="B31"/>
  <c r="G30"/>
  <c r="D30"/>
  <c r="B30"/>
  <c r="G29"/>
  <c r="D29"/>
  <c r="B29"/>
  <c r="G28"/>
  <c r="D28"/>
  <c r="B28"/>
  <c r="G27"/>
  <c r="D27"/>
  <c r="B27"/>
  <c r="G26"/>
  <c r="D26"/>
  <c r="B26"/>
  <c r="G24"/>
  <c r="D24"/>
  <c r="B24"/>
  <c r="G23"/>
  <c r="D23"/>
  <c r="B23"/>
  <c r="G22"/>
  <c r="D22"/>
  <c r="B22"/>
  <c r="G21"/>
  <c r="D21"/>
  <c r="B21"/>
  <c r="G20"/>
  <c r="D20"/>
  <c r="B20"/>
  <c r="G19"/>
  <c r="D19"/>
  <c r="B19"/>
  <c r="G18"/>
  <c r="D18"/>
  <c r="B18"/>
  <c r="G17"/>
  <c r="D17"/>
  <c r="B17"/>
  <c r="G16"/>
  <c r="D16"/>
  <c r="B16"/>
  <c r="G15"/>
  <c r="D15"/>
  <c r="B15"/>
  <c r="G14"/>
  <c r="D14"/>
  <c r="B14"/>
  <c r="G13"/>
  <c r="D13"/>
  <c r="B13"/>
  <c r="G12"/>
  <c r="D12"/>
  <c r="B12"/>
  <c r="H51" i="18"/>
  <c r="E51"/>
  <c r="B51"/>
  <c r="H50"/>
  <c r="E50"/>
  <c r="B50"/>
  <c r="H46"/>
  <c r="E46"/>
  <c r="B46"/>
  <c r="H45"/>
  <c r="E45"/>
  <c r="B45"/>
  <c r="H44"/>
  <c r="E44"/>
  <c r="B44"/>
  <c r="H43"/>
  <c r="E43"/>
  <c r="B43"/>
  <c r="H42"/>
  <c r="E42"/>
  <c r="B42"/>
  <c r="H41"/>
  <c r="E41"/>
  <c r="B41"/>
  <c r="H40"/>
  <c r="E40"/>
  <c r="B40"/>
  <c r="H39"/>
  <c r="E39"/>
  <c r="B39"/>
  <c r="H38"/>
  <c r="E38"/>
  <c r="B38"/>
  <c r="H37"/>
  <c r="E37"/>
  <c r="B37"/>
  <c r="H36"/>
  <c r="E36"/>
  <c r="B36"/>
  <c r="H35"/>
  <c r="E35"/>
  <c r="B35"/>
  <c r="H34"/>
  <c r="E34"/>
  <c r="B34"/>
  <c r="H33"/>
  <c r="E33"/>
  <c r="B33"/>
  <c r="H32"/>
  <c r="E32"/>
  <c r="B32"/>
  <c r="H31"/>
  <c r="E31"/>
  <c r="B31"/>
  <c r="H30"/>
  <c r="E30"/>
  <c r="B30"/>
  <c r="H29"/>
  <c r="E29"/>
  <c r="B29"/>
  <c r="H28"/>
  <c r="E28"/>
  <c r="B28"/>
  <c r="H27"/>
  <c r="E27"/>
  <c r="B27"/>
  <c r="H26"/>
  <c r="E26"/>
  <c r="B26"/>
  <c r="H24"/>
  <c r="E24"/>
  <c r="B24"/>
  <c r="H23"/>
  <c r="E23"/>
  <c r="B23"/>
  <c r="H22"/>
  <c r="E22"/>
  <c r="B22"/>
  <c r="H21"/>
  <c r="E21"/>
  <c r="B21"/>
  <c r="H20"/>
  <c r="E20"/>
  <c r="B20"/>
  <c r="H19"/>
  <c r="E19"/>
  <c r="B19"/>
  <c r="H18"/>
  <c r="E18"/>
  <c r="B18"/>
  <c r="H17"/>
  <c r="E17"/>
  <c r="B17"/>
  <c r="H16"/>
  <c r="E16"/>
  <c r="B16"/>
  <c r="H15"/>
  <c r="E15"/>
  <c r="B15"/>
  <c r="H14"/>
  <c r="E14"/>
  <c r="B14"/>
  <c r="H13"/>
  <c r="E13"/>
  <c r="B13"/>
  <c r="H12"/>
  <c r="E12"/>
  <c r="B12"/>
  <c r="I27" i="90" l="1"/>
  <c r="I29"/>
  <c r="I31"/>
  <c r="I46"/>
  <c r="I33"/>
  <c r="I35"/>
  <c r="I23"/>
  <c r="I37"/>
  <c r="I39"/>
  <c r="I41"/>
  <c r="D22" i="7"/>
  <c r="F22"/>
  <c r="F21"/>
  <c r="D12"/>
  <c r="F12"/>
  <c r="D13"/>
  <c r="F13"/>
  <c r="D14"/>
  <c r="F14"/>
  <c r="D15"/>
  <c r="F15"/>
  <c r="D16"/>
  <c r="F16"/>
  <c r="D17"/>
  <c r="F17"/>
  <c r="D18"/>
  <c r="F18"/>
  <c r="D19"/>
  <c r="F19"/>
  <c r="D20"/>
  <c r="G20"/>
  <c r="F20" s="1"/>
  <c r="H21"/>
  <c r="I22"/>
  <c r="H22" s="1"/>
  <c r="F29"/>
  <c r="D30"/>
  <c r="F30"/>
  <c r="F32"/>
  <c r="F34"/>
  <c r="D35"/>
  <c r="F35"/>
  <c r="D36"/>
  <c r="F36"/>
  <c r="D37"/>
  <c r="F37"/>
  <c r="D38"/>
  <c r="F38"/>
  <c r="D39"/>
  <c r="F39"/>
  <c r="D40"/>
  <c r="F40"/>
  <c r="D41"/>
  <c r="F41"/>
  <c r="D42"/>
  <c r="F42"/>
  <c r="D43"/>
  <c r="F43"/>
  <c r="D44"/>
  <c r="F44"/>
  <c r="D45"/>
  <c r="F45"/>
  <c r="D46"/>
  <c r="F46"/>
  <c r="I43" i="90"/>
  <c r="I45"/>
  <c r="H12" i="7"/>
  <c r="H13"/>
  <c r="H14"/>
  <c r="H15"/>
  <c r="H16"/>
  <c r="H17"/>
  <c r="H18"/>
  <c r="H19"/>
  <c r="I20"/>
  <c r="H29"/>
  <c r="H30"/>
  <c r="H32"/>
  <c r="H34"/>
  <c r="H35"/>
  <c r="H36"/>
  <c r="H37"/>
  <c r="H38"/>
  <c r="H39"/>
  <c r="H40"/>
  <c r="H41"/>
  <c r="H42"/>
  <c r="H43"/>
  <c r="H44"/>
  <c r="H45"/>
  <c r="H46"/>
  <c r="I24" i="90"/>
  <c r="I26"/>
  <c r="I28"/>
  <c r="I30"/>
  <c r="I32"/>
  <c r="I34"/>
  <c r="I36"/>
  <c r="I38"/>
  <c r="I40"/>
  <c r="I42"/>
  <c r="I44"/>
  <c r="G12" i="7"/>
  <c r="G13"/>
  <c r="G14"/>
  <c r="G15"/>
  <c r="G16"/>
  <c r="G17"/>
  <c r="G18"/>
  <c r="G19"/>
  <c r="G21"/>
  <c r="D23"/>
  <c r="F23"/>
  <c r="H23"/>
  <c r="D24"/>
  <c r="F24"/>
  <c r="H24"/>
  <c r="D26"/>
  <c r="F26"/>
  <c r="I26"/>
  <c r="H26" s="1"/>
  <c r="F27"/>
  <c r="H27"/>
  <c r="D28"/>
  <c r="F28"/>
  <c r="H28"/>
  <c r="G29"/>
  <c r="G30"/>
  <c r="F31"/>
  <c r="H31"/>
  <c r="G32"/>
  <c r="F33"/>
  <c r="H33"/>
  <c r="G34"/>
  <c r="G35"/>
  <c r="G36"/>
  <c r="G37"/>
  <c r="G38"/>
  <c r="G39"/>
  <c r="G40"/>
  <c r="G41"/>
  <c r="G42"/>
  <c r="G43"/>
  <c r="G44"/>
  <c r="G45"/>
  <c r="G46"/>
  <c r="D50"/>
  <c r="F50"/>
  <c r="H50"/>
  <c r="D51"/>
  <c r="F51"/>
  <c r="H51"/>
  <c r="G23"/>
  <c r="G24"/>
  <c r="G27"/>
  <c r="G28"/>
  <c r="G31"/>
  <c r="G33"/>
  <c r="G50"/>
  <c r="G51"/>
  <c r="I22" i="90"/>
  <c r="I12"/>
  <c r="I13"/>
  <c r="I14"/>
  <c r="I15"/>
  <c r="I16"/>
  <c r="I17"/>
  <c r="I18"/>
  <c r="I19"/>
  <c r="I20"/>
  <c r="I21"/>
  <c r="G12" i="8"/>
  <c r="G13"/>
  <c r="G15"/>
  <c r="G16"/>
  <c r="G17"/>
  <c r="G18"/>
  <c r="G19"/>
  <c r="G20"/>
  <c r="G23"/>
  <c r="G24"/>
  <c r="G26"/>
  <c r="G27"/>
  <c r="G30"/>
  <c r="G31"/>
  <c r="G32"/>
  <c r="G33"/>
  <c r="G34"/>
  <c r="G35"/>
  <c r="G36"/>
  <c r="G38"/>
  <c r="G39"/>
  <c r="G40"/>
  <c r="G42"/>
  <c r="G43"/>
  <c r="G45"/>
  <c r="G46"/>
  <c r="D21" i="7"/>
  <c r="D27"/>
  <c r="D29"/>
  <c r="D31"/>
  <c r="D32"/>
  <c r="D33"/>
  <c r="D34"/>
  <c r="F52" i="23" l="1"/>
  <c r="D46" l="1"/>
  <c r="B46"/>
  <c r="F46"/>
  <c r="J29"/>
  <c r="J49" i="22"/>
  <c r="F49"/>
  <c r="H46"/>
  <c r="D46"/>
  <c r="J35" i="23"/>
  <c r="J40" i="22"/>
  <c r="F40"/>
  <c r="B40"/>
  <c r="J14" i="23"/>
  <c r="D22" l="1"/>
  <c r="D40"/>
  <c r="B22" i="22"/>
  <c r="F22"/>
  <c r="D40"/>
  <c r="B46"/>
  <c r="F46"/>
  <c r="J46"/>
  <c r="B22" i="23"/>
  <c r="F40"/>
  <c r="J17"/>
  <c r="J20"/>
  <c r="H40" i="22"/>
  <c r="H51" s="1"/>
  <c r="J36" i="23"/>
  <c r="J38"/>
  <c r="J44"/>
  <c r="J15"/>
  <c r="J32"/>
  <c r="J34"/>
  <c r="D22" i="22"/>
  <c r="H22"/>
  <c r="J37" i="23"/>
  <c r="J39"/>
  <c r="J45"/>
  <c r="J19"/>
  <c r="J33"/>
  <c r="B51" i="22"/>
  <c r="B40" i="23"/>
  <c r="J22" i="22"/>
  <c r="J18" i="23"/>
  <c r="J21"/>
  <c r="F22"/>
  <c r="J23"/>
  <c r="J25"/>
  <c r="J26"/>
  <c r="J27"/>
  <c r="J28"/>
  <c r="J30"/>
  <c r="J31"/>
  <c r="J42"/>
  <c r="D54"/>
  <c r="J43"/>
  <c r="J48"/>
  <c r="M48" i="22"/>
  <c r="J16" i="23"/>
  <c r="F54"/>
  <c r="H51"/>
  <c r="H50"/>
  <c r="H49"/>
  <c r="D23" i="21"/>
  <c r="C23" s="1"/>
  <c r="D22"/>
  <c r="C22" s="1"/>
  <c r="D21"/>
  <c r="I19"/>
  <c r="F19" s="1"/>
  <c r="E19" s="1"/>
  <c r="D19"/>
  <c r="F51" i="22" l="1"/>
  <c r="J46" i="23"/>
  <c r="D51" i="22"/>
  <c r="C19" i="21"/>
  <c r="C21"/>
  <c r="K19"/>
  <c r="J22" i="23"/>
  <c r="B54"/>
  <c r="K24" i="21"/>
  <c r="H27"/>
  <c r="H52" i="23"/>
  <c r="J49"/>
  <c r="J50"/>
  <c r="G27" i="21"/>
  <c r="J40" i="23"/>
  <c r="J51" i="22"/>
  <c r="D18" i="21"/>
  <c r="C18" s="1"/>
  <c r="I17"/>
  <c r="F17" s="1"/>
  <c r="E17" s="1"/>
  <c r="D17"/>
  <c r="C17"/>
  <c r="D16"/>
  <c r="C16" s="1"/>
  <c r="F15"/>
  <c r="D15"/>
  <c r="D51" i="16"/>
  <c r="G48"/>
  <c r="F48"/>
  <c r="D48"/>
  <c r="C48"/>
  <c r="B48"/>
  <c r="C51" i="15"/>
  <c r="C50"/>
  <c r="C46"/>
  <c r="K17" i="21" l="1"/>
  <c r="D50" i="28"/>
  <c r="D50" i="8"/>
  <c r="D50" i="18"/>
  <c r="D51" i="28"/>
  <c r="D51" i="8"/>
  <c r="D51" i="18"/>
  <c r="D46" i="28"/>
  <c r="D46" i="8"/>
  <c r="D46" i="18"/>
  <c r="F46" i="15"/>
  <c r="F50"/>
  <c r="C15" i="21"/>
  <c r="D27"/>
  <c r="E15"/>
  <c r="C45" i="15"/>
  <c r="C44"/>
  <c r="C43"/>
  <c r="C42"/>
  <c r="C41"/>
  <c r="C40"/>
  <c r="C39"/>
  <c r="C38"/>
  <c r="C37"/>
  <c r="C36"/>
  <c r="C35"/>
  <c r="C34"/>
  <c r="C33"/>
  <c r="C32"/>
  <c r="C31"/>
  <c r="C30"/>
  <c r="C29"/>
  <c r="C28"/>
  <c r="C27"/>
  <c r="C26"/>
  <c r="C24"/>
  <c r="C23"/>
  <c r="C22"/>
  <c r="C21"/>
  <c r="C20"/>
  <c r="C19"/>
  <c r="C18"/>
  <c r="C17"/>
  <c r="C16"/>
  <c r="C15"/>
  <c r="C14"/>
  <c r="C13"/>
  <c r="C12"/>
  <c r="B3" i="14"/>
  <c r="B3" i="17" s="1"/>
  <c r="B3" i="15" l="1"/>
  <c r="D12" i="28"/>
  <c r="D12" i="8"/>
  <c r="D12" i="18"/>
  <c r="D14" i="28"/>
  <c r="D14" i="8"/>
  <c r="D14" i="18"/>
  <c r="D16" i="28"/>
  <c r="D16" i="8"/>
  <c r="D16" i="18"/>
  <c r="D18" i="28"/>
  <c r="D18" i="8"/>
  <c r="D18" i="18"/>
  <c r="D20" i="28"/>
  <c r="D20" i="8"/>
  <c r="D20" i="18"/>
  <c r="D22" i="28"/>
  <c r="D22" i="8"/>
  <c r="D22" i="18"/>
  <c r="D24" i="28"/>
  <c r="D24" i="8"/>
  <c r="D24" i="18"/>
  <c r="D26" i="28"/>
  <c r="D26" i="8"/>
  <c r="D26" i="18"/>
  <c r="D27" i="28"/>
  <c r="D27" i="8"/>
  <c r="D27" i="18"/>
  <c r="D29" i="28"/>
  <c r="D29" i="8"/>
  <c r="D29" i="18"/>
  <c r="D30" i="28"/>
  <c r="D30" i="8"/>
  <c r="D30" i="18"/>
  <c r="D31" i="28"/>
  <c r="D31" i="8"/>
  <c r="D31" i="18"/>
  <c r="D32" i="28"/>
  <c r="D32" i="8"/>
  <c r="D32" i="18"/>
  <c r="D33" i="28"/>
  <c r="D33" i="8"/>
  <c r="D33" i="18"/>
  <c r="D34" i="28"/>
  <c r="D34" i="8"/>
  <c r="D34" i="18"/>
  <c r="D35" i="28"/>
  <c r="D35" i="8"/>
  <c r="D35" i="18"/>
  <c r="D36" i="28"/>
  <c r="D36" i="8"/>
  <c r="D36" i="18"/>
  <c r="D37" i="28"/>
  <c r="D37" i="8"/>
  <c r="D37" i="18"/>
  <c r="D38" i="28"/>
  <c r="D38" i="8"/>
  <c r="D38" i="18"/>
  <c r="D39" i="28"/>
  <c r="D39" i="8"/>
  <c r="D39" i="18"/>
  <c r="D40" i="28"/>
  <c r="D40" i="8"/>
  <c r="D40" i="18"/>
  <c r="D41" i="28"/>
  <c r="D41" i="8"/>
  <c r="D41" i="18"/>
  <c r="D42" i="28"/>
  <c r="D42" i="8"/>
  <c r="D42" i="18"/>
  <c r="D43" i="28"/>
  <c r="D43" i="8"/>
  <c r="D43" i="18"/>
  <c r="D44" i="28"/>
  <c r="D44" i="8"/>
  <c r="D44" i="18"/>
  <c r="D45" i="28"/>
  <c r="D45" i="8"/>
  <c r="D45" i="18"/>
  <c r="F45" i="15"/>
  <c r="G50" i="54"/>
  <c r="E50" i="41"/>
  <c r="J50" i="54"/>
  <c r="C50" i="41"/>
  <c r="D50" i="54"/>
  <c r="G50" i="29"/>
  <c r="J50" i="28"/>
  <c r="J50" i="26"/>
  <c r="G50" i="76"/>
  <c r="D50" i="29"/>
  <c r="G50" i="28"/>
  <c r="D50" i="27"/>
  <c r="D50" i="76" s="1"/>
  <c r="G50" i="26"/>
  <c r="D50"/>
  <c r="D50" i="86"/>
  <c r="I50" i="11"/>
  <c r="J50" i="10"/>
  <c r="D50"/>
  <c r="F50" i="11"/>
  <c r="G50" i="10"/>
  <c r="I50" i="19"/>
  <c r="F50"/>
  <c r="J50" i="20"/>
  <c r="G50"/>
  <c r="G50" i="18"/>
  <c r="D50" i="20"/>
  <c r="E50" i="16"/>
  <c r="G46" i="90"/>
  <c r="J46" i="54"/>
  <c r="G46"/>
  <c r="E46" i="41"/>
  <c r="G46" i="76"/>
  <c r="D46" i="54"/>
  <c r="G46" i="29"/>
  <c r="G46" i="28"/>
  <c r="D46" i="27"/>
  <c r="D46" i="76" s="1"/>
  <c r="G46" i="26"/>
  <c r="C46" i="41"/>
  <c r="D46" i="29"/>
  <c r="J46" i="28"/>
  <c r="J46" i="26"/>
  <c r="D46"/>
  <c r="I46" i="11"/>
  <c r="G46" i="10"/>
  <c r="D46" i="86"/>
  <c r="F46" i="11"/>
  <c r="J46" i="10"/>
  <c r="D46"/>
  <c r="D46" i="20"/>
  <c r="I46" i="19"/>
  <c r="F46"/>
  <c r="G46" i="20"/>
  <c r="G46" i="18"/>
  <c r="J46" i="20"/>
  <c r="E46" i="16"/>
  <c r="D13" i="28"/>
  <c r="D13" i="8"/>
  <c r="D13" i="18"/>
  <c r="D15" i="28"/>
  <c r="D15" i="8"/>
  <c r="D15" i="18"/>
  <c r="D17" i="28"/>
  <c r="D17" i="8"/>
  <c r="D17" i="18"/>
  <c r="D19" i="28"/>
  <c r="D19" i="8"/>
  <c r="D19" i="18"/>
  <c r="D21" i="28"/>
  <c r="D21" i="8"/>
  <c r="D21" i="18"/>
  <c r="D23" i="28"/>
  <c r="D23" i="8"/>
  <c r="D23" i="18"/>
  <c r="D28" i="28"/>
  <c r="D28" i="8"/>
  <c r="D28" i="18"/>
  <c r="F12" i="15"/>
  <c r="F13"/>
  <c r="F14"/>
  <c r="F15"/>
  <c r="F16"/>
  <c r="F17"/>
  <c r="F18"/>
  <c r="F19"/>
  <c r="F20"/>
  <c r="F21"/>
  <c r="F22"/>
  <c r="F23"/>
  <c r="F24"/>
  <c r="F26"/>
  <c r="F27"/>
  <c r="F28"/>
  <c r="F29"/>
  <c r="F30"/>
  <c r="F31"/>
  <c r="F32"/>
  <c r="F33"/>
  <c r="F34"/>
  <c r="F35"/>
  <c r="F36"/>
  <c r="F37"/>
  <c r="F38"/>
  <c r="F39"/>
  <c r="F40"/>
  <c r="F41"/>
  <c r="F42"/>
  <c r="F43"/>
  <c r="F44"/>
  <c r="C27" i="21"/>
  <c r="K15"/>
  <c r="E51" i="5"/>
  <c r="E50"/>
  <c r="B52" i="85"/>
  <c r="E46" i="5"/>
  <c r="B48" i="85"/>
  <c r="E48" s="1"/>
  <c r="E45" i="5"/>
  <c r="B47" i="85"/>
  <c r="E47" s="1"/>
  <c r="E44" i="5"/>
  <c r="B46" i="85"/>
  <c r="E46" s="1"/>
  <c r="E43" i="5"/>
  <c r="B45" i="85"/>
  <c r="E42" i="5"/>
  <c r="B44" i="85"/>
  <c r="E44" s="1"/>
  <c r="E41" i="5"/>
  <c r="B43" i="85"/>
  <c r="E43" s="1"/>
  <c r="E40" i="5"/>
  <c r="B42" i="85"/>
  <c r="E42" s="1"/>
  <c r="E39" i="5"/>
  <c r="B41" i="85"/>
  <c r="E41" s="1"/>
  <c r="E38" i="5"/>
  <c r="B40" i="85"/>
  <c r="E40" s="1"/>
  <c r="E37" i="5"/>
  <c r="B39" i="85"/>
  <c r="E39" s="1"/>
  <c r="E36" i="5"/>
  <c r="B38" i="85"/>
  <c r="E38" s="1"/>
  <c r="E35" i="5"/>
  <c r="B37" i="85"/>
  <c r="E37" s="1"/>
  <c r="E34" i="5"/>
  <c r="B36" i="85"/>
  <c r="E36" s="1"/>
  <c r="E33" i="5"/>
  <c r="B35" i="85"/>
  <c r="E35" s="1"/>
  <c r="E32" i="5"/>
  <c r="B34" i="85"/>
  <c r="E34" s="1"/>
  <c r="E31" i="5"/>
  <c r="B33" i="85"/>
  <c r="E33" s="1"/>
  <c r="E30" i="5"/>
  <c r="B32" i="85"/>
  <c r="E32" s="1"/>
  <c r="E29" i="5"/>
  <c r="B31" i="85"/>
  <c r="E31" s="1"/>
  <c r="E28" i="5"/>
  <c r="B30" i="85"/>
  <c r="E27" i="5"/>
  <c r="B29" i="85"/>
  <c r="E26" i="5"/>
  <c r="B28" i="85"/>
  <c r="E28" s="1"/>
  <c r="E24" i="5"/>
  <c r="B26" i="85"/>
  <c r="E26" s="1"/>
  <c r="E23" i="5"/>
  <c r="B25" i="85"/>
  <c r="B24"/>
  <c r="E24" s="1"/>
  <c r="E21" i="5"/>
  <c r="B23" i="85"/>
  <c r="E23" s="1"/>
  <c r="E20" i="5"/>
  <c r="B22" i="85"/>
  <c r="E22" s="1"/>
  <c r="E19" i="5"/>
  <c r="B21" i="85"/>
  <c r="E21" s="1"/>
  <c r="E18" i="5"/>
  <c r="E17"/>
  <c r="B19" i="85"/>
  <c r="E19" s="1"/>
  <c r="E16" i="5"/>
  <c r="B18" i="85"/>
  <c r="E18" s="1"/>
  <c r="E15" i="5"/>
  <c r="B17" i="85"/>
  <c r="E17" s="1"/>
  <c r="E13" i="5"/>
  <c r="B15" i="85"/>
  <c r="E15" s="1"/>
  <c r="E12" i="5"/>
  <c r="B14" i="85"/>
  <c r="E14" s="1"/>
  <c r="A3" i="5"/>
  <c r="A3" i="41" l="1"/>
  <c r="B3" i="54"/>
  <c r="B3" i="40"/>
  <c r="B3" i="76"/>
  <c r="B3" i="39"/>
  <c r="B3" i="37"/>
  <c r="B3" i="36"/>
  <c r="B3" i="29"/>
  <c r="B3" i="28"/>
  <c r="B3" i="27"/>
  <c r="B3" i="38"/>
  <c r="B3" i="35"/>
  <c r="B3" i="34"/>
  <c r="B3" i="25"/>
  <c r="B3" i="8"/>
  <c r="B3" i="19"/>
  <c r="B3" i="26"/>
  <c r="B3" i="82"/>
  <c r="B3" i="86"/>
  <c r="B3" i="11"/>
  <c r="B3" i="10"/>
  <c r="B3" i="7"/>
  <c r="B3" i="9"/>
  <c r="B3" i="20"/>
  <c r="B3" i="18"/>
  <c r="C2" i="23"/>
  <c r="D2" i="22"/>
  <c r="C2" i="21"/>
  <c r="G43" i="90"/>
  <c r="G43" i="54"/>
  <c r="E43" i="41"/>
  <c r="C43"/>
  <c r="J43" i="54"/>
  <c r="D43"/>
  <c r="G43" i="29"/>
  <c r="J43" i="28"/>
  <c r="J43" i="26"/>
  <c r="D43" i="29"/>
  <c r="G43" i="28"/>
  <c r="D43" i="27"/>
  <c r="G43" i="26"/>
  <c r="D43"/>
  <c r="D43" i="86"/>
  <c r="F43" i="11"/>
  <c r="J43" i="10"/>
  <c r="I43" i="11"/>
  <c r="F43" i="19"/>
  <c r="J43" i="20"/>
  <c r="I43" i="19"/>
  <c r="G43" i="18"/>
  <c r="D43" i="10"/>
  <c r="D43" i="20"/>
  <c r="G43"/>
  <c r="G43" i="10"/>
  <c r="E43" i="16"/>
  <c r="G41" i="90"/>
  <c r="G41" i="54"/>
  <c r="E41" i="41"/>
  <c r="J41" i="54"/>
  <c r="D41"/>
  <c r="G41" i="29"/>
  <c r="J41" i="28"/>
  <c r="D41" i="26"/>
  <c r="C41" i="41"/>
  <c r="D41" i="29"/>
  <c r="G41" i="28"/>
  <c r="D41" i="27"/>
  <c r="D41" i="76" s="1"/>
  <c r="G41" i="26"/>
  <c r="J41"/>
  <c r="D41" i="86"/>
  <c r="F41" i="11"/>
  <c r="J41" i="10"/>
  <c r="D41"/>
  <c r="G41" i="76"/>
  <c r="I41" i="11"/>
  <c r="G41" i="10"/>
  <c r="D41" i="20"/>
  <c r="G41"/>
  <c r="G41" i="18"/>
  <c r="F41" i="19"/>
  <c r="J41" i="20"/>
  <c r="I41" i="19"/>
  <c r="E41" i="16"/>
  <c r="G39" i="90"/>
  <c r="G39" i="54"/>
  <c r="E39" i="41"/>
  <c r="J39" i="54"/>
  <c r="D39"/>
  <c r="C39" i="41"/>
  <c r="G39" i="29"/>
  <c r="J39" i="28"/>
  <c r="J39" i="26"/>
  <c r="D39" i="29"/>
  <c r="G39" i="28"/>
  <c r="D39" i="27"/>
  <c r="G39" i="26"/>
  <c r="D39"/>
  <c r="D39" i="86"/>
  <c r="F39" i="11"/>
  <c r="J39" i="10"/>
  <c r="D39"/>
  <c r="I39" i="11"/>
  <c r="G39" i="10"/>
  <c r="F39" i="19"/>
  <c r="J39" i="20"/>
  <c r="G39" i="18"/>
  <c r="D39" i="20"/>
  <c r="I39" i="19"/>
  <c r="G39" i="20"/>
  <c r="E39" i="16"/>
  <c r="G37" i="90"/>
  <c r="G37" i="54"/>
  <c r="E37" i="41"/>
  <c r="J37" i="54"/>
  <c r="D37"/>
  <c r="G37" i="29"/>
  <c r="J37" i="28"/>
  <c r="D37" i="26"/>
  <c r="C37" i="41"/>
  <c r="D37" i="29"/>
  <c r="G37" i="28"/>
  <c r="D37" i="27"/>
  <c r="G37" i="26"/>
  <c r="J37"/>
  <c r="D37" i="86"/>
  <c r="F37" i="11"/>
  <c r="J37" i="10"/>
  <c r="D37"/>
  <c r="I37" i="11"/>
  <c r="G37" i="10"/>
  <c r="J37" i="20"/>
  <c r="G37"/>
  <c r="D37"/>
  <c r="G37" i="18"/>
  <c r="F37" i="19"/>
  <c r="I37"/>
  <c r="E37" i="16"/>
  <c r="G35" i="90"/>
  <c r="G35" i="54"/>
  <c r="E35" i="41"/>
  <c r="J35" i="54"/>
  <c r="D35"/>
  <c r="C35" i="41"/>
  <c r="G35" i="29"/>
  <c r="J35" i="28"/>
  <c r="D35" i="29"/>
  <c r="G35" i="28"/>
  <c r="D35" i="27"/>
  <c r="G35" i="26"/>
  <c r="D35" i="86"/>
  <c r="F35" i="11"/>
  <c r="J35" i="10"/>
  <c r="D35"/>
  <c r="J35" i="26"/>
  <c r="D35"/>
  <c r="I35" i="11"/>
  <c r="G35" i="10"/>
  <c r="J35" i="20"/>
  <c r="G35"/>
  <c r="D35"/>
  <c r="G35" i="18"/>
  <c r="F35" i="19"/>
  <c r="I35"/>
  <c r="E35" i="16"/>
  <c r="G33" i="90"/>
  <c r="G33" i="54"/>
  <c r="E33" i="41"/>
  <c r="J33" i="54"/>
  <c r="D33"/>
  <c r="G33" i="29"/>
  <c r="J33" i="28"/>
  <c r="C33" i="41"/>
  <c r="D33" i="29"/>
  <c r="G33" i="28"/>
  <c r="D33" i="27"/>
  <c r="G33" i="26"/>
  <c r="D33" i="86"/>
  <c r="F33" i="11"/>
  <c r="J33" i="10"/>
  <c r="D33"/>
  <c r="J33" i="26"/>
  <c r="D33"/>
  <c r="I33" i="11"/>
  <c r="G33" i="10"/>
  <c r="J33" i="20"/>
  <c r="G33"/>
  <c r="D33"/>
  <c r="I33" i="19"/>
  <c r="G33" i="18"/>
  <c r="F33" i="19"/>
  <c r="E33" i="16"/>
  <c r="G31" i="90"/>
  <c r="G31" i="54"/>
  <c r="E31" i="41"/>
  <c r="J31" i="54"/>
  <c r="D31"/>
  <c r="C31" i="41"/>
  <c r="G31" i="29"/>
  <c r="J31" i="28"/>
  <c r="D31" i="29"/>
  <c r="G31" i="28"/>
  <c r="D31" i="27"/>
  <c r="G31" i="26"/>
  <c r="D31" i="86"/>
  <c r="F31" i="11"/>
  <c r="J31" i="10"/>
  <c r="D31"/>
  <c r="J31" i="26"/>
  <c r="D31"/>
  <c r="I31" i="11"/>
  <c r="G31" i="10"/>
  <c r="J31" i="20"/>
  <c r="D31"/>
  <c r="I31" i="19"/>
  <c r="G31" i="20"/>
  <c r="G31" i="18"/>
  <c r="F31" i="19"/>
  <c r="E31" i="16"/>
  <c r="G29" i="90"/>
  <c r="E29" i="41"/>
  <c r="J29" i="54"/>
  <c r="G29"/>
  <c r="G29" i="29"/>
  <c r="J29" i="28"/>
  <c r="C29" i="41"/>
  <c r="D29" i="54"/>
  <c r="D29" i="29"/>
  <c r="G29" i="28"/>
  <c r="D29" i="27"/>
  <c r="G29" i="26"/>
  <c r="D29" i="86"/>
  <c r="F29" i="11"/>
  <c r="J29" i="10"/>
  <c r="D29"/>
  <c r="J29" i="26"/>
  <c r="D29"/>
  <c r="I29" i="11"/>
  <c r="G29" i="10"/>
  <c r="D29" i="20"/>
  <c r="J29"/>
  <c r="I29" i="19"/>
  <c r="G29" i="18"/>
  <c r="G29" i="20"/>
  <c r="F29" i="19"/>
  <c r="E29" i="16"/>
  <c r="G27" i="90"/>
  <c r="G27" i="54"/>
  <c r="E27" i="41"/>
  <c r="J27" i="54"/>
  <c r="C27" i="41"/>
  <c r="D27" i="54"/>
  <c r="G27" i="29"/>
  <c r="J27" i="28"/>
  <c r="G27" i="76"/>
  <c r="D27" i="29"/>
  <c r="G27" i="28"/>
  <c r="D27" i="27"/>
  <c r="D27" i="76" s="1"/>
  <c r="G27" i="26"/>
  <c r="D27" i="86"/>
  <c r="F27" i="11"/>
  <c r="J27" i="10"/>
  <c r="D27"/>
  <c r="J27" i="26"/>
  <c r="D27"/>
  <c r="I27" i="11"/>
  <c r="G27" i="10"/>
  <c r="D27" i="20"/>
  <c r="G27"/>
  <c r="G27" i="18"/>
  <c r="I27" i="19"/>
  <c r="F27"/>
  <c r="J27" i="20"/>
  <c r="G23" i="90"/>
  <c r="G23" i="54"/>
  <c r="E23" i="41"/>
  <c r="J23" i="54"/>
  <c r="C23" i="41"/>
  <c r="G23" i="29"/>
  <c r="J23" i="28"/>
  <c r="D23" i="54"/>
  <c r="G23" i="76"/>
  <c r="D23" i="29"/>
  <c r="G23" i="28"/>
  <c r="D23" i="27"/>
  <c r="D23" i="76" s="1"/>
  <c r="G23" i="26"/>
  <c r="D23" i="86"/>
  <c r="F23" i="11"/>
  <c r="J23" i="10"/>
  <c r="D23"/>
  <c r="J23" i="26"/>
  <c r="D23"/>
  <c r="I23" i="11"/>
  <c r="G23" i="10"/>
  <c r="D23" i="20"/>
  <c r="I23" i="19"/>
  <c r="G23" i="20"/>
  <c r="G23" i="18"/>
  <c r="F23" i="19"/>
  <c r="J23" i="20"/>
  <c r="E23" i="16"/>
  <c r="G21" i="90"/>
  <c r="G21" i="54"/>
  <c r="E21" i="41"/>
  <c r="J21" i="54"/>
  <c r="D21"/>
  <c r="G21" i="29"/>
  <c r="J21" i="28"/>
  <c r="C21" i="41"/>
  <c r="D21" i="29"/>
  <c r="G21" i="28"/>
  <c r="D21" i="27"/>
  <c r="G21" i="26"/>
  <c r="D21" i="86"/>
  <c r="F21" i="11"/>
  <c r="J21" i="10"/>
  <c r="D21"/>
  <c r="J21" i="26"/>
  <c r="D21"/>
  <c r="I21" i="11"/>
  <c r="G21" i="10"/>
  <c r="I21" i="19"/>
  <c r="F21"/>
  <c r="J21" i="20"/>
  <c r="G21" i="18"/>
  <c r="D21" i="20"/>
  <c r="G21"/>
  <c r="G19" i="90"/>
  <c r="G19" i="54"/>
  <c r="E19" i="41"/>
  <c r="J19" i="54"/>
  <c r="D19"/>
  <c r="C19" i="41"/>
  <c r="G19" i="29"/>
  <c r="J19" i="28"/>
  <c r="D19" i="29"/>
  <c r="G19" i="28"/>
  <c r="D19" i="27"/>
  <c r="G19" i="26"/>
  <c r="D19" i="86"/>
  <c r="F19" i="11"/>
  <c r="J19" i="10"/>
  <c r="D19"/>
  <c r="J19" i="26"/>
  <c r="D19"/>
  <c r="I19" i="11"/>
  <c r="G19" i="10"/>
  <c r="I19" i="19"/>
  <c r="F19"/>
  <c r="D19" i="20"/>
  <c r="G19"/>
  <c r="G19" i="18"/>
  <c r="J19" i="20"/>
  <c r="E19" i="16"/>
  <c r="G17" i="90"/>
  <c r="G17" i="54"/>
  <c r="E17" i="41"/>
  <c r="J17" i="54"/>
  <c r="D17"/>
  <c r="G17" i="29"/>
  <c r="J17" i="28"/>
  <c r="C17" i="41"/>
  <c r="D17" i="29"/>
  <c r="G17" i="28"/>
  <c r="D17" i="27"/>
  <c r="G17" i="26"/>
  <c r="D17" i="86"/>
  <c r="F17" i="11"/>
  <c r="J17" i="10"/>
  <c r="D17"/>
  <c r="J17" i="26"/>
  <c r="D17"/>
  <c r="I17" i="11"/>
  <c r="G17" i="10"/>
  <c r="I17" i="19"/>
  <c r="D17" i="20"/>
  <c r="F17" i="19"/>
  <c r="G17" i="20"/>
  <c r="J17"/>
  <c r="G17" i="18"/>
  <c r="E17" i="16"/>
  <c r="G15" i="90"/>
  <c r="G15" i="54"/>
  <c r="E15" i="41"/>
  <c r="J15" i="54"/>
  <c r="D15"/>
  <c r="C15" i="41"/>
  <c r="G15" i="29"/>
  <c r="J15" i="28"/>
  <c r="D15" i="29"/>
  <c r="G15" i="28"/>
  <c r="D15" i="27"/>
  <c r="G15" i="26"/>
  <c r="D15" i="86"/>
  <c r="F15" i="11"/>
  <c r="J15" i="10"/>
  <c r="D15"/>
  <c r="J15" i="26"/>
  <c r="D15"/>
  <c r="I15" i="11"/>
  <c r="G15" i="10"/>
  <c r="J15" i="20"/>
  <c r="G15"/>
  <c r="D15"/>
  <c r="F15" i="19"/>
  <c r="I15"/>
  <c r="G15" i="18"/>
  <c r="E15" i="16"/>
  <c r="G13" i="90"/>
  <c r="G13" i="54"/>
  <c r="E13" i="41"/>
  <c r="J13" i="54"/>
  <c r="G13" i="76"/>
  <c r="D13" i="54"/>
  <c r="G13" i="29"/>
  <c r="J13" i="28"/>
  <c r="C13" i="41"/>
  <c r="D13" i="29"/>
  <c r="G13" i="28"/>
  <c r="D13" i="27"/>
  <c r="D13" i="76" s="1"/>
  <c r="G13" i="26"/>
  <c r="D13" i="86"/>
  <c r="F13" i="11"/>
  <c r="J13" i="10"/>
  <c r="D13"/>
  <c r="J13" i="26"/>
  <c r="D13"/>
  <c r="I13" i="11"/>
  <c r="G13" i="10"/>
  <c r="J13" i="20"/>
  <c r="G13"/>
  <c r="D13"/>
  <c r="F13" i="19"/>
  <c r="I13"/>
  <c r="G13" i="18"/>
  <c r="E13" i="16"/>
  <c r="G45" i="90"/>
  <c r="G45" i="54"/>
  <c r="E45" i="41"/>
  <c r="J45" i="54"/>
  <c r="D45"/>
  <c r="C45" i="41"/>
  <c r="G45" i="29"/>
  <c r="J45" i="28"/>
  <c r="J45" i="26"/>
  <c r="D45"/>
  <c r="D45" i="29"/>
  <c r="G45" i="28"/>
  <c r="D45" i="27"/>
  <c r="G45" i="26"/>
  <c r="D45" i="86"/>
  <c r="F45" i="11"/>
  <c r="D45" i="10"/>
  <c r="J45" i="20"/>
  <c r="D45"/>
  <c r="G45" i="18"/>
  <c r="G45" i="20"/>
  <c r="I45" i="11"/>
  <c r="G45" i="10"/>
  <c r="F45" i="19"/>
  <c r="I45"/>
  <c r="J45" i="10"/>
  <c r="E45" i="16"/>
  <c r="G44" i="90"/>
  <c r="J44" i="54"/>
  <c r="G44"/>
  <c r="E44" i="41"/>
  <c r="C44"/>
  <c r="G44" i="76"/>
  <c r="G44" i="29"/>
  <c r="G44" i="28"/>
  <c r="G44" i="26"/>
  <c r="D44" i="54"/>
  <c r="D44" i="29"/>
  <c r="J44" i="28"/>
  <c r="J44" i="26"/>
  <c r="D44"/>
  <c r="D44" i="27"/>
  <c r="D44" i="76" s="1"/>
  <c r="F44" i="11"/>
  <c r="G44" i="10"/>
  <c r="D44" i="86"/>
  <c r="I44" i="11"/>
  <c r="J44" i="10"/>
  <c r="D44"/>
  <c r="I44" i="19"/>
  <c r="F44"/>
  <c r="D44" i="20"/>
  <c r="G44" i="18"/>
  <c r="G44" i="20"/>
  <c r="J44"/>
  <c r="E44" i="16"/>
  <c r="G42" i="90"/>
  <c r="J42" i="54"/>
  <c r="D42"/>
  <c r="G42"/>
  <c r="E42" i="41"/>
  <c r="G42" i="29"/>
  <c r="G42" i="28"/>
  <c r="D42" i="27"/>
  <c r="G42" i="26"/>
  <c r="C42" i="41"/>
  <c r="D42" i="29"/>
  <c r="J42" i="28"/>
  <c r="J42" i="26"/>
  <c r="D42"/>
  <c r="F42" i="11"/>
  <c r="G42" i="10"/>
  <c r="D42" i="86"/>
  <c r="I42" i="11"/>
  <c r="J42" i="10"/>
  <c r="D42"/>
  <c r="I42" i="19"/>
  <c r="F42"/>
  <c r="G42" i="20"/>
  <c r="J42"/>
  <c r="D42"/>
  <c r="G42" i="18"/>
  <c r="E42" i="16"/>
  <c r="G40" i="90"/>
  <c r="J40" i="54"/>
  <c r="D40"/>
  <c r="G40"/>
  <c r="E40" i="41"/>
  <c r="C40"/>
  <c r="G40" i="29"/>
  <c r="G40" i="28"/>
  <c r="D40" i="29"/>
  <c r="J40" i="28"/>
  <c r="J40" i="26"/>
  <c r="D40"/>
  <c r="D40" i="27"/>
  <c r="G40" i="26"/>
  <c r="F40" i="11"/>
  <c r="G40" i="10"/>
  <c r="D40" i="86"/>
  <c r="I40" i="11"/>
  <c r="J40" i="10"/>
  <c r="D40"/>
  <c r="I40" i="19"/>
  <c r="F40"/>
  <c r="D40" i="20"/>
  <c r="G40" i="18"/>
  <c r="G40" i="20"/>
  <c r="J40"/>
  <c r="E40" i="16"/>
  <c r="G38" i="90"/>
  <c r="J38" i="54"/>
  <c r="G38"/>
  <c r="E38" i="41"/>
  <c r="C38"/>
  <c r="G38" i="76"/>
  <c r="D38" i="54"/>
  <c r="G38" i="29"/>
  <c r="G38" i="28"/>
  <c r="D38" i="27"/>
  <c r="D38" i="76" s="1"/>
  <c r="G38" i="26"/>
  <c r="D38" i="29"/>
  <c r="J38" i="28"/>
  <c r="J38" i="26"/>
  <c r="D38"/>
  <c r="F38" i="11"/>
  <c r="G38" i="10"/>
  <c r="D38" i="86"/>
  <c r="I38" i="11"/>
  <c r="J38" i="10"/>
  <c r="D38"/>
  <c r="D38" i="20"/>
  <c r="I38" i="19"/>
  <c r="F38"/>
  <c r="G38" i="20"/>
  <c r="G38" i="18"/>
  <c r="J38" i="20"/>
  <c r="E38" i="16"/>
  <c r="G36" i="90"/>
  <c r="J36" i="54"/>
  <c r="G36"/>
  <c r="E36" i="41"/>
  <c r="C36"/>
  <c r="G36" i="76"/>
  <c r="G36" i="29"/>
  <c r="G36" i="28"/>
  <c r="D36" i="54"/>
  <c r="D36" i="29"/>
  <c r="J36" i="28"/>
  <c r="D36" i="27"/>
  <c r="D36" i="76" s="1"/>
  <c r="J36" i="26"/>
  <c r="D36"/>
  <c r="F36" i="11"/>
  <c r="G36" i="10"/>
  <c r="G36" i="26"/>
  <c r="D36" i="86"/>
  <c r="I36" i="11"/>
  <c r="J36" i="10"/>
  <c r="D36"/>
  <c r="J36" i="20"/>
  <c r="G36"/>
  <c r="D36"/>
  <c r="I36" i="19"/>
  <c r="F36"/>
  <c r="G36" i="18"/>
  <c r="E36" i="16"/>
  <c r="G34" i="90"/>
  <c r="J34" i="54"/>
  <c r="G34"/>
  <c r="E34" i="41"/>
  <c r="C34"/>
  <c r="G34" i="76"/>
  <c r="D34" i="54"/>
  <c r="G34" i="29"/>
  <c r="G34" i="28"/>
  <c r="D34" i="27"/>
  <c r="D34" i="76" s="1"/>
  <c r="D34" i="29"/>
  <c r="J34" i="28"/>
  <c r="J34" i="26"/>
  <c r="D34"/>
  <c r="F34" i="11"/>
  <c r="G34" i="10"/>
  <c r="G34" i="26"/>
  <c r="D34" i="86"/>
  <c r="I34" i="11"/>
  <c r="J34" i="10"/>
  <c r="D34"/>
  <c r="J34" i="20"/>
  <c r="G34"/>
  <c r="D34"/>
  <c r="I34" i="19"/>
  <c r="F34"/>
  <c r="G34" i="18"/>
  <c r="E34" i="16"/>
  <c r="G32" i="90"/>
  <c r="J32" i="54"/>
  <c r="G32"/>
  <c r="E32" i="41"/>
  <c r="C32"/>
  <c r="G32" i="76"/>
  <c r="G32" i="29"/>
  <c r="G32" i="28"/>
  <c r="D32" i="54"/>
  <c r="D32" i="29"/>
  <c r="J32" i="28"/>
  <c r="D32" i="27"/>
  <c r="D32" i="76" s="1"/>
  <c r="J32" i="26"/>
  <c r="D32"/>
  <c r="F32" i="11"/>
  <c r="G32" i="10"/>
  <c r="G32" i="26"/>
  <c r="D32" i="86"/>
  <c r="I32" i="11"/>
  <c r="J32" i="10"/>
  <c r="D32"/>
  <c r="J32" i="20"/>
  <c r="G32"/>
  <c r="D32"/>
  <c r="I32" i="19"/>
  <c r="G32" i="18"/>
  <c r="F32" i="19"/>
  <c r="E32" i="16"/>
  <c r="G30" i="90"/>
  <c r="J30" i="54"/>
  <c r="D30"/>
  <c r="G30"/>
  <c r="E30" i="41"/>
  <c r="C30"/>
  <c r="G30" i="29"/>
  <c r="G30" i="28"/>
  <c r="D30" i="27"/>
  <c r="D30" i="29"/>
  <c r="J30" i="28"/>
  <c r="J30" i="26"/>
  <c r="D30"/>
  <c r="F30" i="11"/>
  <c r="G30" i="10"/>
  <c r="G30" i="26"/>
  <c r="D30" i="86"/>
  <c r="I30" i="11"/>
  <c r="J30" i="10"/>
  <c r="D30"/>
  <c r="I30" i="19"/>
  <c r="D30" i="20"/>
  <c r="G30"/>
  <c r="F30" i="19"/>
  <c r="J30" i="20"/>
  <c r="G30" i="18"/>
  <c r="E30" i="16"/>
  <c r="G28" i="90"/>
  <c r="J28" i="54"/>
  <c r="D28"/>
  <c r="G28"/>
  <c r="E28" i="41"/>
  <c r="C28"/>
  <c r="G28" i="29"/>
  <c r="G28" i="28"/>
  <c r="D28" i="29"/>
  <c r="J28" i="28"/>
  <c r="D28" i="27"/>
  <c r="J28" i="26"/>
  <c r="D28"/>
  <c r="F28" i="11"/>
  <c r="G28" i="10"/>
  <c r="G28" i="26"/>
  <c r="D28" i="86"/>
  <c r="I28" i="11"/>
  <c r="J28" i="10"/>
  <c r="D28"/>
  <c r="J28" i="20"/>
  <c r="G28"/>
  <c r="I28" i="19"/>
  <c r="G28" i="18"/>
  <c r="F28" i="19"/>
  <c r="D28" i="20"/>
  <c r="E28" i="16"/>
  <c r="E27" s="1"/>
  <c r="G26" i="90"/>
  <c r="J26" i="54"/>
  <c r="D26"/>
  <c r="G26"/>
  <c r="E26" i="41"/>
  <c r="C26"/>
  <c r="G26" i="29"/>
  <c r="G26" i="28"/>
  <c r="D26" i="27"/>
  <c r="D26" i="29"/>
  <c r="J26" i="28"/>
  <c r="J26" i="26"/>
  <c r="D26"/>
  <c r="F26" i="11"/>
  <c r="G26" i="10"/>
  <c r="G26" i="26"/>
  <c r="D26" i="86"/>
  <c r="I26" i="11"/>
  <c r="J26" i="10"/>
  <c r="D26"/>
  <c r="I26" i="19"/>
  <c r="F26"/>
  <c r="D26" i="20"/>
  <c r="G26"/>
  <c r="J26"/>
  <c r="G26" i="18"/>
  <c r="E26" i="16"/>
  <c r="G24" i="90"/>
  <c r="J24" i="54"/>
  <c r="D24"/>
  <c r="G24"/>
  <c r="E24" i="41"/>
  <c r="C24"/>
  <c r="G24" i="29"/>
  <c r="G24" i="28"/>
  <c r="D24" i="29"/>
  <c r="J24" i="28"/>
  <c r="D24" i="27"/>
  <c r="J24" i="26"/>
  <c r="D24"/>
  <c r="F24" i="11"/>
  <c r="G24" i="10"/>
  <c r="G24" i="26"/>
  <c r="D24" i="86"/>
  <c r="I24" i="11"/>
  <c r="J24" i="10"/>
  <c r="D24"/>
  <c r="I24" i="19"/>
  <c r="G24" i="20"/>
  <c r="J24"/>
  <c r="G24" i="18"/>
  <c r="F24" i="19"/>
  <c r="D24" i="20"/>
  <c r="E24" i="16"/>
  <c r="G22" i="90"/>
  <c r="J22" i="54"/>
  <c r="D22"/>
  <c r="G22"/>
  <c r="E22" i="41"/>
  <c r="C22"/>
  <c r="G22" i="29"/>
  <c r="G22" i="28"/>
  <c r="D22" i="27"/>
  <c r="D22" i="29"/>
  <c r="J22" i="28"/>
  <c r="J22" i="26"/>
  <c r="D22"/>
  <c r="F22" i="11"/>
  <c r="G22" i="10"/>
  <c r="G22" i="26"/>
  <c r="D22" i="86"/>
  <c r="I22" i="11"/>
  <c r="J22" i="10"/>
  <c r="D22"/>
  <c r="D22" i="20"/>
  <c r="G22"/>
  <c r="F22" i="19"/>
  <c r="J22" i="20"/>
  <c r="I22" i="19"/>
  <c r="G22" i="18"/>
  <c r="E22" i="16"/>
  <c r="E21" s="1"/>
  <c r="G20" i="90"/>
  <c r="J20" i="54"/>
  <c r="D20"/>
  <c r="G20"/>
  <c r="E20" i="41"/>
  <c r="C20"/>
  <c r="G20" i="29"/>
  <c r="G20" i="28"/>
  <c r="D20" i="29"/>
  <c r="J20" i="28"/>
  <c r="D20" i="27"/>
  <c r="D20" i="76" s="1"/>
  <c r="J20" i="26"/>
  <c r="D20"/>
  <c r="F20" i="11"/>
  <c r="G20" i="10"/>
  <c r="G20" i="76"/>
  <c r="G20" i="26"/>
  <c r="D20" i="86"/>
  <c r="I20" i="11"/>
  <c r="J20" i="10"/>
  <c r="D20"/>
  <c r="G20" i="20"/>
  <c r="F20" i="19"/>
  <c r="J20" i="20"/>
  <c r="I20" i="19"/>
  <c r="D20" i="20"/>
  <c r="G20" i="18"/>
  <c r="E20" i="16"/>
  <c r="G18" i="90"/>
  <c r="J18" i="54"/>
  <c r="G18"/>
  <c r="E18" i="41"/>
  <c r="C18"/>
  <c r="G18" i="29"/>
  <c r="G18" i="28"/>
  <c r="D18" i="27"/>
  <c r="D18" i="76" s="1"/>
  <c r="G18"/>
  <c r="D18" i="54"/>
  <c r="D18" i="29"/>
  <c r="J18" i="28"/>
  <c r="J18" i="26"/>
  <c r="D18"/>
  <c r="F18" i="11"/>
  <c r="G18" i="10"/>
  <c r="G18" i="26"/>
  <c r="D18" i="86"/>
  <c r="I18" i="11"/>
  <c r="J18" i="10"/>
  <c r="D18"/>
  <c r="F18" i="19"/>
  <c r="D18" i="20"/>
  <c r="G18" i="18"/>
  <c r="I18" i="19"/>
  <c r="G18" i="20"/>
  <c r="J18"/>
  <c r="E18" i="16"/>
  <c r="G16" i="90"/>
  <c r="J16" i="54"/>
  <c r="D16"/>
  <c r="G16"/>
  <c r="E16" i="41"/>
  <c r="C16"/>
  <c r="G16" i="29"/>
  <c r="G16" i="28"/>
  <c r="D16" i="29"/>
  <c r="J16" i="28"/>
  <c r="D16" i="27"/>
  <c r="J16" i="26"/>
  <c r="D16"/>
  <c r="F16" i="11"/>
  <c r="G16" i="10"/>
  <c r="G16" i="26"/>
  <c r="D16" i="86"/>
  <c r="I16" i="11"/>
  <c r="J16" i="10"/>
  <c r="D16"/>
  <c r="J16" i="20"/>
  <c r="G16"/>
  <c r="D16"/>
  <c r="I16" i="19"/>
  <c r="F16"/>
  <c r="G16" i="18"/>
  <c r="E16" i="16"/>
  <c r="G14" i="90"/>
  <c r="J14" i="54"/>
  <c r="D14"/>
  <c r="G14"/>
  <c r="E14" i="41"/>
  <c r="C14"/>
  <c r="G14" i="29"/>
  <c r="G14" i="28"/>
  <c r="D14" i="29"/>
  <c r="J14" i="28"/>
  <c r="D14" i="27"/>
  <c r="J14" i="26"/>
  <c r="D14"/>
  <c r="F14" i="11"/>
  <c r="G14" i="10"/>
  <c r="G14" i="26"/>
  <c r="D14" i="86"/>
  <c r="I14" i="11"/>
  <c r="J14" i="10"/>
  <c r="D14"/>
  <c r="J14" i="20"/>
  <c r="G14"/>
  <c r="D14"/>
  <c r="G14" i="18"/>
  <c r="F14" i="19"/>
  <c r="I14"/>
  <c r="E14" i="16"/>
  <c r="G12" i="90"/>
  <c r="J12" i="54"/>
  <c r="G12"/>
  <c r="E12" i="41"/>
  <c r="C12"/>
  <c r="D12" i="54"/>
  <c r="G12" i="29"/>
  <c r="G12" i="28"/>
  <c r="D12" i="27"/>
  <c r="D12" i="76" s="1"/>
  <c r="G12"/>
  <c r="D12" i="29"/>
  <c r="J12" i="28"/>
  <c r="J12" i="26"/>
  <c r="D12"/>
  <c r="F12" i="11"/>
  <c r="G12" i="10"/>
  <c r="G12" i="26"/>
  <c r="D12" i="86"/>
  <c r="I12" i="11"/>
  <c r="J12" i="10"/>
  <c r="D12"/>
  <c r="J12" i="20"/>
  <c r="G12"/>
  <c r="D12"/>
  <c r="F12" i="19"/>
  <c r="I12"/>
  <c r="G12" i="18"/>
  <c r="E12" i="16"/>
  <c r="J14" i="85"/>
  <c r="G14"/>
  <c r="J15"/>
  <c r="G15"/>
  <c r="G26"/>
  <c r="J26"/>
  <c r="G28"/>
  <c r="J28"/>
  <c r="G31"/>
  <c r="J31"/>
  <c r="G32"/>
  <c r="J32"/>
  <c r="G33"/>
  <c r="J33"/>
  <c r="G34"/>
  <c r="J34"/>
  <c r="G35"/>
  <c r="J35"/>
  <c r="G36"/>
  <c r="J36"/>
  <c r="G37"/>
  <c r="J37"/>
  <c r="G38"/>
  <c r="J38"/>
  <c r="G39"/>
  <c r="J39"/>
  <c r="G40"/>
  <c r="J40"/>
  <c r="G41"/>
  <c r="J41"/>
  <c r="G42"/>
  <c r="J42"/>
  <c r="G43"/>
  <c r="J43"/>
  <c r="G44"/>
  <c r="J44"/>
  <c r="J46"/>
  <c r="G46"/>
  <c r="J47"/>
  <c r="G47"/>
  <c r="J48"/>
  <c r="G48"/>
  <c r="G17"/>
  <c r="J17"/>
  <c r="G18"/>
  <c r="J18"/>
  <c r="G19"/>
  <c r="J19"/>
  <c r="J21"/>
  <c r="G21"/>
  <c r="J22"/>
  <c r="G22"/>
  <c r="J23"/>
  <c r="G23"/>
  <c r="J24"/>
  <c r="G24"/>
  <c r="F51" i="15" l="1"/>
  <c r="J51" i="54" l="1"/>
  <c r="D51"/>
  <c r="G51"/>
  <c r="C51" i="41"/>
  <c r="G51" i="29"/>
  <c r="G51" i="28"/>
  <c r="D51" i="27"/>
  <c r="D51" i="29"/>
  <c r="J51" i="28"/>
  <c r="J51" i="26"/>
  <c r="D51"/>
  <c r="G51"/>
  <c r="I51" i="11"/>
  <c r="G51" i="10"/>
  <c r="D51" i="86"/>
  <c r="F51" i="11"/>
  <c r="J51" i="10"/>
  <c r="D51"/>
  <c r="J51" i="20"/>
  <c r="I51" i="19"/>
  <c r="F51"/>
  <c r="G51" i="18"/>
  <c r="G51" i="20"/>
  <c r="D51"/>
  <c r="E51" i="16"/>
  <c r="A62" i="43" l="1"/>
  <c r="A54" i="42"/>
  <c r="C20" i="5"/>
  <c r="D20" s="1"/>
  <c r="F20" i="18" s="1"/>
  <c r="C21" i="5"/>
  <c r="D21" s="1"/>
  <c r="C19"/>
  <c r="D19" s="1"/>
  <c r="C19" i="36" s="1"/>
  <c r="C16" i="5"/>
  <c r="D16" s="1"/>
  <c r="C18"/>
  <c r="D18" s="1"/>
  <c r="C23"/>
  <c r="D23" s="1"/>
  <c r="C50"/>
  <c r="D50" s="1"/>
  <c r="C50" i="18" s="1"/>
  <c r="C22" i="5"/>
  <c r="D22" s="1"/>
  <c r="C17"/>
  <c r="D17" s="1"/>
  <c r="C15"/>
  <c r="D15" s="1"/>
  <c r="C51"/>
  <c r="D51" s="1"/>
  <c r="F51" s="1"/>
  <c r="D51" i="6" s="1"/>
  <c r="C13" i="5"/>
  <c r="D13" s="1"/>
  <c r="C14"/>
  <c r="D14" s="1"/>
  <c r="C24"/>
  <c r="D24" s="1"/>
  <c r="C26"/>
  <c r="D26" s="1"/>
  <c r="E26" i="11" s="1"/>
  <c r="C27" i="5"/>
  <c r="D27" s="1"/>
  <c r="C28"/>
  <c r="D28" s="1"/>
  <c r="F28" i="10" s="1"/>
  <c r="C29" i="5"/>
  <c r="D29" s="1"/>
  <c r="C30"/>
  <c r="D30" s="1"/>
  <c r="F30" i="8" s="1"/>
  <c r="C31" i="5"/>
  <c r="D31" s="1"/>
  <c r="C32"/>
  <c r="D32" s="1"/>
  <c r="F32" i="10" s="1"/>
  <c r="C33" i="5"/>
  <c r="D33" s="1"/>
  <c r="C34"/>
  <c r="D34" s="1"/>
  <c r="C34" i="7" s="1"/>
  <c r="C35" i="5"/>
  <c r="D35" s="1"/>
  <c r="C36"/>
  <c r="D36" s="1"/>
  <c r="H36" i="11" s="1"/>
  <c r="C37" i="5"/>
  <c r="D37" s="1"/>
  <c r="C38"/>
  <c r="D38" s="1"/>
  <c r="F38" i="9" s="1"/>
  <c r="C39" i="5"/>
  <c r="D39" s="1"/>
  <c r="F39" s="1"/>
  <c r="D39" i="6" s="1"/>
  <c r="C40" i="5"/>
  <c r="D40" s="1"/>
  <c r="C40" i="19" s="1"/>
  <c r="C41" i="5"/>
  <c r="D41" s="1"/>
  <c r="C41" i="86" s="1"/>
  <c r="C42" i="5"/>
  <c r="D42" s="1"/>
  <c r="F42" i="9" s="1"/>
  <c r="C43" i="5"/>
  <c r="D43" s="1"/>
  <c r="F43" s="1"/>
  <c r="D43" i="6" s="1"/>
  <c r="C44" i="5"/>
  <c r="D44" s="1"/>
  <c r="I44" i="10" s="1"/>
  <c r="C45" i="5"/>
  <c r="D45" s="1"/>
  <c r="F45" s="1"/>
  <c r="D45" i="6" s="1"/>
  <c r="C46" i="5"/>
  <c r="D46" s="1"/>
  <c r="F46" i="10" s="1"/>
  <c r="C12" i="5"/>
  <c r="D12" s="1"/>
  <c r="F12" i="46"/>
  <c r="F12" i="52" s="1"/>
  <c r="B12" i="43" s="1"/>
  <c r="F12" s="1"/>
  <c r="F14" i="46"/>
  <c r="F14" i="52" s="1"/>
  <c r="B14" i="43" s="1"/>
  <c r="F16" i="46"/>
  <c r="F16" i="52" s="1"/>
  <c r="B16" i="43" s="1"/>
  <c r="F16" s="1"/>
  <c r="H16" s="1"/>
  <c r="F17" i="46"/>
  <c r="F17" i="52" s="1"/>
  <c r="B17" i="43" s="1"/>
  <c r="F17" s="1"/>
  <c r="H17" s="1"/>
  <c r="F18" i="46"/>
  <c r="F18" i="52" s="1"/>
  <c r="B18" i="43" s="1"/>
  <c r="F18" s="1"/>
  <c r="H18" s="1"/>
  <c r="F19"/>
  <c r="F20" i="46"/>
  <c r="F20" i="52" s="1"/>
  <c r="F22" i="46"/>
  <c r="F22" i="52" s="1"/>
  <c r="B22" i="43" s="1"/>
  <c r="F22" s="1"/>
  <c r="H22" s="1"/>
  <c r="F24" i="46"/>
  <c r="F24" i="52" s="1"/>
  <c r="B24" i="43" s="1"/>
  <c r="F24" s="1"/>
  <c r="H24" s="1"/>
  <c r="F26" i="46"/>
  <c r="F26" i="52" s="1"/>
  <c r="B26" i="43" s="1"/>
  <c r="F26" s="1"/>
  <c r="H26" s="1"/>
  <c r="F28" i="46"/>
  <c r="F28" i="52" s="1"/>
  <c r="B28" i="43" s="1"/>
  <c r="F28" s="1"/>
  <c r="H28" s="1"/>
  <c r="F30" i="46"/>
  <c r="F30" i="52" s="1"/>
  <c r="B30" i="43" s="1"/>
  <c r="F30" s="1"/>
  <c r="H30" s="1"/>
  <c r="F32" i="46"/>
  <c r="F32" i="52" s="1"/>
  <c r="B32" i="43" s="1"/>
  <c r="F32" s="1"/>
  <c r="H32" s="1"/>
  <c r="F34" i="46"/>
  <c r="F34" i="52" s="1"/>
  <c r="B34" i="43" s="1"/>
  <c r="F34" s="1"/>
  <c r="H34" s="1"/>
  <c r="F35"/>
  <c r="H35" s="1"/>
  <c r="F36" i="46"/>
  <c r="F36" i="52" s="1"/>
  <c r="B36" i="43" s="1"/>
  <c r="F36" s="1"/>
  <c r="H36" s="1"/>
  <c r="F37"/>
  <c r="H37" s="1"/>
  <c r="I37" i="45" s="1"/>
  <c r="F38" i="46"/>
  <c r="F38" i="52" s="1"/>
  <c r="B38" i="43" s="1"/>
  <c r="F38" s="1"/>
  <c r="H38" s="1"/>
  <c r="F39"/>
  <c r="H39" s="1"/>
  <c r="F40" i="46"/>
  <c r="F40" i="52" s="1"/>
  <c r="B40" i="43" s="1"/>
  <c r="F40" s="1"/>
  <c r="H40" s="1"/>
  <c r="F41"/>
  <c r="H41" s="1"/>
  <c r="I41" i="45" s="1"/>
  <c r="F42" i="46"/>
  <c r="F42" i="52" s="1"/>
  <c r="B42" i="43" s="1"/>
  <c r="F42" s="1"/>
  <c r="H42" s="1"/>
  <c r="F44" i="46"/>
  <c r="F44" i="52" s="1"/>
  <c r="B44" i="43" s="1"/>
  <c r="F44" s="1"/>
  <c r="H44" s="1"/>
  <c r="F46" i="46"/>
  <c r="F46" i="52" s="1"/>
  <c r="B46" i="43" s="1"/>
  <c r="F46" s="1"/>
  <c r="H46" s="1"/>
  <c r="E26" i="76"/>
  <c r="G26" s="1"/>
  <c r="D26"/>
  <c r="H15" i="43"/>
  <c r="I15" i="45" s="1"/>
  <c r="H19" i="43"/>
  <c r="H21"/>
  <c r="I21" i="45" s="1"/>
  <c r="H23" i="43"/>
  <c r="I23" i="45" s="1"/>
  <c r="H29" i="43"/>
  <c r="I29" i="45" s="1"/>
  <c r="H31" i="43"/>
  <c r="I31" i="45" s="1"/>
  <c r="H33" i="43"/>
  <c r="I33" i="45" s="1"/>
  <c r="H43" i="43"/>
  <c r="I43" i="45" s="1"/>
  <c r="H45" i="43"/>
  <c r="I45" i="45" s="1"/>
  <c r="I19"/>
  <c r="C19" i="44" s="1"/>
  <c r="C19" i="42" s="1"/>
  <c r="F19" i="29"/>
  <c r="E19" i="37"/>
  <c r="H20" i="19"/>
  <c r="I20" i="9"/>
  <c r="C20" i="25"/>
  <c r="F20" i="29"/>
  <c r="G20" i="36"/>
  <c r="I20" i="54"/>
  <c r="C21" i="86"/>
  <c r="C21" i="7"/>
  <c r="I21" i="9"/>
  <c r="H21" i="19"/>
  <c r="E21"/>
  <c r="F21" i="10"/>
  <c r="C21" i="26"/>
  <c r="G21" i="25"/>
  <c r="F21" i="29"/>
  <c r="C21" i="27"/>
  <c r="C21" i="76" s="1"/>
  <c r="C21" i="36"/>
  <c r="E21" i="38"/>
  <c r="C21" i="37"/>
  <c r="F22" i="10"/>
  <c r="C22" i="18"/>
  <c r="H22" i="19"/>
  <c r="C22"/>
  <c r="I22" i="9"/>
  <c r="H22" i="11"/>
  <c r="C22" i="86"/>
  <c r="I22" i="25"/>
  <c r="C22" i="28"/>
  <c r="E22" i="34"/>
  <c r="C22" i="36"/>
  <c r="E22" i="38"/>
  <c r="C22" i="37"/>
  <c r="C23" i="86"/>
  <c r="C23" i="18"/>
  <c r="C23" i="11"/>
  <c r="C23" i="19"/>
  <c r="H23"/>
  <c r="F23" i="10"/>
  <c r="C23" i="26"/>
  <c r="G23" i="25"/>
  <c r="F23" i="29"/>
  <c r="C23" i="28"/>
  <c r="E23" i="36"/>
  <c r="F23" i="54"/>
  <c r="E23" i="37"/>
  <c r="E24" i="11"/>
  <c r="F24" i="9"/>
  <c r="I24" i="18"/>
  <c r="I24" i="20"/>
  <c r="C24" i="9"/>
  <c r="H24" i="11"/>
  <c r="C24" i="86"/>
  <c r="I24" i="25"/>
  <c r="C24" i="28"/>
  <c r="E24" i="34"/>
  <c r="C24" i="36"/>
  <c r="E24" i="38"/>
  <c r="C24" i="37"/>
  <c r="F26" i="18"/>
  <c r="E26" i="19"/>
  <c r="E26" i="82"/>
  <c r="I26" i="26"/>
  <c r="C26" i="29"/>
  <c r="E26" i="35"/>
  <c r="C27" i="7"/>
  <c r="C27" i="10"/>
  <c r="I27" i="18"/>
  <c r="C27" i="19"/>
  <c r="F27" i="9"/>
  <c r="E27" i="82"/>
  <c r="E27" i="25"/>
  <c r="F27" i="28"/>
  <c r="G27" i="34"/>
  <c r="C27" i="36"/>
  <c r="E27" i="38"/>
  <c r="E27" i="37"/>
  <c r="I27" i="54"/>
  <c r="F28" i="9"/>
  <c r="F28" i="20"/>
  <c r="F28" i="26"/>
  <c r="C28" i="27"/>
  <c r="C28" i="76" s="1"/>
  <c r="C28" i="29"/>
  <c r="E28" i="35"/>
  <c r="C29" i="86"/>
  <c r="C29" i="18"/>
  <c r="I29" i="10"/>
  <c r="H29" i="19"/>
  <c r="C29"/>
  <c r="F29" i="10"/>
  <c r="C29" i="26"/>
  <c r="G29" i="25"/>
  <c r="F29" i="29"/>
  <c r="C29" i="27"/>
  <c r="C29" i="36"/>
  <c r="E29" i="38"/>
  <c r="C29" i="37"/>
  <c r="C30" i="7"/>
  <c r="I30" i="20"/>
  <c r="F30" i="26"/>
  <c r="C30" i="27"/>
  <c r="C30" i="76" s="1"/>
  <c r="C30" i="29"/>
  <c r="C30" i="37"/>
  <c r="C31" i="7"/>
  <c r="C31" i="9"/>
  <c r="F31" i="18"/>
  <c r="C31" i="20"/>
  <c r="F31" i="9"/>
  <c r="E31" i="82"/>
  <c r="E31" i="25"/>
  <c r="F31" i="28"/>
  <c r="G31" i="34"/>
  <c r="C31" i="29"/>
  <c r="C31" i="38"/>
  <c r="E31" i="35"/>
  <c r="F31" i="54"/>
  <c r="F32" i="18"/>
  <c r="C32" i="20"/>
  <c r="F32" i="26"/>
  <c r="C32" i="28"/>
  <c r="C32" i="36"/>
  <c r="E32" i="37"/>
  <c r="C33" i="86"/>
  <c r="C33" i="7"/>
  <c r="F33" i="8"/>
  <c r="C33" i="20"/>
  <c r="E33" i="11"/>
  <c r="F33" i="9"/>
  <c r="C33" i="26"/>
  <c r="G33" i="25"/>
  <c r="F33" i="29"/>
  <c r="C33" i="27"/>
  <c r="C33" i="36"/>
  <c r="E33" i="38"/>
  <c r="C33" i="37"/>
  <c r="I34" i="18"/>
  <c r="C34" i="20"/>
  <c r="F34" i="26"/>
  <c r="C34" i="28"/>
  <c r="C34" i="36"/>
  <c r="E34" i="37"/>
  <c r="C35" i="18"/>
  <c r="F35" i="8"/>
  <c r="C35" i="20"/>
  <c r="E35" i="11"/>
  <c r="F35" i="9"/>
  <c r="E35" i="82"/>
  <c r="E35" i="25"/>
  <c r="F35" i="28"/>
  <c r="G35" i="34"/>
  <c r="C35" i="29"/>
  <c r="C35" i="38"/>
  <c r="E35" i="35"/>
  <c r="F35" i="54"/>
  <c r="I36" i="18"/>
  <c r="I36" i="20"/>
  <c r="F36" i="26"/>
  <c r="C36" i="28"/>
  <c r="C36" i="36"/>
  <c r="E36" i="37"/>
  <c r="C37" i="86"/>
  <c r="I37" i="9"/>
  <c r="F37" i="8"/>
  <c r="C37" i="20"/>
  <c r="C37" i="19"/>
  <c r="C37" i="7"/>
  <c r="C37" i="25"/>
  <c r="I37" i="26"/>
  <c r="C37" i="34"/>
  <c r="F37" i="26"/>
  <c r="C37" i="36"/>
  <c r="E37" i="38"/>
  <c r="C37" i="35"/>
  <c r="C37" i="37"/>
  <c r="I37" i="54"/>
  <c r="I38" i="18"/>
  <c r="I38" i="20"/>
  <c r="C38" i="86"/>
  <c r="E38" i="34"/>
  <c r="C38" i="36"/>
  <c r="E38" i="37"/>
  <c r="H39" i="11"/>
  <c r="I39" i="9"/>
  <c r="F39" i="8"/>
  <c r="C39" i="9"/>
  <c r="I39" i="18"/>
  <c r="E39" i="19"/>
  <c r="I39" i="20"/>
  <c r="C39" i="11"/>
  <c r="H39" i="19"/>
  <c r="F39" i="9"/>
  <c r="F39" i="10"/>
  <c r="E39" i="82"/>
  <c r="E39" i="25"/>
  <c r="I39"/>
  <c r="C39" i="28"/>
  <c r="F39" i="29"/>
  <c r="E39" i="34"/>
  <c r="C39" i="26"/>
  <c r="C39" i="27"/>
  <c r="C39" i="29"/>
  <c r="E39" i="36"/>
  <c r="C39" i="38"/>
  <c r="C39" i="54"/>
  <c r="E39" i="35"/>
  <c r="E39" i="37"/>
  <c r="F39" i="54"/>
  <c r="F40" i="9"/>
  <c r="C40" i="11"/>
  <c r="C40" i="10"/>
  <c r="I40" i="25"/>
  <c r="C40" i="26"/>
  <c r="C40" i="38"/>
  <c r="I40" i="54"/>
  <c r="F41" i="20"/>
  <c r="H41" i="11"/>
  <c r="C41" i="9"/>
  <c r="I41"/>
  <c r="I41" i="10"/>
  <c r="I41" i="18"/>
  <c r="E41" i="19"/>
  <c r="C41" i="8"/>
  <c r="E41" i="11"/>
  <c r="I41" i="20"/>
  <c r="C41" i="7"/>
  <c r="C41" i="82"/>
  <c r="C41" i="25"/>
  <c r="G41"/>
  <c r="F41" i="76"/>
  <c r="C41" i="28"/>
  <c r="F41" i="29"/>
  <c r="E41" i="34"/>
  <c r="I41" i="26"/>
  <c r="F41" i="28"/>
  <c r="C41" i="36"/>
  <c r="G41"/>
  <c r="E41" i="38"/>
  <c r="C41" i="35"/>
  <c r="C41" i="37"/>
  <c r="C41" i="54"/>
  <c r="C42" i="19"/>
  <c r="F42" i="20"/>
  <c r="C42" i="86"/>
  <c r="C42" i="34"/>
  <c r="C42" i="28"/>
  <c r="E42" i="36"/>
  <c r="C42" i="35"/>
  <c r="F42" i="54"/>
  <c r="C43" i="10"/>
  <c r="F43"/>
  <c r="C43" i="9"/>
  <c r="I43"/>
  <c r="I43" i="18"/>
  <c r="E43" i="19"/>
  <c r="C43" i="8"/>
  <c r="E43" i="11"/>
  <c r="C43" i="20"/>
  <c r="F43" i="9"/>
  <c r="I43" i="10"/>
  <c r="E43" i="82"/>
  <c r="E43" i="25"/>
  <c r="I43"/>
  <c r="C43" i="28"/>
  <c r="F43" i="29"/>
  <c r="F43" i="26"/>
  <c r="F43" i="28"/>
  <c r="C43" i="34"/>
  <c r="G43"/>
  <c r="E43" i="36"/>
  <c r="C43" i="38"/>
  <c r="C43" i="54"/>
  <c r="E43" i="35"/>
  <c r="E43" i="37"/>
  <c r="F43" i="54"/>
  <c r="F44" i="9"/>
  <c r="C44" i="18"/>
  <c r="E44" i="19"/>
  <c r="C44" i="11"/>
  <c r="C44" i="9"/>
  <c r="C44" i="82"/>
  <c r="E44" i="25"/>
  <c r="F44" i="26"/>
  <c r="I44" i="28"/>
  <c r="G44" i="34"/>
  <c r="C44" i="38"/>
  <c r="C44" i="35"/>
  <c r="F44" i="54"/>
  <c r="H45" i="11"/>
  <c r="C45" i="18"/>
  <c r="I45" i="10"/>
  <c r="F45" i="8"/>
  <c r="I45" i="18"/>
  <c r="E45" i="19"/>
  <c r="I45" i="20"/>
  <c r="C45" i="11"/>
  <c r="H45" i="19"/>
  <c r="F45" i="9"/>
  <c r="C45" i="10"/>
  <c r="E45" i="82"/>
  <c r="C45" i="25"/>
  <c r="G45"/>
  <c r="C45" i="26"/>
  <c r="F45" i="29"/>
  <c r="F45" i="26"/>
  <c r="I45" i="28"/>
  <c r="E45" i="34"/>
  <c r="C45" i="36"/>
  <c r="G45"/>
  <c r="E45" i="38"/>
  <c r="C45" i="29"/>
  <c r="E45" i="35"/>
  <c r="E45" i="37"/>
  <c r="F45" i="54"/>
  <c r="H46" i="11"/>
  <c r="C46" i="18"/>
  <c r="E46" i="19"/>
  <c r="C46" i="20"/>
  <c r="C46" i="10"/>
  <c r="C46" i="11"/>
  <c r="E46" i="25"/>
  <c r="I46" i="28"/>
  <c r="F46"/>
  <c r="G46" i="34"/>
  <c r="C46" i="38"/>
  <c r="C46" i="35"/>
  <c r="F46" i="54"/>
  <c r="C50" i="8"/>
  <c r="H50" i="19"/>
  <c r="C50"/>
  <c r="C50" i="9"/>
  <c r="I50" i="10"/>
  <c r="C50" i="11"/>
  <c r="E50" i="25"/>
  <c r="I50" i="26"/>
  <c r="F50" i="28"/>
  <c r="G50" i="34"/>
  <c r="C50" i="38"/>
  <c r="C50" i="29"/>
  <c r="E50" i="37"/>
  <c r="C51" i="8"/>
  <c r="I51" i="18"/>
  <c r="I51" i="10"/>
  <c r="I51" i="20"/>
  <c r="F51" i="10"/>
  <c r="E51" i="82"/>
  <c r="E51" i="25"/>
  <c r="F51" i="28"/>
  <c r="C51" i="27"/>
  <c r="C51" i="76" s="1"/>
  <c r="E51" i="34"/>
  <c r="G51" i="36"/>
  <c r="C51" i="29"/>
  <c r="E51" i="37"/>
  <c r="E14" i="76"/>
  <c r="G14" s="1"/>
  <c r="D14"/>
  <c r="E15"/>
  <c r="D15"/>
  <c r="E16"/>
  <c r="G16" s="1"/>
  <c r="D16"/>
  <c r="E17"/>
  <c r="D17"/>
  <c r="E19"/>
  <c r="G19" s="1"/>
  <c r="D19"/>
  <c r="E21"/>
  <c r="G21" s="1"/>
  <c r="D21"/>
  <c r="E22"/>
  <c r="F22" s="1"/>
  <c r="D22"/>
  <c r="E24"/>
  <c r="D24"/>
  <c r="E28"/>
  <c r="D28"/>
  <c r="E29"/>
  <c r="G29" s="1"/>
  <c r="D29"/>
  <c r="C29"/>
  <c r="E30"/>
  <c r="D30"/>
  <c r="E31"/>
  <c r="G31" s="1"/>
  <c r="D31"/>
  <c r="E33"/>
  <c r="G33" s="1"/>
  <c r="D33"/>
  <c r="C33"/>
  <c r="E35"/>
  <c r="D35"/>
  <c r="E37"/>
  <c r="G37" s="1"/>
  <c r="D37"/>
  <c r="E39"/>
  <c r="F39" s="1"/>
  <c r="D39"/>
  <c r="C39"/>
  <c r="E40"/>
  <c r="G40" s="1"/>
  <c r="D40"/>
  <c r="E42"/>
  <c r="D42"/>
  <c r="E43"/>
  <c r="G43" s="1"/>
  <c r="D43"/>
  <c r="E45"/>
  <c r="F45" s="1"/>
  <c r="D45"/>
  <c r="E51"/>
  <c r="D51"/>
  <c r="B13" i="42"/>
  <c r="C13"/>
  <c r="D13"/>
  <c r="E13"/>
  <c r="F13"/>
  <c r="G13"/>
  <c r="H13"/>
  <c r="I19" i="43"/>
  <c r="B19" i="42" s="1"/>
  <c r="E19" i="44"/>
  <c r="D19" i="42" s="1"/>
  <c r="I19" i="44"/>
  <c r="F19" i="42" s="1"/>
  <c r="E19" i="45"/>
  <c r="H19" i="42" s="1"/>
  <c r="B27"/>
  <c r="C27"/>
  <c r="D27"/>
  <c r="E27"/>
  <c r="F27"/>
  <c r="G27"/>
  <c r="H27"/>
  <c r="F51" i="46"/>
  <c r="F51" i="52" s="1"/>
  <c r="B51" i="43" s="1"/>
  <c r="F51" s="1"/>
  <c r="H51" s="1"/>
  <c r="H50"/>
  <c r="I50" i="45" s="1"/>
  <c r="G19"/>
  <c r="E22" i="5"/>
  <c r="E43" i="90"/>
  <c r="G24" i="78"/>
  <c r="E25" i="85"/>
  <c r="J25" s="1"/>
  <c r="E29"/>
  <c r="E30"/>
  <c r="E45"/>
  <c r="J45" s="1"/>
  <c r="F25"/>
  <c r="F29"/>
  <c r="J30"/>
  <c r="F30"/>
  <c r="F45"/>
  <c r="E52"/>
  <c r="J52" s="1"/>
  <c r="F52"/>
  <c r="E14" i="5"/>
  <c r="G48" i="78"/>
  <c r="F42" i="76" l="1"/>
  <c r="F51" i="54"/>
  <c r="E51" i="35"/>
  <c r="E51" i="38"/>
  <c r="C51" i="36"/>
  <c r="I51" i="28"/>
  <c r="C51" i="26"/>
  <c r="I51" i="25"/>
  <c r="E51" i="11"/>
  <c r="C51" i="86"/>
  <c r="F51" i="9"/>
  <c r="E51" i="19"/>
  <c r="F51" i="20"/>
  <c r="C51" i="18"/>
  <c r="I50" i="54"/>
  <c r="E50" i="35"/>
  <c r="F50" i="54"/>
  <c r="E50" i="36"/>
  <c r="C50" i="34"/>
  <c r="I50" i="28"/>
  <c r="I50" i="25"/>
  <c r="C50" i="86"/>
  <c r="C50" i="82"/>
  <c r="C50" i="7"/>
  <c r="F50" i="20"/>
  <c r="I50"/>
  <c r="F50" i="18"/>
  <c r="I46" i="54"/>
  <c r="C46" i="37"/>
  <c r="F46" i="76"/>
  <c r="E46" i="36"/>
  <c r="C46" i="34"/>
  <c r="C46" i="26"/>
  <c r="I46" i="25"/>
  <c r="C46" i="86"/>
  <c r="C46" i="82"/>
  <c r="I46" i="9"/>
  <c r="I46" i="20"/>
  <c r="I46" i="18"/>
  <c r="F46" i="8"/>
  <c r="I44" i="54"/>
  <c r="C44" i="37"/>
  <c r="F44" i="76"/>
  <c r="E44" i="36"/>
  <c r="C44" i="34"/>
  <c r="I44" i="26"/>
  <c r="I44" i="25"/>
  <c r="C44" i="86"/>
  <c r="C44" i="7"/>
  <c r="H44" i="19"/>
  <c r="I44" i="20"/>
  <c r="I44" i="18"/>
  <c r="H44" i="11"/>
  <c r="I42" i="54"/>
  <c r="C42" i="37"/>
  <c r="C42" i="38"/>
  <c r="C42" i="29"/>
  <c r="C42" i="26"/>
  <c r="I42" i="25"/>
  <c r="C42" i="10"/>
  <c r="C42" i="8"/>
  <c r="E40" i="35"/>
  <c r="C40" i="29"/>
  <c r="C40" i="34"/>
  <c r="C40" i="86"/>
  <c r="I40" i="20"/>
  <c r="I38" i="54"/>
  <c r="E38" i="38"/>
  <c r="I38" i="26"/>
  <c r="I38" i="25"/>
  <c r="C38" i="10"/>
  <c r="E38" i="11"/>
  <c r="I36" i="54"/>
  <c r="E36" i="38"/>
  <c r="E36" i="34"/>
  <c r="G36" i="25"/>
  <c r="C36" i="10"/>
  <c r="C36" i="8"/>
  <c r="I34" i="54"/>
  <c r="E34" i="38"/>
  <c r="E34" i="34"/>
  <c r="G34" i="25"/>
  <c r="C34" i="10"/>
  <c r="C34" i="11"/>
  <c r="I32" i="54"/>
  <c r="E32" i="38"/>
  <c r="E32" i="34"/>
  <c r="G32" i="25"/>
  <c r="C32" i="10"/>
  <c r="C32" i="8"/>
  <c r="I30" i="54"/>
  <c r="C30" i="38"/>
  <c r="C30" i="34"/>
  <c r="G30" i="25"/>
  <c r="I30" i="10"/>
  <c r="C30" i="8"/>
  <c r="F28" i="54"/>
  <c r="C28" i="38"/>
  <c r="C28" i="34"/>
  <c r="G28" i="25"/>
  <c r="I28" i="10"/>
  <c r="H28" i="19"/>
  <c r="F26" i="54"/>
  <c r="C26" i="38"/>
  <c r="C26" i="34"/>
  <c r="E26" i="25"/>
  <c r="C26" i="10"/>
  <c r="I26" i="20"/>
  <c r="C20" i="35"/>
  <c r="F20" i="28"/>
  <c r="C20" i="26"/>
  <c r="C20" i="82"/>
  <c r="C20" i="19"/>
  <c r="F37" i="5"/>
  <c r="H37" i="11"/>
  <c r="C37" i="10"/>
  <c r="C37" i="18"/>
  <c r="C37" i="9"/>
  <c r="F37" i="18"/>
  <c r="H37" i="19"/>
  <c r="C37" i="8"/>
  <c r="E37" i="11"/>
  <c r="E37" i="19"/>
  <c r="F37" i="9"/>
  <c r="F37" i="10"/>
  <c r="E37" i="82"/>
  <c r="E37" i="25"/>
  <c r="I37"/>
  <c r="C37" i="28"/>
  <c r="F37" i="29"/>
  <c r="E37" i="34"/>
  <c r="C37" i="26"/>
  <c r="C37" i="27"/>
  <c r="C37" i="76" s="1"/>
  <c r="C37" i="29"/>
  <c r="E37" i="36"/>
  <c r="C37" i="38"/>
  <c r="F35" i="5"/>
  <c r="H35" i="11"/>
  <c r="I35" i="9"/>
  <c r="C35" i="86"/>
  <c r="C35" i="9"/>
  <c r="F35" i="18"/>
  <c r="H35" i="19"/>
  <c r="I35" i="20"/>
  <c r="C35" i="11"/>
  <c r="C35" i="19"/>
  <c r="F35" i="20"/>
  <c r="C35" i="7"/>
  <c r="C35" i="82"/>
  <c r="C35" i="26"/>
  <c r="C35" i="25"/>
  <c r="G35"/>
  <c r="F35" i="26"/>
  <c r="F35" i="29"/>
  <c r="E35" i="34"/>
  <c r="C35" i="27"/>
  <c r="C35" i="76" s="1"/>
  <c r="I35" i="28"/>
  <c r="C35" i="36"/>
  <c r="G35"/>
  <c r="E35" i="38"/>
  <c r="C35" i="35"/>
  <c r="C35" i="37"/>
  <c r="I35" i="54"/>
  <c r="F33" i="5"/>
  <c r="H33" i="11"/>
  <c r="C33" i="9"/>
  <c r="I33"/>
  <c r="I33" i="10"/>
  <c r="F33" i="18"/>
  <c r="H33" i="19"/>
  <c r="I33" i="20"/>
  <c r="C33" i="11"/>
  <c r="C33" i="19"/>
  <c r="F33" i="20"/>
  <c r="F33" i="10"/>
  <c r="E33" i="82"/>
  <c r="I33" i="26"/>
  <c r="E33" i="25"/>
  <c r="I33"/>
  <c r="F33" i="28"/>
  <c r="C33" i="34"/>
  <c r="G33"/>
  <c r="C33" i="28"/>
  <c r="C33" i="29"/>
  <c r="E33" i="36"/>
  <c r="C33" i="38"/>
  <c r="C33" i="54"/>
  <c r="E33" i="35"/>
  <c r="E33" i="37"/>
  <c r="F33" i="54"/>
  <c r="F31" i="5"/>
  <c r="C31" i="86"/>
  <c r="I31" i="10"/>
  <c r="C31" i="18"/>
  <c r="C31" i="10"/>
  <c r="E31" i="19"/>
  <c r="C31" i="11"/>
  <c r="I31" i="18"/>
  <c r="H31" i="19"/>
  <c r="I31" i="20"/>
  <c r="F31"/>
  <c r="F31" i="10"/>
  <c r="C31" i="82"/>
  <c r="C31" i="26"/>
  <c r="C31" i="25"/>
  <c r="G31"/>
  <c r="F31" i="26"/>
  <c r="F31" i="29"/>
  <c r="E31" i="34"/>
  <c r="C31" i="27"/>
  <c r="C31" i="76" s="1"/>
  <c r="I31" i="28"/>
  <c r="C31" i="36"/>
  <c r="G31"/>
  <c r="E31" i="38"/>
  <c r="C31" i="35"/>
  <c r="C31" i="37"/>
  <c r="I31" i="54"/>
  <c r="F29" i="5"/>
  <c r="E29" i="11"/>
  <c r="I29" i="9"/>
  <c r="C29" i="11"/>
  <c r="F29" i="8"/>
  <c r="C29" i="9"/>
  <c r="I29" i="18"/>
  <c r="F29" i="20"/>
  <c r="C29" i="8"/>
  <c r="E29" i="19"/>
  <c r="F29" i="9"/>
  <c r="H29" i="11"/>
  <c r="E29" i="82"/>
  <c r="I29" i="26"/>
  <c r="E29" i="25"/>
  <c r="I29"/>
  <c r="F29" i="28"/>
  <c r="C29" i="34"/>
  <c r="G29"/>
  <c r="C29" i="28"/>
  <c r="C29" i="29"/>
  <c r="E29" i="36"/>
  <c r="C29" i="38"/>
  <c r="I29" i="54"/>
  <c r="E29" i="35"/>
  <c r="E29" i="37"/>
  <c r="F29" i="54"/>
  <c r="E27" i="11"/>
  <c r="C27" i="9"/>
  <c r="F27" i="8"/>
  <c r="C27" i="86"/>
  <c r="I27" i="9"/>
  <c r="F27" i="18"/>
  <c r="H27" i="19"/>
  <c r="C27" i="8"/>
  <c r="E27" i="19"/>
  <c r="I27" i="20"/>
  <c r="F27" i="10"/>
  <c r="C27" i="82"/>
  <c r="C27" i="26"/>
  <c r="C27" i="25"/>
  <c r="G27"/>
  <c r="F27" i="26"/>
  <c r="F27" i="29"/>
  <c r="E27" i="34"/>
  <c r="C27" i="28"/>
  <c r="C27" i="29"/>
  <c r="E27" i="36"/>
  <c r="C27" i="38"/>
  <c r="C27" i="35"/>
  <c r="C27" i="37"/>
  <c r="F27" i="54"/>
  <c r="C27"/>
  <c r="F24" i="5"/>
  <c r="C24" i="11"/>
  <c r="C24" i="7"/>
  <c r="F24" i="8"/>
  <c r="F24" i="18"/>
  <c r="C24" i="19"/>
  <c r="C24" i="20"/>
  <c r="C24" i="8"/>
  <c r="F24" i="20"/>
  <c r="I24" i="9"/>
  <c r="I24" i="10"/>
  <c r="C24" i="82"/>
  <c r="F24" i="26"/>
  <c r="C24" i="25"/>
  <c r="G24"/>
  <c r="C24" i="26"/>
  <c r="C24" i="27"/>
  <c r="C24" i="76" s="1"/>
  <c r="I24" i="28"/>
  <c r="C24" i="34"/>
  <c r="G24"/>
  <c r="C24" i="29"/>
  <c r="E24" i="36"/>
  <c r="C24" i="38"/>
  <c r="I24" i="54"/>
  <c r="E24" i="35"/>
  <c r="E24" i="37"/>
  <c r="F24" i="54"/>
  <c r="F22" i="9"/>
  <c r="C22" i="11"/>
  <c r="F22" i="8"/>
  <c r="I22" i="18"/>
  <c r="C22" i="20"/>
  <c r="C22" i="8"/>
  <c r="E22" i="19"/>
  <c r="C22" i="9"/>
  <c r="C22" i="7"/>
  <c r="I22" i="10"/>
  <c r="C22" i="82"/>
  <c r="F22" i="26"/>
  <c r="C22" i="25"/>
  <c r="G22"/>
  <c r="C22" i="26"/>
  <c r="C22" i="27"/>
  <c r="C22" i="76" s="1"/>
  <c r="I22" i="28"/>
  <c r="C22" i="34"/>
  <c r="G22"/>
  <c r="C22" i="29"/>
  <c r="E22" i="36"/>
  <c r="C22" i="38"/>
  <c r="I22" i="54"/>
  <c r="E22" i="35"/>
  <c r="E22" i="37"/>
  <c r="F22" i="54"/>
  <c r="E23" i="11"/>
  <c r="F23" i="8"/>
  <c r="I23" i="9"/>
  <c r="C23"/>
  <c r="C23" i="7"/>
  <c r="I23" i="18"/>
  <c r="E23" i="19"/>
  <c r="C23" i="8"/>
  <c r="C23" i="20"/>
  <c r="F23" i="9"/>
  <c r="H23" i="11"/>
  <c r="E23" i="82"/>
  <c r="I23" i="26"/>
  <c r="E23" i="25"/>
  <c r="I23"/>
  <c r="F23" i="28"/>
  <c r="C23" i="34"/>
  <c r="G23"/>
  <c r="I23" i="28"/>
  <c r="C23" i="36"/>
  <c r="G23"/>
  <c r="E23" i="38"/>
  <c r="C23" i="35"/>
  <c r="C23" i="37"/>
  <c r="F23" i="76"/>
  <c r="I23" i="54"/>
  <c r="F21" i="5"/>
  <c r="E21" i="11"/>
  <c r="C21" i="9"/>
  <c r="C21" i="11"/>
  <c r="F21" i="8"/>
  <c r="I21" i="18"/>
  <c r="C21"/>
  <c r="F21" i="20"/>
  <c r="C21" i="19"/>
  <c r="C21" i="20"/>
  <c r="F21" i="9"/>
  <c r="H21" i="11"/>
  <c r="E21" i="82"/>
  <c r="I21" i="26"/>
  <c r="E21" i="25"/>
  <c r="I21"/>
  <c r="F21" i="28"/>
  <c r="C21" i="34"/>
  <c r="G21"/>
  <c r="C21" i="28"/>
  <c r="C21" i="29"/>
  <c r="E21" i="36"/>
  <c r="C21" i="38"/>
  <c r="F21" i="54"/>
  <c r="E21" i="35"/>
  <c r="E21" i="37"/>
  <c r="I21" i="54"/>
  <c r="E39" i="90"/>
  <c r="E45"/>
  <c r="F22" i="5"/>
  <c r="D22" i="6" s="1"/>
  <c r="C19" i="45"/>
  <c r="G19" i="42" s="1"/>
  <c r="G19" i="44"/>
  <c r="E19" i="42" s="1"/>
  <c r="F35" i="76"/>
  <c r="F24"/>
  <c r="F15"/>
  <c r="I45" i="54"/>
  <c r="C45" i="37"/>
  <c r="C45" i="35"/>
  <c r="C45" i="54"/>
  <c r="C45" i="38"/>
  <c r="E45" i="36"/>
  <c r="G45" i="34"/>
  <c r="C45"/>
  <c r="C45" i="27"/>
  <c r="C45" i="76" s="1"/>
  <c r="I45" i="26"/>
  <c r="F45" i="28"/>
  <c r="I45" i="25"/>
  <c r="E45"/>
  <c r="C45" i="28"/>
  <c r="C45" i="82"/>
  <c r="C45" i="7"/>
  <c r="C45" i="20"/>
  <c r="E45" i="11"/>
  <c r="C45" i="8"/>
  <c r="F45" i="20"/>
  <c r="C45" i="19"/>
  <c r="F45" i="18"/>
  <c r="F45" i="10"/>
  <c r="C45" i="9"/>
  <c r="I45"/>
  <c r="C45" i="86"/>
  <c r="I43" i="54"/>
  <c r="C43" i="37"/>
  <c r="C43" i="35"/>
  <c r="E43" i="38"/>
  <c r="G43" i="36"/>
  <c r="C43"/>
  <c r="E43" i="34"/>
  <c r="C43" i="29"/>
  <c r="C43" i="27"/>
  <c r="C43" i="76" s="1"/>
  <c r="I43" i="26"/>
  <c r="I43" i="28"/>
  <c r="C43" i="26"/>
  <c r="G43" i="25"/>
  <c r="C43"/>
  <c r="C43" i="82"/>
  <c r="C43" i="7"/>
  <c r="I43" i="20"/>
  <c r="H43" i="19"/>
  <c r="C43" i="11"/>
  <c r="F43" i="20"/>
  <c r="C43" i="19"/>
  <c r="F43" i="18"/>
  <c r="F43" i="8"/>
  <c r="C43" i="86"/>
  <c r="C43" i="18"/>
  <c r="H43" i="11"/>
  <c r="F41" i="54"/>
  <c r="E41" i="37"/>
  <c r="E41" i="35"/>
  <c r="I41" i="54"/>
  <c r="C41" i="38"/>
  <c r="E41" i="36"/>
  <c r="C41" i="29"/>
  <c r="F41" i="26"/>
  <c r="G41" i="34"/>
  <c r="C41"/>
  <c r="I41" i="28"/>
  <c r="C41" i="26"/>
  <c r="I41" i="25"/>
  <c r="E41"/>
  <c r="E41" i="82"/>
  <c r="F41" i="10"/>
  <c r="F41" i="9"/>
  <c r="H41" i="19"/>
  <c r="C41" i="11"/>
  <c r="C41" i="20"/>
  <c r="C41" i="19"/>
  <c r="F41" i="18"/>
  <c r="F41" i="8"/>
  <c r="C41" i="18"/>
  <c r="C41" i="10"/>
  <c r="I39" i="54"/>
  <c r="C39" i="37"/>
  <c r="C39" i="35"/>
  <c r="E39" i="38"/>
  <c r="G39" i="36"/>
  <c r="C39"/>
  <c r="F39" i="28"/>
  <c r="F39" i="26"/>
  <c r="G39" i="34"/>
  <c r="C39"/>
  <c r="I39" i="28"/>
  <c r="I39" i="26"/>
  <c r="G39" i="25"/>
  <c r="C39"/>
  <c r="C39" i="82"/>
  <c r="C39" i="7"/>
  <c r="F39" i="20"/>
  <c r="E39" i="11"/>
  <c r="C39" i="8"/>
  <c r="C39" i="20"/>
  <c r="C39" i="19"/>
  <c r="F39" i="18"/>
  <c r="C39" i="10"/>
  <c r="C39" i="18"/>
  <c r="I39" i="10"/>
  <c r="C39" i="86"/>
  <c r="F37" i="54"/>
  <c r="E37" i="37"/>
  <c r="E37" i="35"/>
  <c r="C37" i="54"/>
  <c r="G37" i="36"/>
  <c r="F37" i="28"/>
  <c r="G37" i="34"/>
  <c r="I37" i="28"/>
  <c r="G37" i="25"/>
  <c r="C37" i="82"/>
  <c r="I37" i="20"/>
  <c r="C37" i="11"/>
  <c r="I37" i="18"/>
  <c r="I37" i="10"/>
  <c r="F37" i="20"/>
  <c r="E35" i="37"/>
  <c r="C35" i="54"/>
  <c r="E35" i="36"/>
  <c r="C35" i="28"/>
  <c r="C35" i="34"/>
  <c r="I35" i="25"/>
  <c r="I35" i="26"/>
  <c r="F35" i="10"/>
  <c r="E35" i="19"/>
  <c r="C35" i="8"/>
  <c r="I35" i="18"/>
  <c r="C35" i="10"/>
  <c r="I35"/>
  <c r="I33" i="54"/>
  <c r="C33" i="35"/>
  <c r="G33" i="36"/>
  <c r="I33" i="28"/>
  <c r="E33" i="34"/>
  <c r="F33" i="26"/>
  <c r="C33" i="25"/>
  <c r="C33" i="82"/>
  <c r="E33" i="19"/>
  <c r="C33" i="8"/>
  <c r="I33" i="18"/>
  <c r="C33"/>
  <c r="C33" i="10"/>
  <c r="E31" i="37"/>
  <c r="C31" i="54"/>
  <c r="E31" i="36"/>
  <c r="C31" i="28"/>
  <c r="C31" i="34"/>
  <c r="I31" i="25"/>
  <c r="I31" i="26"/>
  <c r="H31" i="11"/>
  <c r="C31" i="8"/>
  <c r="C31" i="19"/>
  <c r="F31" i="8"/>
  <c r="I31" i="9"/>
  <c r="E31" i="11"/>
  <c r="C29" i="54"/>
  <c r="C29" i="35"/>
  <c r="G29" i="36"/>
  <c r="I29" i="28"/>
  <c r="E29" i="34"/>
  <c r="F29" i="26"/>
  <c r="C29" i="25"/>
  <c r="C29" i="82"/>
  <c r="C29" i="20"/>
  <c r="I29"/>
  <c r="F29" i="18"/>
  <c r="C29" i="7"/>
  <c r="C29" i="10"/>
  <c r="F27" i="76"/>
  <c r="E27" i="35"/>
  <c r="G27" i="36"/>
  <c r="I27" i="28"/>
  <c r="C27" i="34"/>
  <c r="I27" i="25"/>
  <c r="I27" i="26"/>
  <c r="H27" i="11"/>
  <c r="C27" i="20"/>
  <c r="F27"/>
  <c r="C27" i="11"/>
  <c r="C27" i="18"/>
  <c r="I27" i="10"/>
  <c r="C24" i="54"/>
  <c r="C24" i="35"/>
  <c r="G24" i="36"/>
  <c r="F24" i="28"/>
  <c r="F24" i="29"/>
  <c r="I24" i="26"/>
  <c r="E24" i="25"/>
  <c r="E24" i="82"/>
  <c r="C24" i="10"/>
  <c r="H24" i="19"/>
  <c r="E24"/>
  <c r="C24" i="18"/>
  <c r="F24" i="10"/>
  <c r="C23" i="54"/>
  <c r="E23" i="35"/>
  <c r="C23" i="38"/>
  <c r="C23" i="29"/>
  <c r="E23" i="34"/>
  <c r="F23" i="26"/>
  <c r="C23" i="25"/>
  <c r="C23" i="82"/>
  <c r="I23" i="20"/>
  <c r="F23"/>
  <c r="F23" i="18"/>
  <c r="C23" i="10"/>
  <c r="I23"/>
  <c r="C22" i="54"/>
  <c r="C22" i="35"/>
  <c r="G22" i="36"/>
  <c r="F22" i="28"/>
  <c r="F22" i="29"/>
  <c r="I22" i="26"/>
  <c r="E22" i="25"/>
  <c r="E22" i="82"/>
  <c r="C22" i="10"/>
  <c r="F22" i="20"/>
  <c r="I22"/>
  <c r="F22" i="18"/>
  <c r="E22" i="11"/>
  <c r="C21" i="54"/>
  <c r="C21" i="35"/>
  <c r="G21" i="36"/>
  <c r="I21" i="28"/>
  <c r="E21" i="34"/>
  <c r="F21" i="26"/>
  <c r="C21" i="25"/>
  <c r="C21" i="82"/>
  <c r="I21" i="20"/>
  <c r="C21" i="8"/>
  <c r="F21" i="18"/>
  <c r="I21" i="10"/>
  <c r="C21"/>
  <c r="F40" i="5"/>
  <c r="H40" i="11"/>
  <c r="C40" i="18"/>
  <c r="F40" i="8"/>
  <c r="I40" i="18"/>
  <c r="E40" i="19"/>
  <c r="C40" i="8"/>
  <c r="E40" i="11"/>
  <c r="C40" i="20"/>
  <c r="C40" i="9"/>
  <c r="C40" i="7"/>
  <c r="I40" i="10"/>
  <c r="E40" i="82"/>
  <c r="C40" i="25"/>
  <c r="G40"/>
  <c r="C40" i="27"/>
  <c r="C40" i="76" s="1"/>
  <c r="F40" i="29"/>
  <c r="E40" i="34"/>
  <c r="F40" i="26"/>
  <c r="I40"/>
  <c r="I40" i="28"/>
  <c r="C40" i="36"/>
  <c r="G40"/>
  <c r="E40" i="38"/>
  <c r="C40" i="35"/>
  <c r="C40" i="37"/>
  <c r="C40" i="54"/>
  <c r="H36" i="19"/>
  <c r="F36" i="9"/>
  <c r="F36" i="10"/>
  <c r="F36" i="18"/>
  <c r="C36" i="19"/>
  <c r="F36" i="20"/>
  <c r="C36" i="11"/>
  <c r="C36" i="20"/>
  <c r="C36" i="9"/>
  <c r="C36" i="7"/>
  <c r="I36" i="10"/>
  <c r="E36" i="82"/>
  <c r="C36" i="86"/>
  <c r="E36" i="25"/>
  <c r="I36"/>
  <c r="I36" i="26"/>
  <c r="I36" i="28"/>
  <c r="C36" i="34"/>
  <c r="G36"/>
  <c r="C36" i="29"/>
  <c r="E36" i="36"/>
  <c r="C36" i="38"/>
  <c r="C36" i="35"/>
  <c r="C36" i="37"/>
  <c r="F36" i="54"/>
  <c r="C36"/>
  <c r="C32" i="11"/>
  <c r="H32"/>
  <c r="C32" i="7"/>
  <c r="C32" i="18"/>
  <c r="I32"/>
  <c r="F32" i="20"/>
  <c r="E32" i="11"/>
  <c r="E32" i="19"/>
  <c r="I32" i="20"/>
  <c r="I32" i="9"/>
  <c r="I32" i="10"/>
  <c r="E32" i="82"/>
  <c r="C32" i="86"/>
  <c r="E32" i="25"/>
  <c r="I32"/>
  <c r="I32" i="26"/>
  <c r="I32" i="28"/>
  <c r="C32" i="34"/>
  <c r="G32"/>
  <c r="C32" i="29"/>
  <c r="E32" i="36"/>
  <c r="C32" i="38"/>
  <c r="C32" i="35"/>
  <c r="C32" i="37"/>
  <c r="F32" i="54"/>
  <c r="C32"/>
  <c r="F28" i="5"/>
  <c r="E28" i="11"/>
  <c r="C28"/>
  <c r="C28" i="7"/>
  <c r="C28" i="18"/>
  <c r="F28"/>
  <c r="C28" i="19"/>
  <c r="C28" i="20"/>
  <c r="C28" i="8"/>
  <c r="C28" i="9"/>
  <c r="C28" i="10"/>
  <c r="H28" i="11"/>
  <c r="E28" i="82"/>
  <c r="C28" i="86"/>
  <c r="E28" i="25"/>
  <c r="I28"/>
  <c r="I28" i="26"/>
  <c r="C28" i="28"/>
  <c r="F28" i="29"/>
  <c r="E28" i="34"/>
  <c r="F28" i="28"/>
  <c r="C28" i="36"/>
  <c r="G28"/>
  <c r="E28" i="38"/>
  <c r="C28" i="35"/>
  <c r="C28" i="37"/>
  <c r="I28" i="54"/>
  <c r="C20" i="11"/>
  <c r="C20" i="7"/>
  <c r="I20" i="18"/>
  <c r="C20" i="20"/>
  <c r="C20" i="8"/>
  <c r="E20" i="19"/>
  <c r="C20" i="9"/>
  <c r="C20" i="10"/>
  <c r="H20" i="11"/>
  <c r="E20" i="82"/>
  <c r="C20" i="86"/>
  <c r="E20" i="25"/>
  <c r="I20"/>
  <c r="I20" i="26"/>
  <c r="I20" i="28"/>
  <c r="C20" i="34"/>
  <c r="G20"/>
  <c r="C20" i="29"/>
  <c r="E20" i="36"/>
  <c r="C20" i="38"/>
  <c r="C20" i="54"/>
  <c r="E20" i="35"/>
  <c r="E20" i="37"/>
  <c r="F20" i="54"/>
  <c r="F42" i="5"/>
  <c r="H42" i="11"/>
  <c r="F42" i="8"/>
  <c r="C42" i="18"/>
  <c r="I42"/>
  <c r="E42" i="19"/>
  <c r="I42" i="20"/>
  <c r="C42" i="11"/>
  <c r="H42" i="19"/>
  <c r="C42" i="9"/>
  <c r="C42" i="7"/>
  <c r="I42" i="10"/>
  <c r="E42" i="82"/>
  <c r="C42" i="25"/>
  <c r="G42"/>
  <c r="C42" i="27"/>
  <c r="C42" i="76" s="1"/>
  <c r="F42" i="29"/>
  <c r="E42" i="34"/>
  <c r="F42" i="26"/>
  <c r="H38" i="11"/>
  <c r="H38" i="19"/>
  <c r="C38" i="18"/>
  <c r="F38"/>
  <c r="C38" i="20"/>
  <c r="C38" i="11"/>
  <c r="C38" i="19"/>
  <c r="F38" i="20"/>
  <c r="C38" i="9"/>
  <c r="C38" i="7"/>
  <c r="I38" i="10"/>
  <c r="E38" i="82"/>
  <c r="C38" i="25"/>
  <c r="G38"/>
  <c r="F38" i="28"/>
  <c r="C38" i="34"/>
  <c r="G38"/>
  <c r="C38" i="26"/>
  <c r="C38" i="28"/>
  <c r="C38" i="29"/>
  <c r="E38" i="36"/>
  <c r="C38" i="38"/>
  <c r="C38" i="35"/>
  <c r="C38" i="37"/>
  <c r="F38" i="54"/>
  <c r="C38"/>
  <c r="H34" i="11"/>
  <c r="F34" i="8"/>
  <c r="C34" i="18"/>
  <c r="F34"/>
  <c r="H34" i="19"/>
  <c r="C34" i="8"/>
  <c r="E34" i="11"/>
  <c r="E34" i="19"/>
  <c r="I34" i="20"/>
  <c r="I34" i="9"/>
  <c r="I34" i="10"/>
  <c r="E34" i="82"/>
  <c r="C34" i="86"/>
  <c r="E34" i="25"/>
  <c r="I34"/>
  <c r="I34" i="26"/>
  <c r="I34" i="28"/>
  <c r="C34" i="34"/>
  <c r="G34"/>
  <c r="C34" i="29"/>
  <c r="E34" i="36"/>
  <c r="C34" i="38"/>
  <c r="C34" i="35"/>
  <c r="C34" i="37"/>
  <c r="F34" i="54"/>
  <c r="C34"/>
  <c r="F30" i="5"/>
  <c r="E30" i="19"/>
  <c r="F30" i="9"/>
  <c r="E30" i="11"/>
  <c r="C30" i="18"/>
  <c r="F30"/>
  <c r="F30" i="20"/>
  <c r="C30" i="19"/>
  <c r="C30" i="20"/>
  <c r="C30" i="9"/>
  <c r="C30" i="10"/>
  <c r="H30" i="11"/>
  <c r="E30" i="82"/>
  <c r="C30" i="86"/>
  <c r="E30" i="25"/>
  <c r="I30"/>
  <c r="I30" i="26"/>
  <c r="C30" i="28"/>
  <c r="F30" i="29"/>
  <c r="E30" i="34"/>
  <c r="F30" i="28"/>
  <c r="C30" i="36"/>
  <c r="G30"/>
  <c r="E30" i="38"/>
  <c r="E30" i="35"/>
  <c r="E30" i="37"/>
  <c r="C30" i="54"/>
  <c r="F26" i="9"/>
  <c r="C26" i="11"/>
  <c r="C26" i="18"/>
  <c r="I26"/>
  <c r="C26" i="20"/>
  <c r="C26" i="8"/>
  <c r="C26" i="19"/>
  <c r="F26" i="20"/>
  <c r="I26" i="9"/>
  <c r="I26" i="10"/>
  <c r="C26" i="82"/>
  <c r="F26" i="26"/>
  <c r="C26" i="25"/>
  <c r="G26"/>
  <c r="C26" i="26"/>
  <c r="C26" i="28"/>
  <c r="F26" i="29"/>
  <c r="E26" i="34"/>
  <c r="F26" i="28"/>
  <c r="C26" i="36"/>
  <c r="G26"/>
  <c r="E26" i="38"/>
  <c r="C26" i="35"/>
  <c r="C26" i="37"/>
  <c r="I26" i="54"/>
  <c r="F19" i="26"/>
  <c r="E19" i="34"/>
  <c r="I19" i="28"/>
  <c r="G19" i="36"/>
  <c r="E19" i="35"/>
  <c r="C19" i="54"/>
  <c r="F51" i="76"/>
  <c r="F30"/>
  <c r="F28"/>
  <c r="F17"/>
  <c r="C51" i="54"/>
  <c r="C51" i="37"/>
  <c r="C51" i="35"/>
  <c r="I51" i="54"/>
  <c r="C51" i="38"/>
  <c r="E51" i="36"/>
  <c r="G51" i="34"/>
  <c r="C51"/>
  <c r="C51" i="28"/>
  <c r="I51" i="26"/>
  <c r="F51" i="29"/>
  <c r="F51" i="26"/>
  <c r="G51" i="25"/>
  <c r="C51"/>
  <c r="C51" i="11"/>
  <c r="C51" i="82"/>
  <c r="H51" i="11"/>
  <c r="C51" i="7"/>
  <c r="F51" i="8"/>
  <c r="C51" i="20"/>
  <c r="C51" i="19"/>
  <c r="C51" i="10"/>
  <c r="H51" i="19"/>
  <c r="F51" i="18"/>
  <c r="I51" i="9"/>
  <c r="C51"/>
  <c r="C50" i="54"/>
  <c r="C50" i="37"/>
  <c r="C50" i="35"/>
  <c r="F50" i="76"/>
  <c r="E50" i="38"/>
  <c r="G50" i="36"/>
  <c r="C50"/>
  <c r="E50" i="34"/>
  <c r="F50" i="29"/>
  <c r="F50" i="26"/>
  <c r="C50" i="28"/>
  <c r="C50" i="26"/>
  <c r="G50" i="25"/>
  <c r="C50"/>
  <c r="E50" i="11"/>
  <c r="E50" i="82"/>
  <c r="H50" i="11"/>
  <c r="C50" i="10"/>
  <c r="I50" i="9"/>
  <c r="F50" i="8"/>
  <c r="E50" i="19"/>
  <c r="F50" i="10"/>
  <c r="C50" i="20"/>
  <c r="I50" i="18"/>
  <c r="F50" i="9"/>
  <c r="C46" i="54"/>
  <c r="E46" i="37"/>
  <c r="E46" i="35"/>
  <c r="C46" i="29"/>
  <c r="E46" i="38"/>
  <c r="G46" i="36"/>
  <c r="C46"/>
  <c r="E46" i="34"/>
  <c r="F46" i="29"/>
  <c r="I46" i="26"/>
  <c r="F46"/>
  <c r="C46" i="28"/>
  <c r="G46" i="25"/>
  <c r="C46"/>
  <c r="E46" i="11"/>
  <c r="E46" i="82"/>
  <c r="I46" i="10"/>
  <c r="C46" i="7"/>
  <c r="C46" i="9"/>
  <c r="C46" i="8"/>
  <c r="F46" i="20"/>
  <c r="C46" i="19"/>
  <c r="F46" i="18"/>
  <c r="H46" i="19"/>
  <c r="F46" i="9"/>
  <c r="C44" i="54"/>
  <c r="E44" i="37"/>
  <c r="E44" i="35"/>
  <c r="C44" i="29"/>
  <c r="E44" i="38"/>
  <c r="G44" i="36"/>
  <c r="C44"/>
  <c r="E44" i="34"/>
  <c r="F44" i="29"/>
  <c r="C44" i="28"/>
  <c r="C44" i="26"/>
  <c r="F44" i="28"/>
  <c r="G44" i="25"/>
  <c r="C44"/>
  <c r="E44" i="82"/>
  <c r="F44" i="10"/>
  <c r="I44" i="9"/>
  <c r="F44" i="20"/>
  <c r="E44" i="11"/>
  <c r="C44" i="8"/>
  <c r="C44" i="20"/>
  <c r="C44" i="19"/>
  <c r="F44" i="18"/>
  <c r="C44" i="10"/>
  <c r="F44" i="8"/>
  <c r="C42" i="54"/>
  <c r="E42" i="37"/>
  <c r="E42" i="35"/>
  <c r="E42" i="38"/>
  <c r="G42" i="36"/>
  <c r="C42"/>
  <c r="I42" i="28"/>
  <c r="I42" i="26"/>
  <c r="G42" i="34"/>
  <c r="F42" i="28"/>
  <c r="E42" i="25"/>
  <c r="C42" i="82"/>
  <c r="I42" i="9"/>
  <c r="E42" i="11"/>
  <c r="C42" i="20"/>
  <c r="F42" i="18"/>
  <c r="F42" i="10"/>
  <c r="E40" i="37"/>
  <c r="F40" i="54"/>
  <c r="E40" i="36"/>
  <c r="C40" i="28"/>
  <c r="G40" i="34"/>
  <c r="F40" i="28"/>
  <c r="E40" i="25"/>
  <c r="C40" i="82"/>
  <c r="I40" i="9"/>
  <c r="H40" i="19"/>
  <c r="F40" i="20"/>
  <c r="F40" i="18"/>
  <c r="F40" i="10"/>
  <c r="F38" i="76"/>
  <c r="E38" i="35"/>
  <c r="G38" i="36"/>
  <c r="I38" i="28"/>
  <c r="F38" i="26"/>
  <c r="F38" i="29"/>
  <c r="E38" i="25"/>
  <c r="C38" i="82"/>
  <c r="I38" i="9"/>
  <c r="E38" i="19"/>
  <c r="C38" i="8"/>
  <c r="F38"/>
  <c r="F38" i="10"/>
  <c r="F36" i="76"/>
  <c r="E36" i="35"/>
  <c r="G36" i="36"/>
  <c r="F36" i="28"/>
  <c r="F36" i="29"/>
  <c r="C36" i="26"/>
  <c r="C36" i="25"/>
  <c r="C36" i="82"/>
  <c r="I36" i="9"/>
  <c r="E36" i="11"/>
  <c r="E36" i="19"/>
  <c r="C36" i="18"/>
  <c r="F36" i="8"/>
  <c r="F34" i="76"/>
  <c r="E34" i="35"/>
  <c r="G34" i="36"/>
  <c r="F34" i="28"/>
  <c r="F34" i="29"/>
  <c r="C34" i="26"/>
  <c r="C34" i="25"/>
  <c r="C34" i="82"/>
  <c r="C34" i="9"/>
  <c r="C34" i="19"/>
  <c r="F34" i="20"/>
  <c r="F34" i="9"/>
  <c r="F34" i="10"/>
  <c r="F32" i="76"/>
  <c r="E32" i="35"/>
  <c r="G32" i="36"/>
  <c r="F32" i="28"/>
  <c r="F32" i="29"/>
  <c r="C32" i="26"/>
  <c r="C32" i="25"/>
  <c r="C32" i="82"/>
  <c r="C32" i="9"/>
  <c r="C32" i="19"/>
  <c r="H32"/>
  <c r="F32" i="9"/>
  <c r="F32" i="8"/>
  <c r="F30" i="54"/>
  <c r="C30" i="35"/>
  <c r="E30" i="36"/>
  <c r="G30" i="34"/>
  <c r="I30" i="28"/>
  <c r="C30" i="26"/>
  <c r="C30" i="25"/>
  <c r="C30" i="82"/>
  <c r="I30" i="9"/>
  <c r="H30" i="19"/>
  <c r="I30" i="18"/>
  <c r="C30" i="11"/>
  <c r="F30" i="10"/>
  <c r="E28" i="37"/>
  <c r="C28" i="54"/>
  <c r="E28" i="36"/>
  <c r="G28" i="34"/>
  <c r="I28" i="28"/>
  <c r="C28" i="26"/>
  <c r="C28" i="25"/>
  <c r="C28" i="82"/>
  <c r="I28" i="9"/>
  <c r="I28" i="20"/>
  <c r="I28" i="18"/>
  <c r="F28" i="8"/>
  <c r="E28" i="19"/>
  <c r="E26" i="37"/>
  <c r="C26" i="54"/>
  <c r="E26" i="36"/>
  <c r="G26" i="34"/>
  <c r="I26" i="28"/>
  <c r="I26" i="25"/>
  <c r="C26" i="86"/>
  <c r="H26" i="11"/>
  <c r="C26" i="9"/>
  <c r="C26" i="7"/>
  <c r="H26" i="19"/>
  <c r="F26" i="8"/>
  <c r="F26" i="10"/>
  <c r="C20" i="37"/>
  <c r="E20" i="38"/>
  <c r="C20" i="36"/>
  <c r="E20" i="34"/>
  <c r="C20" i="28"/>
  <c r="G20" i="25"/>
  <c r="F20" i="26"/>
  <c r="I20" i="10"/>
  <c r="F20" i="20"/>
  <c r="I20"/>
  <c r="C20" i="18"/>
  <c r="F20" i="76"/>
  <c r="E19" i="38"/>
  <c r="C19" i="27"/>
  <c r="C19" i="76" s="1"/>
  <c r="G19" i="25"/>
  <c r="C43" i="44"/>
  <c r="C43" i="42" s="1"/>
  <c r="G43" i="44"/>
  <c r="E43" i="42" s="1"/>
  <c r="C43" i="45"/>
  <c r="G43" i="42" s="1"/>
  <c r="G43" i="45"/>
  <c r="I43" i="43"/>
  <c r="B43" i="42" s="1"/>
  <c r="E43" i="44"/>
  <c r="D43" i="42" s="1"/>
  <c r="I43" i="44"/>
  <c r="F43" i="42" s="1"/>
  <c r="E43" i="45"/>
  <c r="H43" i="42" s="1"/>
  <c r="G28" i="76"/>
  <c r="F21"/>
  <c r="I31" i="43"/>
  <c r="B31" i="42" s="1"/>
  <c r="E31" i="44"/>
  <c r="D31" i="42" s="1"/>
  <c r="I31" i="44"/>
  <c r="F31" i="42" s="1"/>
  <c r="E31" i="45"/>
  <c r="H31" i="42" s="1"/>
  <c r="C31" i="44"/>
  <c r="C31" i="42" s="1"/>
  <c r="G31" i="44"/>
  <c r="E31" i="42" s="1"/>
  <c r="C31" i="45"/>
  <c r="G31" i="42" s="1"/>
  <c r="G31" i="45"/>
  <c r="I37" i="43"/>
  <c r="B37" i="42" s="1"/>
  <c r="E37" i="44"/>
  <c r="D37" i="42" s="1"/>
  <c r="I37" i="44"/>
  <c r="F37" i="42" s="1"/>
  <c r="E37" i="45"/>
  <c r="H37" i="42" s="1"/>
  <c r="C37" i="44"/>
  <c r="C37" i="42" s="1"/>
  <c r="G37" i="44"/>
  <c r="E37" i="42" s="1"/>
  <c r="C37" i="45"/>
  <c r="G37" i="42" s="1"/>
  <c r="G37" i="45"/>
  <c r="C23" i="44"/>
  <c r="C23" i="42" s="1"/>
  <c r="G23" i="44"/>
  <c r="E23" i="42" s="1"/>
  <c r="C23" i="45"/>
  <c r="G23" i="42" s="1"/>
  <c r="G23" i="45"/>
  <c r="I23" i="43"/>
  <c r="B23" i="42" s="1"/>
  <c r="E23" i="44"/>
  <c r="D23" i="42" s="1"/>
  <c r="I23" i="44"/>
  <c r="F23" i="42" s="1"/>
  <c r="E23" i="45"/>
  <c r="H23" i="42" s="1"/>
  <c r="C46" i="27"/>
  <c r="C46" i="76" s="1"/>
  <c r="F46" i="5"/>
  <c r="F44"/>
  <c r="C44" i="27"/>
  <c r="C44" i="76" s="1"/>
  <c r="C38" i="27"/>
  <c r="C38" i="76" s="1"/>
  <c r="F38" i="5"/>
  <c r="F36"/>
  <c r="C36" i="27"/>
  <c r="C36" i="76" s="1"/>
  <c r="F34" i="5"/>
  <c r="C34" i="27"/>
  <c r="C34" i="76" s="1"/>
  <c r="F32" i="5"/>
  <c r="C32" i="27"/>
  <c r="C32" i="76" s="1"/>
  <c r="F26" i="5"/>
  <c r="C26" i="27"/>
  <c r="C26" i="76" s="1"/>
  <c r="E14" i="11"/>
  <c r="F14" i="9"/>
  <c r="C14" i="7"/>
  <c r="C14" i="11"/>
  <c r="C14" i="18"/>
  <c r="H14" i="19"/>
  <c r="E14"/>
  <c r="C14" i="8"/>
  <c r="I14" i="20"/>
  <c r="C14" i="10"/>
  <c r="H14" i="11"/>
  <c r="E14" i="82"/>
  <c r="C14" i="86"/>
  <c r="E14" i="25"/>
  <c r="I14"/>
  <c r="I14" i="26"/>
  <c r="C14" i="28"/>
  <c r="F14" i="29"/>
  <c r="E14" i="34"/>
  <c r="F14" i="28"/>
  <c r="C14" i="36"/>
  <c r="G14"/>
  <c r="E14" i="38"/>
  <c r="C14" i="35"/>
  <c r="C14" i="37"/>
  <c r="C14" i="54"/>
  <c r="F14" i="10"/>
  <c r="C14" i="9"/>
  <c r="F14" i="8"/>
  <c r="F14" i="18"/>
  <c r="I14"/>
  <c r="C14" i="19"/>
  <c r="F14" i="20"/>
  <c r="C14"/>
  <c r="I14" i="9"/>
  <c r="I14" i="10"/>
  <c r="C14" i="82"/>
  <c r="F14" i="26"/>
  <c r="C14" i="25"/>
  <c r="G14"/>
  <c r="C14" i="26"/>
  <c r="C14" i="27"/>
  <c r="C14" i="76" s="1"/>
  <c r="I14" i="28"/>
  <c r="C14" i="34"/>
  <c r="G14"/>
  <c r="C14" i="29"/>
  <c r="E14" i="36"/>
  <c r="C14" i="38"/>
  <c r="I14" i="54"/>
  <c r="E14" i="35"/>
  <c r="E14" i="37"/>
  <c r="F14" i="54"/>
  <c r="F17" i="5"/>
  <c r="C17" i="86"/>
  <c r="C17" i="10"/>
  <c r="C17" i="11"/>
  <c r="F17" i="8"/>
  <c r="I17" i="9"/>
  <c r="I17" i="18"/>
  <c r="C17"/>
  <c r="E17" i="19"/>
  <c r="C17" i="8"/>
  <c r="I17" i="20"/>
  <c r="F17" i="10"/>
  <c r="C17" i="82"/>
  <c r="C17" i="26"/>
  <c r="C17" i="25"/>
  <c r="G17"/>
  <c r="F17" i="26"/>
  <c r="F17" i="29"/>
  <c r="E17" i="34"/>
  <c r="C17" i="27"/>
  <c r="C17" i="76" s="1"/>
  <c r="I17" i="28"/>
  <c r="C17" i="36"/>
  <c r="G17"/>
  <c r="E17" i="38"/>
  <c r="C17" i="35"/>
  <c r="C17" i="37"/>
  <c r="C17" i="54"/>
  <c r="E17" i="11"/>
  <c r="C17" i="9"/>
  <c r="I17" i="10"/>
  <c r="C17" i="7"/>
  <c r="F17" i="18"/>
  <c r="H17" i="19"/>
  <c r="C17"/>
  <c r="C17" i="20"/>
  <c r="F17"/>
  <c r="F17" i="9"/>
  <c r="H17" i="11"/>
  <c r="E17" i="82"/>
  <c r="I17" i="26"/>
  <c r="E17" i="25"/>
  <c r="I17"/>
  <c r="F17" i="28"/>
  <c r="C17" i="34"/>
  <c r="G17"/>
  <c r="C17" i="28"/>
  <c r="C17" i="29"/>
  <c r="E17" i="36"/>
  <c r="C17" i="38"/>
  <c r="F17" i="54"/>
  <c r="E17" i="35"/>
  <c r="E17" i="37"/>
  <c r="I17" i="54"/>
  <c r="C50" i="27"/>
  <c r="C50" i="76" s="1"/>
  <c r="F50" i="5"/>
  <c r="D50" i="6" s="1"/>
  <c r="E50" s="1"/>
  <c r="C50" i="78" s="1"/>
  <c r="C18" i="27"/>
  <c r="C18" i="76" s="1"/>
  <c r="F18" i="10"/>
  <c r="F18" i="9"/>
  <c r="F18" i="18"/>
  <c r="C18" i="11"/>
  <c r="I18" i="18"/>
  <c r="C18" i="19"/>
  <c r="C18" i="20"/>
  <c r="C18" i="8"/>
  <c r="C18" i="9"/>
  <c r="C18" i="10"/>
  <c r="H18" i="11"/>
  <c r="E18" i="82"/>
  <c r="C18" i="86"/>
  <c r="E18" i="25"/>
  <c r="I18"/>
  <c r="I18" i="26"/>
  <c r="I18" i="28"/>
  <c r="C18" i="34"/>
  <c r="G18"/>
  <c r="C18" i="29"/>
  <c r="E18" i="36"/>
  <c r="C18" i="38"/>
  <c r="I18" i="54"/>
  <c r="E18" i="35"/>
  <c r="E18" i="37"/>
  <c r="F18" i="76"/>
  <c r="F18" i="5"/>
  <c r="C18" i="7"/>
  <c r="F18" i="8"/>
  <c r="E18" i="11"/>
  <c r="C18" i="18"/>
  <c r="H18" i="19"/>
  <c r="E18"/>
  <c r="I18" i="20"/>
  <c r="F18"/>
  <c r="I18" i="9"/>
  <c r="I18" i="10"/>
  <c r="C18" i="82"/>
  <c r="F18" i="26"/>
  <c r="C18" i="25"/>
  <c r="G18"/>
  <c r="C18" i="26"/>
  <c r="C18" i="28"/>
  <c r="F18" i="29"/>
  <c r="E18" i="34"/>
  <c r="F18" i="28"/>
  <c r="C18" i="36"/>
  <c r="G18"/>
  <c r="E18" i="38"/>
  <c r="C18" i="35"/>
  <c r="C18" i="37"/>
  <c r="C18" i="54"/>
  <c r="F18"/>
  <c r="F19" i="5"/>
  <c r="C19" i="86"/>
  <c r="I19" i="10"/>
  <c r="I19" i="9"/>
  <c r="C19" i="10"/>
  <c r="E19" i="19"/>
  <c r="C19" i="11"/>
  <c r="C19" i="18"/>
  <c r="H19" i="19"/>
  <c r="C19" i="8"/>
  <c r="I19" i="20"/>
  <c r="F19" i="10"/>
  <c r="C19" i="82"/>
  <c r="C19" i="26"/>
  <c r="C19" i="25"/>
  <c r="E19" i="11"/>
  <c r="C19" i="7"/>
  <c r="F19" i="18"/>
  <c r="C19" i="9"/>
  <c r="F19" i="8"/>
  <c r="I19" i="18"/>
  <c r="C19" i="19"/>
  <c r="F19" i="20"/>
  <c r="C19"/>
  <c r="F19" i="9"/>
  <c r="H19" i="11"/>
  <c r="E19" i="82"/>
  <c r="I19" i="26"/>
  <c r="E19" i="25"/>
  <c r="I19"/>
  <c r="F19" i="28"/>
  <c r="C19" i="34"/>
  <c r="G19"/>
  <c r="C19" i="28"/>
  <c r="C19" i="29"/>
  <c r="E19" i="36"/>
  <c r="C19" i="38"/>
  <c r="C19" i="35"/>
  <c r="C19" i="37"/>
  <c r="F19" i="54"/>
  <c r="I19"/>
  <c r="C20" i="27"/>
  <c r="C20" i="76" s="1"/>
  <c r="F20" i="5"/>
  <c r="E20" i="11"/>
  <c r="F20" i="8"/>
  <c r="F20" i="10"/>
  <c r="F20" i="9"/>
  <c r="F40" i="76"/>
  <c r="F12" i="5"/>
  <c r="C12" i="27"/>
  <c r="C12" i="76" s="1"/>
  <c r="C12" i="11"/>
  <c r="F12" i="8"/>
  <c r="E12" i="11"/>
  <c r="C12" i="9"/>
  <c r="C12" i="18"/>
  <c r="E12" i="19"/>
  <c r="H12"/>
  <c r="C12" i="8"/>
  <c r="I12" i="20"/>
  <c r="C12" i="10"/>
  <c r="H12" i="11"/>
  <c r="E12" i="82"/>
  <c r="C12" i="86"/>
  <c r="E12" i="25"/>
  <c r="I12"/>
  <c r="I12" i="26"/>
  <c r="I12" i="28"/>
  <c r="C12" i="34"/>
  <c r="G12"/>
  <c r="C12" i="29"/>
  <c r="E12" i="36"/>
  <c r="C12" i="38"/>
  <c r="I12" i="54"/>
  <c r="C12" i="35"/>
  <c r="C12" i="37"/>
  <c r="C12" i="54"/>
  <c r="C12" i="7"/>
  <c r="F12" i="18"/>
  <c r="F12" i="10"/>
  <c r="I12" i="9"/>
  <c r="C12" i="19"/>
  <c r="I12" i="18"/>
  <c r="F12" i="20"/>
  <c r="C12"/>
  <c r="F12" i="9"/>
  <c r="I12" i="10"/>
  <c r="C12" i="82"/>
  <c r="F12" i="26"/>
  <c r="C12" i="25"/>
  <c r="G12"/>
  <c r="C12" i="26"/>
  <c r="C12" i="28"/>
  <c r="F12" i="29"/>
  <c r="E12" i="34"/>
  <c r="F12" i="28"/>
  <c r="C12" i="36"/>
  <c r="G12"/>
  <c r="E12" i="38"/>
  <c r="F12" i="76"/>
  <c r="E12" i="35"/>
  <c r="E12" i="37"/>
  <c r="F12" i="54"/>
  <c r="F41" i="5"/>
  <c r="C41" i="27"/>
  <c r="C41" i="76" s="1"/>
  <c r="F27" i="5"/>
  <c r="C27" i="27"/>
  <c r="C27" i="76" s="1"/>
  <c r="C13" i="86"/>
  <c r="C13" i="10"/>
  <c r="C13" i="11"/>
  <c r="F13" i="9"/>
  <c r="E13" i="19"/>
  <c r="I13" i="18"/>
  <c r="H13" i="19"/>
  <c r="C13" i="20"/>
  <c r="C13" i="8"/>
  <c r="C13" i="9"/>
  <c r="F13" i="10"/>
  <c r="C13" i="82"/>
  <c r="C13" i="26"/>
  <c r="C13" i="25"/>
  <c r="G13"/>
  <c r="F13" i="26"/>
  <c r="F13" i="29"/>
  <c r="E13" i="34"/>
  <c r="C13" i="28"/>
  <c r="C13" i="29"/>
  <c r="E13" i="36"/>
  <c r="C13" i="38"/>
  <c r="F13" i="54"/>
  <c r="E13" i="35"/>
  <c r="E13" i="37"/>
  <c r="C13" i="54"/>
  <c r="F13" i="5"/>
  <c r="C13" i="27"/>
  <c r="C13" i="76" s="1"/>
  <c r="E13" i="11"/>
  <c r="C13" i="7"/>
  <c r="I13" i="10"/>
  <c r="F13" i="8"/>
  <c r="F13" i="18"/>
  <c r="C13" i="19"/>
  <c r="C13" i="18"/>
  <c r="I13" i="20"/>
  <c r="F13"/>
  <c r="I13" i="9"/>
  <c r="H13" i="11"/>
  <c r="E13" i="82"/>
  <c r="I13" i="26"/>
  <c r="E13" i="25"/>
  <c r="I13"/>
  <c r="F13" i="28"/>
  <c r="C13" i="34"/>
  <c r="G13"/>
  <c r="I13" i="28"/>
  <c r="C13" i="36"/>
  <c r="G13"/>
  <c r="E13" i="38"/>
  <c r="C13" i="35"/>
  <c r="C13" i="37"/>
  <c r="F13" i="76"/>
  <c r="I13" i="54"/>
  <c r="F15" i="5"/>
  <c r="E15" i="11"/>
  <c r="I15" i="9"/>
  <c r="C15" i="86"/>
  <c r="C15" i="9"/>
  <c r="F15" i="8"/>
  <c r="C15" i="18"/>
  <c r="I15"/>
  <c r="E15" i="19"/>
  <c r="I15" i="20"/>
  <c r="F15"/>
  <c r="F15" i="10"/>
  <c r="C15" i="82"/>
  <c r="C15" i="26"/>
  <c r="C15" i="25"/>
  <c r="G15"/>
  <c r="F15" i="26"/>
  <c r="F15" i="29"/>
  <c r="E15" i="34"/>
  <c r="C15" i="27"/>
  <c r="C15" i="76" s="1"/>
  <c r="I15" i="28"/>
  <c r="C15" i="36"/>
  <c r="G15"/>
  <c r="E15" i="38"/>
  <c r="E15" i="35"/>
  <c r="E15" i="37"/>
  <c r="C15" i="54"/>
  <c r="I15" i="10"/>
  <c r="F15" i="18"/>
  <c r="C15" i="10"/>
  <c r="C15" i="7"/>
  <c r="C15" i="11"/>
  <c r="H15" i="19"/>
  <c r="C15"/>
  <c r="C15" i="20"/>
  <c r="C15" i="8"/>
  <c r="F15" i="9"/>
  <c r="H15" i="11"/>
  <c r="E15" i="82"/>
  <c r="I15" i="26"/>
  <c r="E15" i="25"/>
  <c r="I15"/>
  <c r="F15" i="28"/>
  <c r="C15" i="34"/>
  <c r="G15"/>
  <c r="C15" i="28"/>
  <c r="C15" i="29"/>
  <c r="E15" i="36"/>
  <c r="C15" i="38"/>
  <c r="C15" i="35"/>
  <c r="C15" i="37"/>
  <c r="F15" i="54"/>
  <c r="I15"/>
  <c r="C23" i="27"/>
  <c r="C23" i="76" s="1"/>
  <c r="F23" i="5"/>
  <c r="C16" i="11"/>
  <c r="E16"/>
  <c r="C16" i="7"/>
  <c r="F16" i="18"/>
  <c r="C16"/>
  <c r="C16" i="19"/>
  <c r="F16" i="20"/>
  <c r="C16"/>
  <c r="C16" i="9"/>
  <c r="C16" i="10"/>
  <c r="H16" i="11"/>
  <c r="E16" i="82"/>
  <c r="C16" i="86"/>
  <c r="E16" i="25"/>
  <c r="I16"/>
  <c r="I16" i="26"/>
  <c r="C16" i="28"/>
  <c r="F16" i="29"/>
  <c r="E16" i="34"/>
  <c r="F16" i="28"/>
  <c r="C16" i="36"/>
  <c r="G16"/>
  <c r="E16" i="38"/>
  <c r="C16" i="35"/>
  <c r="C16" i="37"/>
  <c r="I16" i="54"/>
  <c r="F16" i="5"/>
  <c r="F16" i="8"/>
  <c r="F16" i="10"/>
  <c r="F16" i="9"/>
  <c r="H16" i="19"/>
  <c r="I16" i="18"/>
  <c r="E16" i="19"/>
  <c r="C16" i="8"/>
  <c r="I16" i="20"/>
  <c r="I16" i="9"/>
  <c r="I16" i="10"/>
  <c r="C16" i="82"/>
  <c r="F16" i="26"/>
  <c r="C16" i="25"/>
  <c r="G16"/>
  <c r="C16" i="26"/>
  <c r="C16" i="27"/>
  <c r="C16" i="76" s="1"/>
  <c r="I16" i="28"/>
  <c r="C16" i="34"/>
  <c r="G16"/>
  <c r="C16" i="29"/>
  <c r="E16" i="36"/>
  <c r="C16" i="38"/>
  <c r="C16" i="54"/>
  <c r="E16" i="35"/>
  <c r="E16" i="37"/>
  <c r="F16" i="54"/>
  <c r="I45" i="43"/>
  <c r="B45" i="42" s="1"/>
  <c r="E45" i="44"/>
  <c r="D45" i="42" s="1"/>
  <c r="I45" i="44"/>
  <c r="F45" i="42" s="1"/>
  <c r="E45" i="45"/>
  <c r="H45" i="42" s="1"/>
  <c r="C45" i="44"/>
  <c r="C45" i="42" s="1"/>
  <c r="G45" i="44"/>
  <c r="E45" i="42" s="1"/>
  <c r="C45" i="45"/>
  <c r="G45" i="42" s="1"/>
  <c r="G45" i="45"/>
  <c r="C41" i="44"/>
  <c r="C41" i="42" s="1"/>
  <c r="G41" i="44"/>
  <c r="E41" i="42" s="1"/>
  <c r="C41" i="45"/>
  <c r="G41" i="42" s="1"/>
  <c r="G41" i="45"/>
  <c r="I41" i="43"/>
  <c r="B41" i="42" s="1"/>
  <c r="E41" i="44"/>
  <c r="D41" i="42" s="1"/>
  <c r="I41" i="44"/>
  <c r="F41" i="42" s="1"/>
  <c r="E41" i="45"/>
  <c r="H41" i="42" s="1"/>
  <c r="C33" i="44"/>
  <c r="C33" i="42" s="1"/>
  <c r="G33" i="44"/>
  <c r="E33" i="42" s="1"/>
  <c r="C33" i="45"/>
  <c r="G33" i="42" s="1"/>
  <c r="I33" i="43"/>
  <c r="B33" i="42" s="1"/>
  <c r="E33" i="44"/>
  <c r="D33" i="42" s="1"/>
  <c r="I33" i="44"/>
  <c r="F33" i="42" s="1"/>
  <c r="E33" i="45"/>
  <c r="H33" i="42" s="1"/>
  <c r="G33" i="45"/>
  <c r="C29" i="44"/>
  <c r="C29" i="42" s="1"/>
  <c r="G29" i="44"/>
  <c r="E29" i="42" s="1"/>
  <c r="C29" i="45"/>
  <c r="G29" i="42" s="1"/>
  <c r="G29" i="45"/>
  <c r="I29" i="43"/>
  <c r="B29" i="42" s="1"/>
  <c r="E29" i="44"/>
  <c r="D29" i="42" s="1"/>
  <c r="I29" i="44"/>
  <c r="F29" i="42" s="1"/>
  <c r="E29" i="45"/>
  <c r="H29" i="42" s="1"/>
  <c r="C21" i="44"/>
  <c r="C21" i="42" s="1"/>
  <c r="G21" i="44"/>
  <c r="E21" i="42" s="1"/>
  <c r="C21" i="45"/>
  <c r="G21" i="42" s="1"/>
  <c r="G21" i="45"/>
  <c r="I21" i="43"/>
  <c r="B21" i="42" s="1"/>
  <c r="E21" i="44"/>
  <c r="D21" i="42" s="1"/>
  <c r="I21" i="44"/>
  <c r="F21" i="42" s="1"/>
  <c r="E21" i="45"/>
  <c r="H21" i="42" s="1"/>
  <c r="C15" i="44"/>
  <c r="C15" i="42" s="1"/>
  <c r="G15" i="44"/>
  <c r="E15" i="42" s="1"/>
  <c r="C15" i="45"/>
  <c r="G15" i="42" s="1"/>
  <c r="I15" i="43"/>
  <c r="B15" i="42" s="1"/>
  <c r="E15" i="44"/>
  <c r="D15" i="42" s="1"/>
  <c r="I15" i="44"/>
  <c r="F15" i="42" s="1"/>
  <c r="E15" i="45"/>
  <c r="H15" i="42" s="1"/>
  <c r="G15" i="45"/>
  <c r="D12" i="6"/>
  <c r="E12" i="90"/>
  <c r="J13" i="42"/>
  <c r="F33" i="76"/>
  <c r="G15"/>
  <c r="I39" i="45"/>
  <c r="I39" i="43" s="1"/>
  <c r="B39" i="42" s="1"/>
  <c r="I35" i="45"/>
  <c r="I35" i="43" s="1"/>
  <c r="B35" i="42" s="1"/>
  <c r="G52" i="85"/>
  <c r="J29"/>
  <c r="G51" i="76"/>
  <c r="G45"/>
  <c r="F43"/>
  <c r="G39"/>
  <c r="F37"/>
  <c r="F31"/>
  <c r="G30"/>
  <c r="G24"/>
  <c r="F19"/>
  <c r="G17"/>
  <c r="F14"/>
  <c r="J27" i="42"/>
  <c r="J41"/>
  <c r="F50" i="6"/>
  <c r="G45" i="85"/>
  <c r="G29"/>
  <c r="G42" i="76"/>
  <c r="G35"/>
  <c r="F29"/>
  <c r="G22"/>
  <c r="F16"/>
  <c r="F26"/>
  <c r="J33" i="42"/>
  <c r="E22" i="6"/>
  <c r="C22" i="78" s="1"/>
  <c r="F22" i="6"/>
  <c r="I50" i="43"/>
  <c r="B50" i="42" s="1"/>
  <c r="C50" i="44"/>
  <c r="C50" i="42" s="1"/>
  <c r="E50" i="44"/>
  <c r="D50" i="42" s="1"/>
  <c r="G50" i="44"/>
  <c r="E50" i="42" s="1"/>
  <c r="I50" i="44"/>
  <c r="F50" i="42" s="1"/>
  <c r="C50" i="45"/>
  <c r="G50" i="42" s="1"/>
  <c r="E50" i="45"/>
  <c r="H50" i="42" s="1"/>
  <c r="I51" i="45"/>
  <c r="I51" i="43" s="1"/>
  <c r="B51" i="42" s="1"/>
  <c r="I46" i="45"/>
  <c r="I46" i="43" s="1"/>
  <c r="B46" i="42" s="1"/>
  <c r="I44" i="45"/>
  <c r="I44" i="43" s="1"/>
  <c r="B44" i="42" s="1"/>
  <c r="I42" i="45"/>
  <c r="I42" i="43" s="1"/>
  <c r="B42" i="42" s="1"/>
  <c r="I38" i="45"/>
  <c r="I38" i="43" s="1"/>
  <c r="B38" i="42" s="1"/>
  <c r="I36" i="45"/>
  <c r="I36" i="43" s="1"/>
  <c r="B36" i="42" s="1"/>
  <c r="I32" i="45"/>
  <c r="I32" i="43" s="1"/>
  <c r="B32" i="42" s="1"/>
  <c r="I28" i="45"/>
  <c r="I28" i="43" s="1"/>
  <c r="B28" i="42" s="1"/>
  <c r="I24" i="45"/>
  <c r="I24" i="43" s="1"/>
  <c r="B24" i="42" s="1"/>
  <c r="B20" i="43"/>
  <c r="I18" i="45"/>
  <c r="I18" i="43" s="1"/>
  <c r="B18" i="42" s="1"/>
  <c r="I17" i="45"/>
  <c r="I17" i="43" s="1"/>
  <c r="B17" i="42" s="1"/>
  <c r="I16" i="45"/>
  <c r="I16" i="43" s="1"/>
  <c r="B16" i="42" s="1"/>
  <c r="H12" i="43"/>
  <c r="F51" i="6"/>
  <c r="E51"/>
  <c r="E45"/>
  <c r="C45" i="78" s="1"/>
  <c r="F45" i="6"/>
  <c r="F43"/>
  <c r="E43"/>
  <c r="C43" i="78" s="1"/>
  <c r="F39" i="6"/>
  <c r="E39"/>
  <c r="C39" i="78" s="1"/>
  <c r="J43" i="42"/>
  <c r="F14" i="5"/>
  <c r="I40" i="45"/>
  <c r="I40" i="43" s="1"/>
  <c r="B40" i="42" s="1"/>
  <c r="I34" i="45"/>
  <c r="I34" i="43" s="1"/>
  <c r="B34" i="42" s="1"/>
  <c r="I30" i="45"/>
  <c r="I30" i="43" s="1"/>
  <c r="B30" i="42" s="1"/>
  <c r="I26" i="45"/>
  <c r="I26" i="43" s="1"/>
  <c r="B26" i="42" s="1"/>
  <c r="I22" i="45"/>
  <c r="I22" i="43" s="1"/>
  <c r="B22" i="42" s="1"/>
  <c r="E12" i="6"/>
  <c r="C12" i="78" s="1"/>
  <c r="F12" i="6"/>
  <c r="G30" i="85"/>
  <c r="G25"/>
  <c r="E22" i="90"/>
  <c r="G50" i="45"/>
  <c r="J45" i="42"/>
  <c r="J21"/>
  <c r="F50" i="85"/>
  <c r="F13" i="49"/>
  <c r="G13" s="1"/>
  <c r="F15"/>
  <c r="G15" s="1"/>
  <c r="F16"/>
  <c r="K16" s="1"/>
  <c r="F17"/>
  <c r="F18"/>
  <c r="K18" s="1"/>
  <c r="F19"/>
  <c r="G19" s="1"/>
  <c r="F20"/>
  <c r="K20" s="1"/>
  <c r="F21"/>
  <c r="F22"/>
  <c r="K22" s="1"/>
  <c r="F23"/>
  <c r="G23" s="1"/>
  <c r="F24"/>
  <c r="G24" s="1"/>
  <c r="I24" i="78" s="1"/>
  <c r="F25" i="49"/>
  <c r="F26"/>
  <c r="G26" s="1"/>
  <c r="F27"/>
  <c r="F29"/>
  <c r="F30"/>
  <c r="F31"/>
  <c r="G31" s="1"/>
  <c r="F32"/>
  <c r="F33"/>
  <c r="G33" s="1"/>
  <c r="F34"/>
  <c r="F35"/>
  <c r="K35" s="1"/>
  <c r="F37"/>
  <c r="F38"/>
  <c r="G38" s="1"/>
  <c r="F40"/>
  <c r="F41"/>
  <c r="G41" s="1"/>
  <c r="F42"/>
  <c r="F45"/>
  <c r="K45" s="1"/>
  <c r="F46"/>
  <c r="G29"/>
  <c r="I29" i="78" s="1"/>
  <c r="K15" i="49"/>
  <c r="G16"/>
  <c r="J15" s="1"/>
  <c r="K14"/>
  <c r="G20"/>
  <c r="J19" s="1"/>
  <c r="K17"/>
  <c r="G17"/>
  <c r="G18"/>
  <c r="I18" i="78" s="1"/>
  <c r="K21" i="49"/>
  <c r="G21"/>
  <c r="I21" i="78" s="1"/>
  <c r="G22" i="49"/>
  <c r="I22" i="78" s="1"/>
  <c r="G25" i="49"/>
  <c r="J24" s="1"/>
  <c r="K25"/>
  <c r="K27"/>
  <c r="G27"/>
  <c r="I27" i="78" s="1"/>
  <c r="K30" i="49"/>
  <c r="G30"/>
  <c r="J29" s="1"/>
  <c r="K31"/>
  <c r="G32"/>
  <c r="J31" s="1"/>
  <c r="K32"/>
  <c r="K34"/>
  <c r="G34"/>
  <c r="J33" s="1"/>
  <c r="G37"/>
  <c r="I37" i="78" s="1"/>
  <c r="K37" i="49"/>
  <c r="K38"/>
  <c r="G40"/>
  <c r="I40" i="78" s="1"/>
  <c r="K40" i="49"/>
  <c r="G42"/>
  <c r="I42" i="78" s="1"/>
  <c r="K42" i="49"/>
  <c r="J42"/>
  <c r="G46"/>
  <c r="I46" i="78" s="1"/>
  <c r="K46" i="49"/>
  <c r="J16"/>
  <c r="I17" i="78"/>
  <c r="G17"/>
  <c r="G19"/>
  <c r="G13"/>
  <c r="G15"/>
  <c r="J21" i="49"/>
  <c r="G23" i="78"/>
  <c r="J17" i="49"/>
  <c r="G18" i="78"/>
  <c r="G20"/>
  <c r="G21"/>
  <c r="I25"/>
  <c r="G25"/>
  <c r="G26"/>
  <c r="J26" i="49"/>
  <c r="G27" i="78"/>
  <c r="G29"/>
  <c r="G30"/>
  <c r="G31"/>
  <c r="I32"/>
  <c r="G32"/>
  <c r="G33"/>
  <c r="I34"/>
  <c r="G34"/>
  <c r="G35"/>
  <c r="J36" i="49"/>
  <c r="G37" i="78"/>
  <c r="G38"/>
  <c r="J39" i="49"/>
  <c r="G40" i="78"/>
  <c r="G41"/>
  <c r="G42"/>
  <c r="G46"/>
  <c r="G45"/>
  <c r="E16" i="21"/>
  <c r="F16"/>
  <c r="E18"/>
  <c r="F18"/>
  <c r="E21"/>
  <c r="F21"/>
  <c r="E22"/>
  <c r="F22"/>
  <c r="E23"/>
  <c r="F23"/>
  <c r="I23"/>
  <c r="I27" s="1"/>
  <c r="F27"/>
  <c r="E27"/>
  <c r="J51" i="23"/>
  <c r="J52" s="1"/>
  <c r="J54" s="1"/>
  <c r="H54"/>
  <c r="J41" i="49" l="1"/>
  <c r="K33"/>
  <c r="I26" i="78"/>
  <c r="J25" i="49"/>
  <c r="J28"/>
  <c r="G45"/>
  <c r="K41"/>
  <c r="G35"/>
  <c r="K26"/>
  <c r="K13"/>
  <c r="J45"/>
  <c r="J15" i="42"/>
  <c r="J23"/>
  <c r="J37"/>
  <c r="J31"/>
  <c r="J19"/>
  <c r="I41" i="78"/>
  <c r="J40" i="49"/>
  <c r="I38" i="78"/>
  <c r="J37" i="49"/>
  <c r="I33" i="78"/>
  <c r="J32" i="49"/>
  <c r="J30"/>
  <c r="I31" i="78"/>
  <c r="I13"/>
  <c r="J13" i="49"/>
  <c r="D21" i="6"/>
  <c r="E21" i="90"/>
  <c r="D29" i="6"/>
  <c r="E29" i="90"/>
  <c r="D33" i="6"/>
  <c r="E33" i="90"/>
  <c r="D37" i="6"/>
  <c r="E37" i="90"/>
  <c r="D24" i="6"/>
  <c r="E24" i="90"/>
  <c r="D31" i="6"/>
  <c r="E31" i="90"/>
  <c r="D35" i="6"/>
  <c r="E35" i="90"/>
  <c r="I30" i="78"/>
  <c r="J20" i="49"/>
  <c r="I20" i="78"/>
  <c r="I16"/>
  <c r="K24" i="49"/>
  <c r="D42" i="6"/>
  <c r="E42" i="90"/>
  <c r="D40" i="6"/>
  <c r="E40" i="90"/>
  <c r="D30" i="6"/>
  <c r="E30" i="90"/>
  <c r="D28" i="6"/>
  <c r="E28" i="90"/>
  <c r="K19" i="49"/>
  <c r="K16" i="21"/>
  <c r="I23" i="78"/>
  <c r="J22" i="49"/>
  <c r="J18"/>
  <c r="I19" i="78"/>
  <c r="J14" i="49"/>
  <c r="I15" i="78"/>
  <c r="K21" i="21"/>
  <c r="K18"/>
  <c r="J29" i="42"/>
  <c r="D16" i="6"/>
  <c r="E16" i="90"/>
  <c r="D18" i="6"/>
  <c r="E18" i="90"/>
  <c r="D17" i="6"/>
  <c r="E17" i="90"/>
  <c r="D26" i="6"/>
  <c r="E26" i="90"/>
  <c r="D32" i="6"/>
  <c r="E32" i="90"/>
  <c r="D34" i="6"/>
  <c r="E34" i="90"/>
  <c r="D36" i="6"/>
  <c r="E36" i="90"/>
  <c r="D44" i="6"/>
  <c r="E44" i="90"/>
  <c r="D23" i="6"/>
  <c r="E23" i="90"/>
  <c r="D15" i="6"/>
  <c r="E15" i="90"/>
  <c r="D13" i="6"/>
  <c r="E13" i="90"/>
  <c r="D27" i="6"/>
  <c r="E27" i="90"/>
  <c r="D41" i="6"/>
  <c r="E41" i="90"/>
  <c r="D20" i="6"/>
  <c r="E20" i="90"/>
  <c r="D19" i="6"/>
  <c r="E19" i="90"/>
  <c r="D38" i="6"/>
  <c r="E38" i="90"/>
  <c r="D46" i="6"/>
  <c r="E46" i="90"/>
  <c r="F48" i="49"/>
  <c r="C39" i="44"/>
  <c r="C39" i="42" s="1"/>
  <c r="E39" i="44"/>
  <c r="D39" i="42" s="1"/>
  <c r="G39" i="44"/>
  <c r="E39" i="42" s="1"/>
  <c r="I39" i="44"/>
  <c r="F39" i="42" s="1"/>
  <c r="C39" i="45"/>
  <c r="G39" i="42" s="1"/>
  <c r="E39" i="45"/>
  <c r="H39" i="42" s="1"/>
  <c r="G39" i="45"/>
  <c r="I54" i="23"/>
  <c r="N32" s="1"/>
  <c r="K22" i="21"/>
  <c r="E35" i="44"/>
  <c r="D35" i="42" s="1"/>
  <c r="I35" i="44"/>
  <c r="F35" i="42" s="1"/>
  <c r="E35" i="45"/>
  <c r="H35" i="42" s="1"/>
  <c r="C35" i="44"/>
  <c r="C35" i="42" s="1"/>
  <c r="G35" i="44"/>
  <c r="E35" i="42" s="1"/>
  <c r="C35" i="45"/>
  <c r="G35" i="42" s="1"/>
  <c r="G35" i="45"/>
  <c r="K23" i="21"/>
  <c r="E51" i="22"/>
  <c r="N25" i="23" s="1"/>
  <c r="K22"/>
  <c r="N13" s="1"/>
  <c r="K46"/>
  <c r="N16" s="1"/>
  <c r="K40"/>
  <c r="N15" s="1"/>
  <c r="G54"/>
  <c r="N31" s="1"/>
  <c r="E54"/>
  <c r="N30" s="1"/>
  <c r="C54"/>
  <c r="N29" s="1"/>
  <c r="I51" i="22"/>
  <c r="N27" i="23" s="1"/>
  <c r="K49"/>
  <c r="N17" s="1"/>
  <c r="C51" i="22"/>
  <c r="N24" i="23" s="1"/>
  <c r="K52"/>
  <c r="N18" s="1"/>
  <c r="G51" i="22"/>
  <c r="N26" i="23" s="1"/>
  <c r="K51" i="22"/>
  <c r="N28" i="23" s="1"/>
  <c r="K51"/>
  <c r="K22" i="22"/>
  <c r="K43" i="23"/>
  <c r="K27"/>
  <c r="C40"/>
  <c r="K21"/>
  <c r="K42"/>
  <c r="K18"/>
  <c r="K31"/>
  <c r="C30"/>
  <c r="E25"/>
  <c r="E40"/>
  <c r="G42" i="22"/>
  <c r="K38"/>
  <c r="C30"/>
  <c r="E15"/>
  <c r="K33" i="23"/>
  <c r="G26"/>
  <c r="K19"/>
  <c r="K45"/>
  <c r="G39" i="22"/>
  <c r="K37" i="23"/>
  <c r="E36" i="22"/>
  <c r="K33"/>
  <c r="E20"/>
  <c r="E22"/>
  <c r="E28" i="23"/>
  <c r="G21"/>
  <c r="C22"/>
  <c r="E43" i="22"/>
  <c r="K38" i="23"/>
  <c r="E37" i="22"/>
  <c r="K34"/>
  <c r="E33"/>
  <c r="K20" i="23"/>
  <c r="I18" i="22"/>
  <c r="E16"/>
  <c r="G40"/>
  <c r="C18"/>
  <c r="C31" i="23"/>
  <c r="G25"/>
  <c r="I42" i="22"/>
  <c r="K39"/>
  <c r="G35"/>
  <c r="C15"/>
  <c r="G28" i="23"/>
  <c r="E21"/>
  <c r="G43" i="22"/>
  <c r="C39"/>
  <c r="G37"/>
  <c r="K35" i="23"/>
  <c r="G33" i="22"/>
  <c r="E19"/>
  <c r="I46"/>
  <c r="K34" i="23"/>
  <c r="G27"/>
  <c r="C21"/>
  <c r="I43" i="22"/>
  <c r="E39"/>
  <c r="I37"/>
  <c r="C36"/>
  <c r="I33"/>
  <c r="E40"/>
  <c r="C19"/>
  <c r="I16"/>
  <c r="C22"/>
  <c r="K18"/>
  <c r="K46"/>
  <c r="K14" i="23"/>
  <c r="K17" i="22"/>
  <c r="I27"/>
  <c r="G29"/>
  <c r="I30"/>
  <c r="E35"/>
  <c r="K43"/>
  <c r="E44"/>
  <c r="I44"/>
  <c r="C45"/>
  <c r="G45"/>
  <c r="K45"/>
  <c r="E15" i="23"/>
  <c r="C16"/>
  <c r="C17"/>
  <c r="C19"/>
  <c r="G19"/>
  <c r="C29"/>
  <c r="E30"/>
  <c r="E42"/>
  <c r="C38"/>
  <c r="C43"/>
  <c r="E36"/>
  <c r="E43"/>
  <c r="G36"/>
  <c r="E17" i="22"/>
  <c r="I17"/>
  <c r="E21"/>
  <c r="I21"/>
  <c r="C23"/>
  <c r="G23"/>
  <c r="K23"/>
  <c r="E25"/>
  <c r="I25"/>
  <c r="C26"/>
  <c r="G26"/>
  <c r="K26"/>
  <c r="G27"/>
  <c r="C28"/>
  <c r="G28"/>
  <c r="K28"/>
  <c r="I29"/>
  <c r="G30"/>
  <c r="C31"/>
  <c r="G31"/>
  <c r="K31"/>
  <c r="E32"/>
  <c r="C35"/>
  <c r="E16" i="23"/>
  <c r="E27"/>
  <c r="G30"/>
  <c r="E32"/>
  <c r="C33"/>
  <c r="G33"/>
  <c r="E34"/>
  <c r="G45"/>
  <c r="C42"/>
  <c r="E45"/>
  <c r="C45"/>
  <c r="G39"/>
  <c r="C37"/>
  <c r="E39"/>
  <c r="E46"/>
  <c r="E35"/>
  <c r="K54"/>
  <c r="K23"/>
  <c r="N14" s="1"/>
  <c r="I52"/>
  <c r="K26"/>
  <c r="I51"/>
  <c r="K30"/>
  <c r="G22"/>
  <c r="K25"/>
  <c r="I49"/>
  <c r="K28"/>
  <c r="K16"/>
  <c r="C26"/>
  <c r="C18"/>
  <c r="K42" i="22"/>
  <c r="C42"/>
  <c r="K36"/>
  <c r="I15"/>
  <c r="G40" i="23"/>
  <c r="K29"/>
  <c r="C23"/>
  <c r="E22"/>
  <c r="C43" i="22"/>
  <c r="I38"/>
  <c r="C37"/>
  <c r="I34"/>
  <c r="C33"/>
  <c r="G18"/>
  <c r="K32" i="23"/>
  <c r="E26"/>
  <c r="G18"/>
  <c r="K44"/>
  <c r="I39" i="22"/>
  <c r="C38"/>
  <c r="G36"/>
  <c r="C34"/>
  <c r="I40"/>
  <c r="G19"/>
  <c r="K17" i="23"/>
  <c r="G22" i="22"/>
  <c r="I19"/>
  <c r="I22"/>
  <c r="C28" i="23"/>
  <c r="C25"/>
  <c r="E42" i="22"/>
  <c r="K37"/>
  <c r="G15"/>
  <c r="G31" i="23"/>
  <c r="G23"/>
  <c r="E18"/>
  <c r="K39"/>
  <c r="E38" i="22"/>
  <c r="I36"/>
  <c r="E34"/>
  <c r="K40"/>
  <c r="G16"/>
  <c r="E46"/>
  <c r="E31" i="23"/>
  <c r="E23"/>
  <c r="K15"/>
  <c r="G46" i="22"/>
  <c r="G38"/>
  <c r="K36" i="23"/>
  <c r="G34" i="22"/>
  <c r="K32"/>
  <c r="K19"/>
  <c r="E18"/>
  <c r="K15"/>
  <c r="C40"/>
  <c r="C16"/>
  <c r="C46"/>
  <c r="C17"/>
  <c r="C27"/>
  <c r="C29"/>
  <c r="K29"/>
  <c r="I32"/>
  <c r="K35"/>
  <c r="C44"/>
  <c r="G44"/>
  <c r="K44"/>
  <c r="E45"/>
  <c r="I45"/>
  <c r="C15" i="23"/>
  <c r="G15"/>
  <c r="G16"/>
  <c r="E17"/>
  <c r="E19"/>
  <c r="C27"/>
  <c r="E29"/>
  <c r="E44"/>
  <c r="G37"/>
  <c r="G46"/>
  <c r="C39"/>
  <c r="G44"/>
  <c r="G38"/>
  <c r="K16" i="22"/>
  <c r="G17"/>
  <c r="C21"/>
  <c r="G21"/>
  <c r="K21"/>
  <c r="E23"/>
  <c r="I23"/>
  <c r="C25"/>
  <c r="G25"/>
  <c r="K25"/>
  <c r="E26"/>
  <c r="I26"/>
  <c r="E27"/>
  <c r="K27"/>
  <c r="E28"/>
  <c r="I28"/>
  <c r="E29"/>
  <c r="E30"/>
  <c r="K30"/>
  <c r="E31"/>
  <c r="I31"/>
  <c r="C32"/>
  <c r="G32"/>
  <c r="I35"/>
  <c r="G17" i="23"/>
  <c r="G29"/>
  <c r="C32"/>
  <c r="G32"/>
  <c r="E33"/>
  <c r="C34"/>
  <c r="G34"/>
  <c r="G42"/>
  <c r="G35"/>
  <c r="C36"/>
  <c r="G43"/>
  <c r="E38"/>
  <c r="C44"/>
  <c r="E37"/>
  <c r="C46"/>
  <c r="C35"/>
  <c r="G48" i="49"/>
  <c r="I48" i="78" s="1"/>
  <c r="K48" i="49"/>
  <c r="K27" i="21"/>
  <c r="J23" i="49"/>
  <c r="C30" i="44"/>
  <c r="C30" i="42" s="1"/>
  <c r="E30" i="44"/>
  <c r="D30" i="42" s="1"/>
  <c r="G30" i="44"/>
  <c r="E30" i="42" s="1"/>
  <c r="I30" i="44"/>
  <c r="F30" i="42" s="1"/>
  <c r="C30" i="45"/>
  <c r="G30" i="42" s="1"/>
  <c r="E30" i="45"/>
  <c r="H30" i="42" s="1"/>
  <c r="G30" i="45"/>
  <c r="C34" i="44"/>
  <c r="C34" i="42" s="1"/>
  <c r="E34" i="44"/>
  <c r="D34" i="42" s="1"/>
  <c r="G34" i="44"/>
  <c r="E34" i="42" s="1"/>
  <c r="I34" i="44"/>
  <c r="F34" i="42" s="1"/>
  <c r="C34" i="45"/>
  <c r="G34" i="42" s="1"/>
  <c r="E34" i="45"/>
  <c r="H34" i="42" s="1"/>
  <c r="G34" i="45"/>
  <c r="D14" i="6"/>
  <c r="E14" i="90"/>
  <c r="C17" i="44"/>
  <c r="C17" i="42" s="1"/>
  <c r="E17" i="44"/>
  <c r="D17" i="42" s="1"/>
  <c r="G17" i="44"/>
  <c r="E17" i="42" s="1"/>
  <c r="I17" i="44"/>
  <c r="F17" i="42" s="1"/>
  <c r="C17" i="45"/>
  <c r="G17" i="42" s="1"/>
  <c r="E17" i="45"/>
  <c r="H17" i="42" s="1"/>
  <c r="G17" i="45"/>
  <c r="C28" i="44"/>
  <c r="C28" i="42" s="1"/>
  <c r="E28" i="44"/>
  <c r="D28" i="42" s="1"/>
  <c r="G28" i="44"/>
  <c r="E28" i="42" s="1"/>
  <c r="I28" i="44"/>
  <c r="F28" i="42" s="1"/>
  <c r="C28" i="45"/>
  <c r="G28" i="42" s="1"/>
  <c r="E28" i="45"/>
  <c r="H28" i="42" s="1"/>
  <c r="G28" i="45"/>
  <c r="C38" i="44"/>
  <c r="C38" i="42" s="1"/>
  <c r="E38" i="44"/>
  <c r="D38" i="42" s="1"/>
  <c r="G38" i="44"/>
  <c r="E38" i="42" s="1"/>
  <c r="I38" i="44"/>
  <c r="F38" i="42" s="1"/>
  <c r="C38" i="45"/>
  <c r="G38" i="42" s="1"/>
  <c r="E38" i="45"/>
  <c r="H38" i="42" s="1"/>
  <c r="G38" i="45"/>
  <c r="C42" i="44"/>
  <c r="C42" i="42" s="1"/>
  <c r="E42" i="44"/>
  <c r="D42" i="42" s="1"/>
  <c r="G42" i="44"/>
  <c r="E42" i="42" s="1"/>
  <c r="I42" i="44"/>
  <c r="F42" i="42" s="1"/>
  <c r="C42" i="45"/>
  <c r="G42" i="42" s="1"/>
  <c r="E42" i="45"/>
  <c r="H42" i="42" s="1"/>
  <c r="G42" i="45"/>
  <c r="C46" i="44"/>
  <c r="C46" i="42" s="1"/>
  <c r="E46" i="44"/>
  <c r="D46" i="42" s="1"/>
  <c r="I46" i="44"/>
  <c r="F46" i="42" s="1"/>
  <c r="E46" i="45"/>
  <c r="H46" i="42" s="1"/>
  <c r="G46" i="45"/>
  <c r="G46" i="44"/>
  <c r="E46" i="42" s="1"/>
  <c r="C46" i="45"/>
  <c r="G46" i="42" s="1"/>
  <c r="J50"/>
  <c r="C22" i="44"/>
  <c r="C22" i="42" s="1"/>
  <c r="E22" i="44"/>
  <c r="D22" i="42" s="1"/>
  <c r="G22" i="44"/>
  <c r="E22" i="42" s="1"/>
  <c r="I22" i="44"/>
  <c r="F22" i="42" s="1"/>
  <c r="C22" i="45"/>
  <c r="G22" i="42" s="1"/>
  <c r="E22" i="45"/>
  <c r="H22" i="42" s="1"/>
  <c r="G22" i="45"/>
  <c r="C26" i="44"/>
  <c r="C26" i="42" s="1"/>
  <c r="E26" i="44"/>
  <c r="D26" i="42" s="1"/>
  <c r="G26" i="44"/>
  <c r="E26" i="42" s="1"/>
  <c r="I26" i="44"/>
  <c r="F26" i="42" s="1"/>
  <c r="C26" i="45"/>
  <c r="G26" i="42" s="1"/>
  <c r="E26" i="45"/>
  <c r="H26" i="42" s="1"/>
  <c r="G26" i="45"/>
  <c r="C40" i="44"/>
  <c r="C40" i="42" s="1"/>
  <c r="E40" i="44"/>
  <c r="D40" i="42" s="1"/>
  <c r="G40" i="44"/>
  <c r="E40" i="42" s="1"/>
  <c r="I40" i="44"/>
  <c r="F40" i="42" s="1"/>
  <c r="C40" i="45"/>
  <c r="G40" i="42" s="1"/>
  <c r="E40" i="45"/>
  <c r="H40" i="42" s="1"/>
  <c r="G40" i="45"/>
  <c r="I12"/>
  <c r="I12" i="43" s="1"/>
  <c r="B12" i="42" s="1"/>
  <c r="C16" i="44"/>
  <c r="C16" i="42" s="1"/>
  <c r="E16" i="44"/>
  <c r="D16" i="42" s="1"/>
  <c r="G16" i="44"/>
  <c r="E16" i="42" s="1"/>
  <c r="I16" i="44"/>
  <c r="F16" i="42" s="1"/>
  <c r="C16" i="45"/>
  <c r="G16" i="42" s="1"/>
  <c r="E16" i="45"/>
  <c r="H16" i="42" s="1"/>
  <c r="G16" i="45"/>
  <c r="C18" i="44"/>
  <c r="C18" i="42" s="1"/>
  <c r="E18" i="44"/>
  <c r="D18" i="42" s="1"/>
  <c r="G18" i="44"/>
  <c r="E18" i="42" s="1"/>
  <c r="I18" i="44"/>
  <c r="F18" i="42" s="1"/>
  <c r="C18" i="45"/>
  <c r="G18" i="42" s="1"/>
  <c r="E18" i="45"/>
  <c r="H18" i="42" s="1"/>
  <c r="G18" i="45"/>
  <c r="F20" i="43"/>
  <c r="C24" i="44"/>
  <c r="C24" i="42" s="1"/>
  <c r="E24" i="44"/>
  <c r="D24" i="42" s="1"/>
  <c r="G24" i="44"/>
  <c r="E24" i="42" s="1"/>
  <c r="I24" i="44"/>
  <c r="F24" i="42" s="1"/>
  <c r="C24" i="45"/>
  <c r="G24" i="42" s="1"/>
  <c r="E24" i="45"/>
  <c r="H24" i="42" s="1"/>
  <c r="G24" i="45"/>
  <c r="C32" i="44"/>
  <c r="C32" i="42" s="1"/>
  <c r="E32" i="44"/>
  <c r="D32" i="42" s="1"/>
  <c r="G32" i="44"/>
  <c r="E32" i="42" s="1"/>
  <c r="I32" i="44"/>
  <c r="F32" i="42" s="1"/>
  <c r="C32" i="45"/>
  <c r="G32" i="42" s="1"/>
  <c r="E32" i="45"/>
  <c r="H32" i="42" s="1"/>
  <c r="G32" i="45"/>
  <c r="C36" i="44"/>
  <c r="C36" i="42" s="1"/>
  <c r="E36" i="44"/>
  <c r="D36" i="42" s="1"/>
  <c r="G36" i="44"/>
  <c r="E36" i="42" s="1"/>
  <c r="I36" i="44"/>
  <c r="F36" i="42" s="1"/>
  <c r="C36" i="45"/>
  <c r="G36" i="42" s="1"/>
  <c r="E36" i="45"/>
  <c r="H36" i="42" s="1"/>
  <c r="G36" i="45"/>
  <c r="C44" i="44"/>
  <c r="C44" i="42" s="1"/>
  <c r="E44" i="44"/>
  <c r="D44" i="42" s="1"/>
  <c r="G44" i="44"/>
  <c r="E44" i="42" s="1"/>
  <c r="I44" i="44"/>
  <c r="F44" i="42" s="1"/>
  <c r="C44" i="45"/>
  <c r="G44" i="42" s="1"/>
  <c r="E44" i="45"/>
  <c r="H44" i="42" s="1"/>
  <c r="G44" i="45"/>
  <c r="C51" i="44"/>
  <c r="C51" i="42" s="1"/>
  <c r="E51" i="44"/>
  <c r="D51" i="42" s="1"/>
  <c r="G51" i="44"/>
  <c r="E51" i="42" s="1"/>
  <c r="I51" i="44"/>
  <c r="F51" i="42" s="1"/>
  <c r="C51" i="45"/>
  <c r="G51" i="42" s="1"/>
  <c r="E51" i="45"/>
  <c r="H51" i="42" s="1"/>
  <c r="G51" i="45"/>
  <c r="J30" i="42"/>
  <c r="J38"/>
  <c r="I35" i="78" l="1"/>
  <c r="J34" i="49"/>
  <c r="J44"/>
  <c r="I45" i="78"/>
  <c r="E35" i="6"/>
  <c r="C35" i="78" s="1"/>
  <c r="F35" i="6"/>
  <c r="E31"/>
  <c r="C31" i="78" s="1"/>
  <c r="F31" i="6"/>
  <c r="F24"/>
  <c r="E24"/>
  <c r="C24" i="78" s="1"/>
  <c r="E37" i="6"/>
  <c r="C37" i="78" s="1"/>
  <c r="F37" i="6"/>
  <c r="E33"/>
  <c r="C33" i="78" s="1"/>
  <c r="F33" i="6"/>
  <c r="F29"/>
  <c r="E29"/>
  <c r="C29" i="78" s="1"/>
  <c r="E21" i="6"/>
  <c r="C21" i="78" s="1"/>
  <c r="F21" i="6"/>
  <c r="J46" i="42"/>
  <c r="J17"/>
  <c r="F28" i="6"/>
  <c r="E28"/>
  <c r="C28" i="78" s="1"/>
  <c r="E30" i="6"/>
  <c r="C30" i="78" s="1"/>
  <c r="F30" i="6"/>
  <c r="F40"/>
  <c r="E40"/>
  <c r="C40" i="78" s="1"/>
  <c r="F42" i="6"/>
  <c r="E42"/>
  <c r="C42" i="78" s="1"/>
  <c r="J42" i="42"/>
  <c r="J28"/>
  <c r="J34"/>
  <c r="F46" i="6"/>
  <c r="E46"/>
  <c r="C46" i="78" s="1"/>
  <c r="E38" i="6"/>
  <c r="C38" i="78" s="1"/>
  <c r="F38" i="6"/>
  <c r="E19"/>
  <c r="C19" i="78" s="1"/>
  <c r="F19" i="6"/>
  <c r="E20"/>
  <c r="C20" i="78" s="1"/>
  <c r="F20" i="6"/>
  <c r="E41"/>
  <c r="C41" i="78" s="1"/>
  <c r="F41" i="6"/>
  <c r="E27"/>
  <c r="C27" i="78" s="1"/>
  <c r="F27" i="6"/>
  <c r="E13"/>
  <c r="C13" i="78" s="1"/>
  <c r="F13" i="6"/>
  <c r="F15"/>
  <c r="E15"/>
  <c r="C15" i="78" s="1"/>
  <c r="E23" i="6"/>
  <c r="C23" i="78" s="1"/>
  <c r="F23" i="6"/>
  <c r="E44"/>
  <c r="C44" i="78" s="1"/>
  <c r="F44" i="6"/>
  <c r="F36"/>
  <c r="E36"/>
  <c r="C36" i="78" s="1"/>
  <c r="F34" i="6"/>
  <c r="E34"/>
  <c r="C34" i="78" s="1"/>
  <c r="F32" i="6"/>
  <c r="E32"/>
  <c r="C32" i="78" s="1"/>
  <c r="E26" i="6"/>
  <c r="C26" i="78" s="1"/>
  <c r="F26" i="6"/>
  <c r="F17"/>
  <c r="E17"/>
  <c r="C17" i="78" s="1"/>
  <c r="E18" i="6"/>
  <c r="C18" i="78" s="1"/>
  <c r="F18" i="6"/>
  <c r="F16"/>
  <c r="E16"/>
  <c r="C16" i="78" s="1"/>
  <c r="J35" i="42"/>
  <c r="J39"/>
  <c r="J36"/>
  <c r="J24"/>
  <c r="J16"/>
  <c r="J40"/>
  <c r="J22"/>
  <c r="J51"/>
  <c r="J44"/>
  <c r="J32"/>
  <c r="J18"/>
  <c r="J26"/>
  <c r="N34" i="23"/>
  <c r="N20"/>
  <c r="C12" i="44"/>
  <c r="C12" i="42" s="1"/>
  <c r="E12" i="44"/>
  <c r="D12" i="42" s="1"/>
  <c r="G12" i="44"/>
  <c r="E12" i="42" s="1"/>
  <c r="I12" i="44"/>
  <c r="F12" i="42" s="1"/>
  <c r="C12" i="45"/>
  <c r="G12" i="42" s="1"/>
  <c r="E12" i="45"/>
  <c r="H12" i="42" s="1"/>
  <c r="G12" i="45"/>
  <c r="H20" i="43"/>
  <c r="E14" i="6"/>
  <c r="C14" i="78" s="1"/>
  <c r="F14" i="6"/>
  <c r="J12" i="42" l="1"/>
  <c r="I20" i="45"/>
  <c r="C20" i="44" l="1"/>
  <c r="C20" i="42" s="1"/>
  <c r="E20" i="44"/>
  <c r="D20" i="42" s="1"/>
  <c r="G20" i="44"/>
  <c r="E20" i="42" s="1"/>
  <c r="I20" i="44"/>
  <c r="F20" i="42" s="1"/>
  <c r="C20" i="45"/>
  <c r="G20" i="42" s="1"/>
  <c r="E20" i="45"/>
  <c r="H20" i="42" s="1"/>
  <c r="G20" i="45"/>
  <c r="I20" i="43"/>
  <c r="B20" i="42" s="1"/>
  <c r="J20" l="1"/>
  <c r="G25" i="9"/>
  <c r="H48" i="14"/>
  <c r="G48"/>
  <c r="F48"/>
  <c r="C48" i="43"/>
  <c r="A53" i="44" s="1"/>
  <c r="D48" i="52"/>
  <c r="C48"/>
  <c r="B48"/>
  <c r="D48" i="46"/>
  <c r="C48"/>
  <c r="B48"/>
  <c r="F48" i="47"/>
  <c r="E48"/>
  <c r="D48"/>
  <c r="F48" i="81"/>
  <c r="D48"/>
  <c r="B48"/>
  <c r="F48" i="51"/>
  <c r="D48"/>
  <c r="B48" i="33" l="1"/>
  <c r="C48" i="51"/>
  <c r="E48"/>
  <c r="G48"/>
  <c r="C48" i="81"/>
  <c r="E48"/>
  <c r="E25" i="7"/>
  <c r="D25" s="1"/>
  <c r="H25" i="20"/>
  <c r="G25" i="81"/>
  <c r="C25" i="15"/>
  <c r="F25" s="1"/>
  <c r="B48" i="47"/>
  <c r="D48" i="43"/>
  <c r="D48" i="38"/>
  <c r="C11" i="15"/>
  <c r="B48" i="14"/>
  <c r="J11" i="9"/>
  <c r="D48" i="14"/>
  <c r="C48" i="39"/>
  <c r="E48"/>
  <c r="C48" i="47"/>
  <c r="A54" s="1"/>
  <c r="G11" i="81"/>
  <c r="B48" i="51"/>
  <c r="B48" i="38"/>
  <c r="H11" i="20"/>
  <c r="G11" i="9"/>
  <c r="C48" i="14"/>
  <c r="E11" i="7"/>
  <c r="E48" i="14"/>
  <c r="G11" i="8"/>
  <c r="B48" i="15"/>
  <c r="S13" i="2" s="1"/>
  <c r="C48" i="40"/>
  <c r="G48" i="39"/>
  <c r="H25" i="7" l="1"/>
  <c r="G25"/>
  <c r="I25"/>
  <c r="F25"/>
  <c r="J25" i="20"/>
  <c r="E25" i="41"/>
  <c r="E25" i="16"/>
  <c r="E48" i="7"/>
  <c r="D11"/>
  <c r="G11"/>
  <c r="F11"/>
  <c r="H11"/>
  <c r="I11"/>
  <c r="H48" i="20"/>
  <c r="F11" i="15"/>
  <c r="C48"/>
  <c r="G48" i="81"/>
  <c r="F48" i="7"/>
  <c r="H52" i="20" l="1"/>
  <c r="G48" i="7"/>
  <c r="I48"/>
  <c r="H48"/>
  <c r="E11" i="41"/>
  <c r="F48" i="15"/>
  <c r="E11" i="16"/>
  <c r="E48" s="1"/>
  <c r="J11" i="20"/>
  <c r="R14" i="2" l="1"/>
  <c r="E48" i="41"/>
  <c r="J48" i="20"/>
  <c r="F25" i="46" l="1"/>
  <c r="F25" i="52" l="1"/>
  <c r="B25" i="43" s="1"/>
  <c r="D48" i="88"/>
  <c r="J48" i="2"/>
  <c r="E25" i="78"/>
  <c r="E48" i="52"/>
  <c r="G48" i="43"/>
  <c r="T13" i="2"/>
  <c r="C48" i="88"/>
  <c r="K48" i="2"/>
  <c r="D48" l="1"/>
  <c r="F25" i="43"/>
  <c r="H25" s="1"/>
  <c r="I25" i="11"/>
  <c r="B25" i="18"/>
  <c r="D25" i="8"/>
  <c r="G25" i="10"/>
  <c r="J25" i="26"/>
  <c r="G25"/>
  <c r="J25" i="10"/>
  <c r="G48" i="2"/>
  <c r="H48"/>
  <c r="H55" s="1"/>
  <c r="E48"/>
  <c r="F48"/>
  <c r="G25" i="54"/>
  <c r="G25" i="28"/>
  <c r="G25" i="8"/>
  <c r="J25" i="9"/>
  <c r="B25" i="40"/>
  <c r="D25" s="1"/>
  <c r="F25" i="45"/>
  <c r="D25" i="10"/>
  <c r="H25" i="18"/>
  <c r="D25" i="9"/>
  <c r="B25" i="20"/>
  <c r="B25" i="39"/>
  <c r="B25" i="76"/>
  <c r="D25" i="27"/>
  <c r="D25" i="76" s="1"/>
  <c r="B25" i="19"/>
  <c r="F25" i="11"/>
  <c r="B48" i="10"/>
  <c r="D11"/>
  <c r="B11" i="41"/>
  <c r="B48" i="8"/>
  <c r="B11" i="18"/>
  <c r="D11" i="8"/>
  <c r="F48" i="44"/>
  <c r="B48" i="25"/>
  <c r="H48" i="9"/>
  <c r="F48" i="25"/>
  <c r="B48" i="11"/>
  <c r="B48" i="45"/>
  <c r="H48" i="44"/>
  <c r="D48" i="35"/>
  <c r="B11" i="20"/>
  <c r="H48" i="10"/>
  <c r="J11"/>
  <c r="B11" i="40"/>
  <c r="B48" i="34"/>
  <c r="E48" i="26"/>
  <c r="G11"/>
  <c r="D48" i="25"/>
  <c r="D11" i="19"/>
  <c r="D11" i="26"/>
  <c r="E48" i="46"/>
  <c r="F11"/>
  <c r="E48" i="9"/>
  <c r="B11" i="76"/>
  <c r="B48" i="27"/>
  <c r="D11"/>
  <c r="D11" i="76" s="1"/>
  <c r="F48" i="34"/>
  <c r="D11" i="54"/>
  <c r="G48" i="11"/>
  <c r="I11"/>
  <c r="L11" i="2"/>
  <c r="C48"/>
  <c r="E48" i="8"/>
  <c r="H48" i="26"/>
  <c r="J11"/>
  <c r="B48" i="82"/>
  <c r="E48" i="10"/>
  <c r="G11"/>
  <c r="B48" i="44"/>
  <c r="D48" i="45"/>
  <c r="B11" i="39"/>
  <c r="D48" i="34"/>
  <c r="D48" i="82"/>
  <c r="H11" i="18"/>
  <c r="B48" i="9"/>
  <c r="D11"/>
  <c r="H48" i="25"/>
  <c r="B11" i="19"/>
  <c r="D48" i="11"/>
  <c r="F11"/>
  <c r="B48" i="35"/>
  <c r="B48" i="7"/>
  <c r="E48" i="43"/>
  <c r="F14"/>
  <c r="L25" i="2"/>
  <c r="C25" i="5" s="1"/>
  <c r="D48" i="36"/>
  <c r="E11" i="18"/>
  <c r="J55" i="2"/>
  <c r="F11" i="45"/>
  <c r="E11" i="78"/>
  <c r="B48" i="54"/>
  <c r="B48" i="76" l="1"/>
  <c r="E55" i="2"/>
  <c r="D25" i="86"/>
  <c r="E25" i="20"/>
  <c r="D25" i="29"/>
  <c r="D25" i="19"/>
  <c r="D25" i="26"/>
  <c r="J25" i="54"/>
  <c r="D25" i="18"/>
  <c r="B48" i="88"/>
  <c r="B48" i="26"/>
  <c r="D48" s="1"/>
  <c r="E25" i="18"/>
  <c r="I25" i="45"/>
  <c r="C25" s="1"/>
  <c r="G25" i="42" s="1"/>
  <c r="D25" i="54"/>
  <c r="E25" i="76"/>
  <c r="G25" i="29"/>
  <c r="F25" i="41"/>
  <c r="G25" s="1"/>
  <c r="B25"/>
  <c r="B48" s="1"/>
  <c r="G25" i="19"/>
  <c r="D25" i="28"/>
  <c r="J25"/>
  <c r="F25" i="39"/>
  <c r="H25"/>
  <c r="D25"/>
  <c r="D25" i="20"/>
  <c r="E25" i="5"/>
  <c r="I48" i="2"/>
  <c r="E48" i="29"/>
  <c r="G11"/>
  <c r="B48" i="37"/>
  <c r="B48" i="29"/>
  <c r="D11"/>
  <c r="H48" i="28"/>
  <c r="J11"/>
  <c r="D48" i="7"/>
  <c r="J48" i="26"/>
  <c r="G48" i="8"/>
  <c r="L48" i="2"/>
  <c r="C11" i="5"/>
  <c r="C48" s="1"/>
  <c r="D48" i="54"/>
  <c r="G48" i="9"/>
  <c r="E48" i="28"/>
  <c r="G11"/>
  <c r="B48" i="40"/>
  <c r="D11"/>
  <c r="J48" i="9"/>
  <c r="D48" i="8"/>
  <c r="E48" i="18"/>
  <c r="G11"/>
  <c r="F11" i="41"/>
  <c r="F48" i="36"/>
  <c r="D48" i="37"/>
  <c r="F55" i="2"/>
  <c r="B48" i="86"/>
  <c r="D11"/>
  <c r="F48" i="11"/>
  <c r="B48" i="19"/>
  <c r="D48" i="9"/>
  <c r="H48" i="18"/>
  <c r="E11" i="5"/>
  <c r="E48" s="1"/>
  <c r="B48" i="39"/>
  <c r="D11"/>
  <c r="F11"/>
  <c r="H11"/>
  <c r="G48" i="10"/>
  <c r="I48" i="11"/>
  <c r="D48" i="27"/>
  <c r="D48" i="76" s="1"/>
  <c r="F48" i="46"/>
  <c r="F11" i="52"/>
  <c r="D48" i="19"/>
  <c r="F11"/>
  <c r="G48" i="26"/>
  <c r="J48" i="10"/>
  <c r="B48" i="20"/>
  <c r="D11"/>
  <c r="B48" i="18"/>
  <c r="D11"/>
  <c r="D11" i="41"/>
  <c r="C11"/>
  <c r="D48" i="10"/>
  <c r="D48" i="44"/>
  <c r="F14" i="45"/>
  <c r="H14" i="43"/>
  <c r="D55" i="2"/>
  <c r="K55"/>
  <c r="G25" i="76" l="1"/>
  <c r="G25" i="18"/>
  <c r="F25" i="19"/>
  <c r="G25" i="20"/>
  <c r="D48" i="90"/>
  <c r="I25" i="19"/>
  <c r="G24" i="41"/>
  <c r="D25"/>
  <c r="C25"/>
  <c r="G25" i="44"/>
  <c r="E25" i="42" s="1"/>
  <c r="I25" i="43"/>
  <c r="B25" i="42" s="1"/>
  <c r="C25" i="44"/>
  <c r="C25" i="42" s="1"/>
  <c r="I25" i="44"/>
  <c r="F25" i="42" s="1"/>
  <c r="E25" i="44"/>
  <c r="D25" i="42" s="1"/>
  <c r="E25" i="45"/>
  <c r="H25" i="42" s="1"/>
  <c r="G25" i="45"/>
  <c r="E48" i="54"/>
  <c r="G11"/>
  <c r="E11" i="76"/>
  <c r="H48" i="54"/>
  <c r="J11"/>
  <c r="I55" i="2"/>
  <c r="D48" i="20"/>
  <c r="B53"/>
  <c r="B52"/>
  <c r="B11" i="43"/>
  <c r="F48" i="52"/>
  <c r="G48" i="18"/>
  <c r="D46" i="40"/>
  <c r="D48"/>
  <c r="B48" i="28"/>
  <c r="G11" i="19"/>
  <c r="I11" i="90" s="1"/>
  <c r="D11" i="28"/>
  <c r="J48"/>
  <c r="G48" i="29"/>
  <c r="B48" i="36"/>
  <c r="G11" i="90"/>
  <c r="G55" i="2"/>
  <c r="D48" i="41"/>
  <c r="C48"/>
  <c r="D48" i="18"/>
  <c r="F48" i="19"/>
  <c r="D48" i="39"/>
  <c r="H48"/>
  <c r="F48"/>
  <c r="D48" i="86"/>
  <c r="F48" i="41"/>
  <c r="G48" s="1"/>
  <c r="G11"/>
  <c r="G48" i="28"/>
  <c r="D48" i="29"/>
  <c r="E11" i="20"/>
  <c r="I14" i="45"/>
  <c r="G14" s="1"/>
  <c r="F48"/>
  <c r="T14" i="2"/>
  <c r="B27" i="85" l="1"/>
  <c r="E27" s="1"/>
  <c r="D25" i="5"/>
  <c r="G25" i="90"/>
  <c r="I25"/>
  <c r="J25" i="42"/>
  <c r="E48" i="20"/>
  <c r="G11"/>
  <c r="G48" i="19"/>
  <c r="I48" i="90" s="1"/>
  <c r="I11" i="19"/>
  <c r="L54" i="2"/>
  <c r="L55" s="1"/>
  <c r="C55"/>
  <c r="J48" i="54"/>
  <c r="G48"/>
  <c r="B13" i="85"/>
  <c r="B48" i="5"/>
  <c r="D11"/>
  <c r="F11" i="76" s="1"/>
  <c r="G48" i="90"/>
  <c r="D48" i="28"/>
  <c r="F11" i="43"/>
  <c r="B48"/>
  <c r="G11" i="76"/>
  <c r="E48"/>
  <c r="I14" i="43"/>
  <c r="B14" i="42" s="1"/>
  <c r="C14" i="44"/>
  <c r="C14" i="42" s="1"/>
  <c r="G14" i="44"/>
  <c r="E14" i="42" s="1"/>
  <c r="C14" i="45"/>
  <c r="G14" i="42" s="1"/>
  <c r="I14" i="44"/>
  <c r="F14" i="42" s="1"/>
  <c r="E14" i="45"/>
  <c r="H14" i="42" s="1"/>
  <c r="E14" i="44"/>
  <c r="D14" i="42" s="1"/>
  <c r="E48" i="78"/>
  <c r="G27" i="85" l="1"/>
  <c r="J27"/>
  <c r="F25" i="5"/>
  <c r="C25" i="38"/>
  <c r="E25"/>
  <c r="I25" i="20"/>
  <c r="C25" i="35"/>
  <c r="G25" i="34"/>
  <c r="H25" i="11"/>
  <c r="C25" i="36"/>
  <c r="C25" i="25"/>
  <c r="F25" i="9"/>
  <c r="F25" i="54"/>
  <c r="F25" i="28"/>
  <c r="C25" i="34"/>
  <c r="C25" i="27"/>
  <c r="C25" i="76" s="1"/>
  <c r="I25" i="25"/>
  <c r="E25" i="11"/>
  <c r="G25" i="25"/>
  <c r="C25" i="8"/>
  <c r="F25" i="10"/>
  <c r="I25" i="26"/>
  <c r="F25"/>
  <c r="I25" i="10"/>
  <c r="C25" i="82"/>
  <c r="C25" i="11"/>
  <c r="F25" i="8"/>
  <c r="I25" i="9"/>
  <c r="C25" i="10"/>
  <c r="E25" i="82"/>
  <c r="C25" i="9"/>
  <c r="E25" i="35"/>
  <c r="E25" i="34"/>
  <c r="C25" i="7"/>
  <c r="E25" i="25"/>
  <c r="C25" i="86"/>
  <c r="E25" i="37"/>
  <c r="C25" i="29"/>
  <c r="C25" i="18"/>
  <c r="C25" i="19"/>
  <c r="C25" i="54"/>
  <c r="C25" i="28"/>
  <c r="I25"/>
  <c r="C25" i="26"/>
  <c r="I25" i="54"/>
  <c r="C25" i="37"/>
  <c r="F25" i="29"/>
  <c r="G25" i="36"/>
  <c r="E25"/>
  <c r="C25" i="20"/>
  <c r="I25" i="18"/>
  <c r="F25" i="76"/>
  <c r="F25" i="18"/>
  <c r="E25" i="19"/>
  <c r="F25" i="20"/>
  <c r="H25" i="19"/>
  <c r="F11" i="5"/>
  <c r="D48"/>
  <c r="F48" i="76" s="1"/>
  <c r="E11" i="38"/>
  <c r="C11"/>
  <c r="I11" i="20"/>
  <c r="E11" i="36"/>
  <c r="C11" i="8"/>
  <c r="C11" i="25"/>
  <c r="I11" i="9"/>
  <c r="G11" i="25"/>
  <c r="C11" i="11"/>
  <c r="I11" i="10"/>
  <c r="F11" i="26"/>
  <c r="E11" i="25"/>
  <c r="C11" i="26"/>
  <c r="F11" i="9"/>
  <c r="C11" i="27"/>
  <c r="C11" i="76" s="1"/>
  <c r="G11" i="34"/>
  <c r="H11" i="11"/>
  <c r="F11" i="8"/>
  <c r="F11" i="10"/>
  <c r="E11" i="34"/>
  <c r="C11" i="9"/>
  <c r="E11" i="11"/>
  <c r="C11" i="35"/>
  <c r="C11" i="7"/>
  <c r="C11" i="10"/>
  <c r="E11" i="35"/>
  <c r="C11" i="34"/>
  <c r="C11" i="54"/>
  <c r="I11" i="26"/>
  <c r="C11" i="82"/>
  <c r="E11"/>
  <c r="I11" i="25"/>
  <c r="C11" i="29"/>
  <c r="F11" i="28"/>
  <c r="G11" i="36"/>
  <c r="C11" i="86"/>
  <c r="C11" i="19"/>
  <c r="E11"/>
  <c r="C11" i="18"/>
  <c r="F11" i="29"/>
  <c r="C11" i="37"/>
  <c r="I11" i="28"/>
  <c r="F11" i="18"/>
  <c r="E11" i="37"/>
  <c r="I11" i="18"/>
  <c r="C11" i="20"/>
  <c r="F11" i="54"/>
  <c r="I11"/>
  <c r="C11" i="28"/>
  <c r="C11" i="36"/>
  <c r="E13" i="85"/>
  <c r="B50"/>
  <c r="G48" i="20"/>
  <c r="F48"/>
  <c r="F11"/>
  <c r="G48" i="76"/>
  <c r="H11" i="43"/>
  <c r="F48"/>
  <c r="R11" i="2"/>
  <c r="T11" s="1"/>
  <c r="I48" i="19"/>
  <c r="H11"/>
  <c r="J14" i="42"/>
  <c r="H48" i="19" l="1"/>
  <c r="D25" i="6"/>
  <c r="E25" i="90"/>
  <c r="J13" i="85"/>
  <c r="G13"/>
  <c r="E50"/>
  <c r="D11" i="6"/>
  <c r="F48" i="5"/>
  <c r="E48" i="90" s="1"/>
  <c r="E11"/>
  <c r="I11" i="45"/>
  <c r="H48" i="43"/>
  <c r="N27" i="21"/>
  <c r="E48" i="38"/>
  <c r="C48"/>
  <c r="I48" i="20"/>
  <c r="F48" i="9"/>
  <c r="C48" i="8"/>
  <c r="E48" i="11"/>
  <c r="F48" i="26"/>
  <c r="I48" i="10"/>
  <c r="C48" i="35"/>
  <c r="E48" i="82"/>
  <c r="E48" i="25"/>
  <c r="C48" i="11"/>
  <c r="C48" i="25"/>
  <c r="C48" i="7"/>
  <c r="I48" i="26"/>
  <c r="F48" i="8"/>
  <c r="C48" i="54"/>
  <c r="C48" i="26"/>
  <c r="I48" i="9"/>
  <c r="C48"/>
  <c r="F48" i="10"/>
  <c r="H48" i="11"/>
  <c r="C48" i="27"/>
  <c r="C48" i="76" s="1"/>
  <c r="C48" i="10"/>
  <c r="I48" i="25"/>
  <c r="E48" i="34"/>
  <c r="G48"/>
  <c r="E48" i="35"/>
  <c r="G48" i="25"/>
  <c r="E48" i="36"/>
  <c r="C48" i="82"/>
  <c r="C48" i="34"/>
  <c r="I48" i="18"/>
  <c r="E48" i="37"/>
  <c r="C48" i="86"/>
  <c r="F48" i="28"/>
  <c r="C48" i="29"/>
  <c r="C48" i="20"/>
  <c r="F48" i="18"/>
  <c r="I48" i="28"/>
  <c r="F48" i="29"/>
  <c r="C48" i="19"/>
  <c r="G48" i="36"/>
  <c r="C48" i="18"/>
  <c r="E48" i="19"/>
  <c r="C48" i="37"/>
  <c r="I48" i="54"/>
  <c r="F48"/>
  <c r="C48" i="28"/>
  <c r="C48" i="36"/>
  <c r="E25" i="6" l="1"/>
  <c r="C25" i="78" s="1"/>
  <c r="F25" i="6"/>
  <c r="N17" i="21"/>
  <c r="N19"/>
  <c r="N21"/>
  <c r="N13"/>
  <c r="N16"/>
  <c r="N22"/>
  <c r="N23"/>
  <c r="N15"/>
  <c r="N18"/>
  <c r="N24"/>
  <c r="I11" i="43"/>
  <c r="B11" i="42" s="1"/>
  <c r="G11" i="44"/>
  <c r="E11" i="42" s="1"/>
  <c r="C11" i="45"/>
  <c r="G11" i="42" s="1"/>
  <c r="I11" i="44"/>
  <c r="F11" i="42" s="1"/>
  <c r="C11" i="44"/>
  <c r="C11" i="42" s="1"/>
  <c r="E11" i="45"/>
  <c r="H11" i="42" s="1"/>
  <c r="G11" i="45"/>
  <c r="E11" i="44"/>
  <c r="D11" i="42" s="1"/>
  <c r="I48" i="45"/>
  <c r="J50" i="85"/>
  <c r="G50"/>
  <c r="E11" i="6"/>
  <c r="C11" i="78" s="1"/>
  <c r="F11" i="6"/>
  <c r="D48"/>
  <c r="I48" i="43"/>
  <c r="B48" i="42" s="1"/>
  <c r="F48" i="6" l="1"/>
  <c r="E48"/>
  <c r="C48" i="78" s="1"/>
  <c r="L11" i="42"/>
  <c r="G48" i="45"/>
  <c r="E48"/>
  <c r="H48" i="42" s="1"/>
  <c r="L17" s="1"/>
  <c r="R12" i="2"/>
  <c r="T12" s="1"/>
  <c r="I48" i="44"/>
  <c r="F48" i="42" s="1"/>
  <c r="L15" s="1"/>
  <c r="C48" i="45"/>
  <c r="G48" i="42" s="1"/>
  <c r="L16" s="1"/>
  <c r="G48" i="44"/>
  <c r="E48" i="42" s="1"/>
  <c r="L14" s="1"/>
  <c r="C48" i="44"/>
  <c r="C48" i="42" s="1"/>
  <c r="L12" s="1"/>
  <c r="E48" i="44"/>
  <c r="D48" i="42" s="1"/>
  <c r="L13" s="1"/>
  <c r="J11"/>
  <c r="L19" l="1"/>
  <c r="J48"/>
</calcChain>
</file>

<file path=xl/comments1.xml><?xml version="1.0" encoding="utf-8"?>
<comments xmlns="http://schemas.openxmlformats.org/spreadsheetml/2006/main">
  <authors>
    <author>GPizzaro</author>
  </authors>
  <commentList>
    <comment ref="J8" authorId="0">
      <text>
        <r>
          <rPr>
            <b/>
            <sz val="8"/>
            <color indexed="81"/>
            <rFont val="Tahoma"/>
            <family val="2"/>
          </rPr>
          <t>GPizzaro:</t>
        </r>
        <r>
          <rPr>
            <sz val="8"/>
            <color indexed="81"/>
            <rFont val="Tahoma"/>
            <family val="2"/>
          </rPr>
          <t xml:space="preserve">
Portioned assessment come from W:\Edusfb\Total School Assessment\YYYY F assessment.</t>
        </r>
      </text>
    </comment>
    <comment ref="H16" authorId="0">
      <text>
        <r>
          <rPr>
            <b/>
            <sz val="8"/>
            <color indexed="81"/>
            <rFont val="Tahoma"/>
            <family val="2"/>
          </rPr>
          <t>GPizzaro:</t>
        </r>
        <r>
          <rPr>
            <sz val="8"/>
            <color indexed="81"/>
            <rFont val="Tahoma"/>
            <family val="2"/>
          </rPr>
          <t xml:space="preserve">
Take it from the folder</t>
        </r>
      </text>
    </comment>
  </commentList>
</comments>
</file>

<file path=xl/comments2.xml><?xml version="1.0" encoding="utf-8"?>
<comments xmlns="http://schemas.openxmlformats.org/spreadsheetml/2006/main">
  <authors>
    <author>GPizzaro</author>
  </authors>
  <commentList>
    <comment ref="O6" authorId="0">
      <text>
        <r>
          <rPr>
            <sz val="8"/>
            <color indexed="81"/>
            <rFont val="Tahoma"/>
            <family val="2"/>
          </rPr>
          <t xml:space="preserve">
ASSESSMENT POR RESIDENT PUPIL
W:\Edusfb\Support\2009-10\Support Files Frozen\DSFYY
PAGE Scdatabase COLUMN AC</t>
        </r>
      </text>
    </comment>
    <comment ref="P6" authorId="0">
      <text>
        <r>
          <rPr>
            <sz val="8"/>
            <color indexed="81"/>
            <rFont val="Tahoma"/>
            <family val="2"/>
          </rPr>
          <t xml:space="preserve">
ASSESSMENT POR RESIDENT PUPIL
W:\Edusfb\Support\2009-10\Support Files Frozen\DSFYY
PAGE Scdatabase COLUMN AC</t>
        </r>
      </text>
    </comment>
  </commentList>
</comments>
</file>

<file path=xl/sharedStrings.xml><?xml version="1.0" encoding="utf-8"?>
<sst xmlns="http://schemas.openxmlformats.org/spreadsheetml/2006/main" count="3233" uniqueCount="704">
  <si>
    <t>PUPIL / EDUCATOR</t>
  </si>
  <si>
    <t>RATIO</t>
  </si>
  <si>
    <t>PAGE 1 OF 3</t>
  </si>
  <si>
    <t xml:space="preserve"> </t>
  </si>
  <si>
    <t>PAGE 2 OF 3</t>
  </si>
  <si>
    <t>PAGE 3 OF 3</t>
  </si>
  <si>
    <t xml:space="preserve"> FRAME STUDENT STATISTICS</t>
  </si>
  <si>
    <t>PAGE 1 OF 2</t>
  </si>
  <si>
    <t xml:space="preserve">PAGE 2 OF 2 </t>
  </si>
  <si>
    <t xml:space="preserve"> FUNCTION 100: REGULAR INSTRUCTION</t>
  </si>
  <si>
    <t>ADMINISTRATION /</t>
  </si>
  <si>
    <t>CLINICAL AND</t>
  </si>
  <si>
    <t>BUSINESS AND</t>
  </si>
  <si>
    <t xml:space="preserve"> FUNCTION 400: COMMUNITY EDUCATION AND SERVICES</t>
  </si>
  <si>
    <t>INSTRUCTIONAL MGMT.</t>
  </si>
  <si>
    <t>MANAGEMENT</t>
  </si>
  <si>
    <t>PROFESSIONAL AND</t>
  </si>
  <si>
    <t>CURRICULUM CONSULTING</t>
  </si>
  <si>
    <t>COUNSELLING AND</t>
  </si>
  <si>
    <t xml:space="preserve"> FUNCTION 700: TRANSPORTATION OF PUPILS</t>
  </si>
  <si>
    <t xml:space="preserve"> FUNCTION 800: OPERATIONS AND MAINTENANCE</t>
  </si>
  <si>
    <t xml:space="preserve"> FUNCTION 900: FISCAL</t>
  </si>
  <si>
    <t>TECHNOLOGY</t>
  </si>
  <si>
    <t>TRANSPORTATION</t>
  </si>
  <si>
    <t>OPERATIONS AND</t>
  </si>
  <si>
    <t>REGULAR TRANSPORTATION</t>
  </si>
  <si>
    <t>ADMINISTRATION, REGULAR AND OTHER</t>
  </si>
  <si>
    <t>REPAIRS AND</t>
  </si>
  <si>
    <t>LESS</t>
  </si>
  <si>
    <t xml:space="preserve">TOTAL </t>
  </si>
  <si>
    <t>ADMINISTRATION</t>
  </si>
  <si>
    <t>ENGLISH LANGUAGE</t>
  </si>
  <si>
    <t>FRANÇAIS</t>
  </si>
  <si>
    <t>FRENCH IMMERSION</t>
  </si>
  <si>
    <t>COORDINATION</t>
  </si>
  <si>
    <t>RELATED SERVICES</t>
  </si>
  <si>
    <t>SUPPORT SERVICES</t>
  </si>
  <si>
    <t>COMMUNITY SERVICES</t>
  </si>
  <si>
    <t>BOARD OF TRUSTEES</t>
  </si>
  <si>
    <t>AND ADMINISTRATION</t>
  </si>
  <si>
    <t>ADMIN. SERVICES</t>
  </si>
  <si>
    <t>INFORMATION SERVICES</t>
  </si>
  <si>
    <t>STAFF DEVELOPMENT</t>
  </si>
  <si>
    <t>AND DEVELOPMENT</t>
  </si>
  <si>
    <t>OTHER</t>
  </si>
  <si>
    <t>ALLOWANCES IN LIEU</t>
  </si>
  <si>
    <t>BOARDING OF</t>
  </si>
  <si>
    <t>SCHOOL BUILDINGS</t>
  </si>
  <si>
    <t>HEALTH AND</t>
  </si>
  <si>
    <t>REGULAR INSTRUCTION</t>
  </si>
  <si>
    <t>COMMUNITY EDUCATION</t>
  </si>
  <si>
    <t>OF PUPILS</t>
  </si>
  <si>
    <t>MAINTENANCE</t>
  </si>
  <si>
    <t>FISCAL</t>
  </si>
  <si>
    <t>TOTAL</t>
  </si>
  <si>
    <t>(PROGRAM 720)</t>
  </si>
  <si>
    <t>(PROGRAMS 710, 720 AND 790)</t>
  </si>
  <si>
    <t>REPLACEMENTS</t>
  </si>
  <si>
    <t>COMMUNITY</t>
  </si>
  <si>
    <t>EXPENDITURES</t>
  </si>
  <si>
    <t>PER</t>
  </si>
  <si>
    <t>&amp; RECREATION</t>
  </si>
  <si>
    <t>REGULAR</t>
  </si>
  <si>
    <t>OF TRANSPORTATION</t>
  </si>
  <si>
    <t>STUDENTS</t>
  </si>
  <si>
    <t>OTHER BUILDINGS</t>
  </si>
  <si>
    <t>GROUNDS</t>
  </si>
  <si>
    <t>DEBT SERVICES</t>
  </si>
  <si>
    <t>EDUCATION LEVY</t>
  </si>
  <si>
    <t>ENGLISH</t>
  </si>
  <si>
    <t>FRENCH</t>
  </si>
  <si>
    <t>NURSERY</t>
  </si>
  <si>
    <t xml:space="preserve">REGULAR </t>
  </si>
  <si>
    <t>TOTAL KM.</t>
  </si>
  <si>
    <t>COST</t>
  </si>
  <si>
    <t>LOADED</t>
  </si>
  <si>
    <t>COST PER</t>
  </si>
  <si>
    <t>EDUCATION</t>
  </si>
  <si>
    <t>FOR PER PUPIL</t>
  </si>
  <si>
    <t xml:space="preserve">    TRANSFERS BY FUNCTION</t>
  </si>
  <si>
    <t>AREA</t>
  </si>
  <si>
    <t xml:space="preserve"> DIVISION / DISTRICT</t>
  </si>
  <si>
    <t>AMOUNT</t>
  </si>
  <si>
    <t>%</t>
  </si>
  <si>
    <t>PUPIL</t>
  </si>
  <si>
    <t>LANGUAGE</t>
  </si>
  <si>
    <t>IMMERSION</t>
  </si>
  <si>
    <t>BILINGUAL</t>
  </si>
  <si>
    <t>PUPILS</t>
  </si>
  <si>
    <t>(ROUTES)</t>
  </si>
  <si>
    <t>PER KM.</t>
  </si>
  <si>
    <t>KM.</t>
  </si>
  <si>
    <t>(LOG BOOK)</t>
  </si>
  <si>
    <t xml:space="preserve">PER PUPIL </t>
  </si>
  <si>
    <t>RECHARGE</t>
  </si>
  <si>
    <t>TRANSFERS</t>
  </si>
  <si>
    <t>TOTAL PORTIONED ASSESSMENT, SPECIAL LEVY AND MILL RATES</t>
  </si>
  <si>
    <t>DATE:</t>
  </si>
  <si>
    <t>PROVINCIAL GOVERNMENT</t>
  </si>
  <si>
    <t>BASE SUPPORT</t>
  </si>
  <si>
    <t>CATEGORICAL SUPPORT</t>
  </si>
  <si>
    <t>PRIVATE</t>
  </si>
  <si>
    <t>% OF OPERATING FUND REVENUES</t>
  </si>
  <si>
    <t>FEDERAL</t>
  </si>
  <si>
    <t>MUNICIPAL</t>
  </si>
  <si>
    <t>OTHER SCHOOL</t>
  </si>
  <si>
    <t>ORGANIZATIONS</t>
  </si>
  <si>
    <t>NON-PROVINCIAL</t>
  </si>
  <si>
    <t>OPERATING</t>
  </si>
  <si>
    <t>GOVERNMENTS</t>
  </si>
  <si>
    <t>URBAN</t>
  </si>
  <si>
    <t>FARM</t>
  </si>
  <si>
    <t>SPECIAL</t>
  </si>
  <si>
    <t>ASSESSMENT</t>
  </si>
  <si>
    <t>COUNSELLING</t>
  </si>
  <si>
    <t>LIBRARY</t>
  </si>
  <si>
    <t>PROFESSIONAL</t>
  </si>
  <si>
    <t>BASE</t>
  </si>
  <si>
    <t>CATEGORICAL</t>
  </si>
  <si>
    <t>PROGRAM</t>
  </si>
  <si>
    <t>PROVINCIAL</t>
  </si>
  <si>
    <t>FUND</t>
  </si>
  <si>
    <t>GOVERNMENT</t>
  </si>
  <si>
    <t>DIVISIONS</t>
  </si>
  <si>
    <t>FIRST NATIONS</t>
  </si>
  <si>
    <t>&amp; INDIVIDUALS</t>
  </si>
  <si>
    <t>REVENUE</t>
  </si>
  <si>
    <t>SCHOOL</t>
  </si>
  <si>
    <t>FIRST</t>
  </si>
  <si>
    <t>ORG.'S &amp;</t>
  </si>
  <si>
    <t>DEBT</t>
  </si>
  <si>
    <t>CAPITAL</t>
  </si>
  <si>
    <t>AND FARM</t>
  </si>
  <si>
    <t>LAND AND</t>
  </si>
  <si>
    <t>LEVY</t>
  </si>
  <si>
    <t>MINING</t>
  </si>
  <si>
    <t>SUPPORT</t>
  </si>
  <si>
    <t>OCCUPANCY</t>
  </si>
  <si>
    <t>AND GUIDANCE</t>
  </si>
  <si>
    <t>SERVICES</t>
  </si>
  <si>
    <t>DEVELOPMENT</t>
  </si>
  <si>
    <t>NATIONS</t>
  </si>
  <si>
    <t>INDIVIDUALS</t>
  </si>
  <si>
    <t>BUILDINGS</t>
  </si>
  <si>
    <t>EQUIPMENT</t>
  </si>
  <si>
    <t>RESIDENTIAL</t>
  </si>
  <si>
    <t xml:space="preserve">OTHER  </t>
  </si>
  <si>
    <t>SPECIAL LEVY</t>
  </si>
  <si>
    <t>OTHER DIVISIONS</t>
  </si>
  <si>
    <t>OBJECT</t>
  </si>
  <si>
    <t>EMPLOYEE</t>
  </si>
  <si>
    <t>SUPPLIES AND</t>
  </si>
  <si>
    <t>SALARIES</t>
  </si>
  <si>
    <t>BENEFITS</t>
  </si>
  <si>
    <t>MATERIALS</t>
  </si>
  <si>
    <t>TOTALS</t>
  </si>
  <si>
    <t>COMMUNITY EDUCATION &amp; SERVICES</t>
  </si>
  <si>
    <t>TRANSPORTATION OF PUPILS</t>
  </si>
  <si>
    <t>OPERATIONS AND MAINTENANCE</t>
  </si>
  <si>
    <t>PAGE 2 OF 2</t>
  </si>
  <si>
    <t>FUNCTION</t>
  </si>
  <si>
    <t>INSTRUCTION</t>
  </si>
  <si>
    <t>EMPLOYEE BENEFITS AND ALLOWANCES</t>
  </si>
  <si>
    <t>FRAME STUDENT STATISTICS</t>
  </si>
  <si>
    <t xml:space="preserve">PAGE 1 OF 2 </t>
  </si>
  <si>
    <t>NO. OF</t>
  </si>
  <si>
    <t>%  IN DUAL TRACK SCHOOLS</t>
  </si>
  <si>
    <t>F.T.E.</t>
  </si>
  <si>
    <t>SUPPLEMENTARY DATA FOR FRAME REPORT</t>
  </si>
  <si>
    <t>CHECK</t>
  </si>
  <si>
    <t>ENROLMENTS - HEADCOUNT, FRAME AND ELIGIBLE</t>
  </si>
  <si>
    <t>ENROLMENT</t>
  </si>
  <si>
    <t>FRAME PUPIL / TEACHER RATIOS</t>
  </si>
  <si>
    <t>PUPIL / TEACHER RATIOS</t>
  </si>
  <si>
    <t>INSURANCE</t>
  </si>
  <si>
    <t>EMPLOYEE BENEFITS</t>
  </si>
  <si>
    <t>SUPPLIES &amp; MATERIALS</t>
  </si>
  <si>
    <t>OPERATIONS &amp; MAINTENANCE</t>
  </si>
  <si>
    <t>INSTRUCTIONAL &amp; PUPIL SUPPORT SERVICES</t>
  </si>
  <si>
    <t>OTHER RESOURCE</t>
  </si>
  <si>
    <t>DIVISIONAL</t>
  </si>
  <si>
    <t>DIVISIONAL ADMINISTRATION</t>
  </si>
  <si>
    <t xml:space="preserve"> FUNCTION 500: DIVISIONAL ADMINISTRATION</t>
  </si>
  <si>
    <t>PRE-KINDERGARTEN</t>
  </si>
  <si>
    <t xml:space="preserve">N/A </t>
  </si>
  <si>
    <t>ACTUAL</t>
  </si>
  <si>
    <t>ESTIMATE</t>
  </si>
  <si>
    <t>SENIOR YEARS</t>
  </si>
  <si>
    <t>EXPENDITURE</t>
  </si>
  <si>
    <t>(1)</t>
  </si>
  <si>
    <t>- 10 -</t>
  </si>
  <si>
    <t>PER RESIDENT</t>
  </si>
  <si>
    <t>STATISTICAL SUMMARY</t>
  </si>
  <si>
    <t>TRANSPORTED</t>
  </si>
  <si>
    <t>CURRICULAR</t>
  </si>
  <si>
    <t>INFORMATION</t>
  </si>
  <si>
    <t>EARLY</t>
  </si>
  <si>
    <t>INTERVENTION</t>
  </si>
  <si>
    <t>PAGE 1 OF 5</t>
  </si>
  <si>
    <t>PAGE 2 OF 5</t>
  </si>
  <si>
    <t>PAGE 3 OF 5</t>
  </si>
  <si>
    <t>PAGE 4 OF 5</t>
  </si>
  <si>
    <t>PAGE 5 OF 5</t>
  </si>
  <si>
    <t>ABORIGINAL</t>
  </si>
  <si>
    <t>ACADEMIC</t>
  </si>
  <si>
    <t>PROGRAMS</t>
  </si>
  <si>
    <t>LITERACY</t>
  </si>
  <si>
    <t>YEAR</t>
  </si>
  <si>
    <t>(Grants-</t>
  </si>
  <si>
    <t>in-Lieu)</t>
  </si>
  <si>
    <t>AND SERVICES</t>
  </si>
  <si>
    <t>ADULT LEARNING</t>
  </si>
  <si>
    <t>ADULT LEARNING CENTRES</t>
  </si>
  <si>
    <t>ACHIEVEMENT</t>
  </si>
  <si>
    <t>AND OTHER</t>
  </si>
  <si>
    <t>- 13 -</t>
  </si>
  <si>
    <t>- 12 -</t>
  </si>
  <si>
    <t>SQ. FT. PER</t>
  </si>
  <si>
    <t>INSTRUCTIONAL</t>
  </si>
  <si>
    <t>SCHOOLS</t>
  </si>
  <si>
    <t>FUNDING OF</t>
  </si>
  <si>
    <t>FUNDING OF SCHOOLS PROGRAM (CONT'D)</t>
  </si>
  <si>
    <t>FUNDING OF SCHOOLS PROGRAM</t>
  </si>
  <si>
    <t>TOTAL FUNDING</t>
  </si>
  <si>
    <t>OF SCHOOLS</t>
  </si>
  <si>
    <t>TECHNOLOGY EDUCATION</t>
  </si>
  <si>
    <t>CONTINUING</t>
  </si>
  <si>
    <t>REPAIRS</t>
  </si>
  <si>
    <t>SPARSITY</t>
  </si>
  <si>
    <t>EQUALIZATION</t>
  </si>
  <si>
    <t xml:space="preserve"> BEAUTIFUL PLAINS</t>
  </si>
  <si>
    <t xml:space="preserve"> BORDER LAND</t>
  </si>
  <si>
    <t xml:space="preserve"> BRANDON</t>
  </si>
  <si>
    <t xml:space="preserve"> EVERGREEN</t>
  </si>
  <si>
    <t xml:space="preserve"> FLIN FLON</t>
  </si>
  <si>
    <t xml:space="preserve"> FORT LA BOSSE</t>
  </si>
  <si>
    <t xml:space="preserve"> FRONTIER</t>
  </si>
  <si>
    <t xml:space="preserve"> GARDEN VALLEY</t>
  </si>
  <si>
    <t xml:space="preserve"> HANOVER</t>
  </si>
  <si>
    <t xml:space="preserve"> INTERLAKE</t>
  </si>
  <si>
    <t xml:space="preserve"> KELSEY</t>
  </si>
  <si>
    <t xml:space="preserve"> LAKESHORE</t>
  </si>
  <si>
    <t xml:space="preserve"> LORD SELKIRK</t>
  </si>
  <si>
    <t xml:space="preserve"> LOUIS RIEL</t>
  </si>
  <si>
    <t xml:space="preserve"> MOUNTAIN VIEW</t>
  </si>
  <si>
    <t xml:space="preserve"> MYSTERY LAKE</t>
  </si>
  <si>
    <t xml:space="preserve"> PARK WEST</t>
  </si>
  <si>
    <t xml:space="preserve"> PEMBINA TRAILS</t>
  </si>
  <si>
    <t xml:space="preserve"> PINE CREEK</t>
  </si>
  <si>
    <t xml:space="preserve"> PORTAGE LA PRAIRIE</t>
  </si>
  <si>
    <t xml:space="preserve"> PRAIRIE ROSE</t>
  </si>
  <si>
    <t xml:space="preserve"> PRAIRIE SPIRIT</t>
  </si>
  <si>
    <t xml:space="preserve"> RED RIVER VALLEY</t>
  </si>
  <si>
    <t xml:space="preserve"> RIVER EAST TRANSCONA</t>
  </si>
  <si>
    <t xml:space="preserve"> ROLLING RIVER</t>
  </si>
  <si>
    <t xml:space="preserve"> SEINE RIVER</t>
  </si>
  <si>
    <t xml:space="preserve"> SEVEN OAKS</t>
  </si>
  <si>
    <t xml:space="preserve"> SOUTHWEST HORIZON</t>
  </si>
  <si>
    <t xml:space="preserve"> ST. JAMES-ASSINIBOIA</t>
  </si>
  <si>
    <t xml:space="preserve"> SUNRISE</t>
  </si>
  <si>
    <t xml:space="preserve"> SWAN VALLEY</t>
  </si>
  <si>
    <t xml:space="preserve"> TURTLE MOUNTAIN</t>
  </si>
  <si>
    <t xml:space="preserve"> TURTLE RIVER</t>
  </si>
  <si>
    <t xml:space="preserve"> WESTERN</t>
  </si>
  <si>
    <t xml:space="preserve"> WINNIPEG</t>
  </si>
  <si>
    <t xml:space="preserve"> PROVINCE</t>
  </si>
  <si>
    <t xml:space="preserve"> WHITESHELL</t>
  </si>
  <si>
    <t>MEDIA CENTRE</t>
  </si>
  <si>
    <t xml:space="preserve"> L.G.D. OF PINAWA</t>
  </si>
  <si>
    <t xml:space="preserve"> NOT IN ANY DIVISION</t>
  </si>
  <si>
    <t xml:space="preserve"> DIVISION/DISTRICT TOTAL</t>
  </si>
  <si>
    <t>FIELD TRIPS</t>
  </si>
  <si>
    <t>EXPENSES</t>
  </si>
  <si>
    <t xml:space="preserve">CO. </t>
  </si>
  <si>
    <t>DIVISION/DISTRICT</t>
  </si>
  <si>
    <t>BE</t>
  </si>
  <si>
    <t>BO</t>
  </si>
  <si>
    <t>BR</t>
  </si>
  <si>
    <t>DI</t>
  </si>
  <si>
    <t>EV</t>
  </si>
  <si>
    <t>FL</t>
  </si>
  <si>
    <t>FO</t>
  </si>
  <si>
    <t>FR</t>
  </si>
  <si>
    <t>GA</t>
  </si>
  <si>
    <t>HA</t>
  </si>
  <si>
    <t>IN</t>
  </si>
  <si>
    <t>KE</t>
  </si>
  <si>
    <t>LA</t>
  </si>
  <si>
    <t>LO</t>
  </si>
  <si>
    <t>LR</t>
  </si>
  <si>
    <t>MO</t>
  </si>
  <si>
    <t>MY</t>
  </si>
  <si>
    <t>PA</t>
  </si>
  <si>
    <t>PE</t>
  </si>
  <si>
    <t>PI</t>
  </si>
  <si>
    <t>PO</t>
  </si>
  <si>
    <t>PR</t>
  </si>
  <si>
    <t>PS</t>
  </si>
  <si>
    <t>RE</t>
  </si>
  <si>
    <t>RI</t>
  </si>
  <si>
    <t>RO</t>
  </si>
  <si>
    <t>SE</t>
  </si>
  <si>
    <t>SO</t>
  </si>
  <si>
    <t>SR</t>
  </si>
  <si>
    <t>ST</t>
  </si>
  <si>
    <t>SU</t>
  </si>
  <si>
    <t>SW</t>
  </si>
  <si>
    <t>TM</t>
  </si>
  <si>
    <t>TR</t>
  </si>
  <si>
    <t>WE</t>
  </si>
  <si>
    <t>WI</t>
  </si>
  <si>
    <t>WT</t>
  </si>
  <si>
    <t>XW</t>
  </si>
  <si>
    <t>OPERATIONS &amp;</t>
  </si>
  <si>
    <t>CURRICULUM</t>
  </si>
  <si>
    <t>FUNCTION 500</t>
  </si>
  <si>
    <t>PROGRAM 605</t>
  </si>
  <si>
    <t>PROGRAM 710</t>
  </si>
  <si>
    <t>PROGRAM 810</t>
  </si>
  <si>
    <t>CONSULTING /</t>
  </si>
  <si>
    <t>LIABILITY</t>
  </si>
  <si>
    <t>PORTION OF</t>
  </si>
  <si>
    <t>SELF-FUNDED</t>
  </si>
  <si>
    <t>ADMIN.</t>
  </si>
  <si>
    <t xml:space="preserve"> &amp; ADMIN.</t>
  </si>
  <si>
    <t>CENTRES</t>
  </si>
  <si>
    <t>PLUS</t>
  </si>
  <si>
    <t>TO</t>
  </si>
  <si>
    <t>AS % OF</t>
  </si>
  <si>
    <t>LESS ADULT</t>
  </si>
  <si>
    <t>LEARNING</t>
  </si>
  <si>
    <t xml:space="preserve"> FUNCTION 300: ADULT LEARNING CENTRES</t>
  </si>
  <si>
    <t>LOCAL TAXATION AND ASSESSMENT PER RESIDENT PUPIL</t>
  </si>
  <si>
    <t>MILL RATE</t>
  </si>
  <si>
    <t xml:space="preserve">  TRUSTEES REMUNERATION</t>
  </si>
  <si>
    <t xml:space="preserve">  EXECUTIVE MANAGERIAL, &amp; SUPERVISORY</t>
  </si>
  <si>
    <t xml:space="preserve">  INSTRUCTIONAL - TEACHING</t>
  </si>
  <si>
    <t xml:space="preserve">  INSTRUCTIONAL - OTHER</t>
  </si>
  <si>
    <t xml:space="preserve">  TECHNICAL, SPECIALIZED AND SERVICE</t>
  </si>
  <si>
    <t xml:space="preserve">  SECRETARIAL, CLERICAL AND OTHER</t>
  </si>
  <si>
    <t xml:space="preserve">  CLINICIAN</t>
  </si>
  <si>
    <t xml:space="preserve">  INFORMATION TECHNOLOGY</t>
  </si>
  <si>
    <t xml:space="preserve">  TOTAL SALARIES</t>
  </si>
  <si>
    <t xml:space="preserve">  PROFESSIONAL, TECHNICAL &amp; SPECIALIZED</t>
  </si>
  <si>
    <t xml:space="preserve">  COMMUNICATIONS</t>
  </si>
  <si>
    <t xml:space="preserve">  UTILITY SERVICES</t>
  </si>
  <si>
    <t xml:space="preserve">  TRANSPORTATION OF PUPILS</t>
  </si>
  <si>
    <t xml:space="preserve">  TUITION</t>
  </si>
  <si>
    <t xml:space="preserve">  PRINTING AND BINDING</t>
  </si>
  <si>
    <t xml:space="preserve">  INSURANCE AND BOND PREMIUMS</t>
  </si>
  <si>
    <t xml:space="preserve">  MAINTENANCE AND REPAIR SERVICES</t>
  </si>
  <si>
    <t xml:space="preserve">  RENTALS</t>
  </si>
  <si>
    <t xml:space="preserve">  ADVERTISING</t>
  </si>
  <si>
    <t xml:space="preserve">  DUES AND FEES</t>
  </si>
  <si>
    <t xml:space="preserve">  PROFESSIONAL AND STAFF DEVELOPMENT</t>
  </si>
  <si>
    <t xml:space="preserve">  INFORMATION TECHNOLOGY SERVICES</t>
  </si>
  <si>
    <t xml:space="preserve">  TOTAL SERVICES</t>
  </si>
  <si>
    <t>SUPPLIES AND EQUIPMENT</t>
  </si>
  <si>
    <t xml:space="preserve">  SUPPLIES</t>
  </si>
  <si>
    <t xml:space="preserve">  CURRICULAR AND MEDIA MATERIALS</t>
  </si>
  <si>
    <t xml:space="preserve">  MINOR EQUIPMENT</t>
  </si>
  <si>
    <t xml:space="preserve">  INFORMATION TECHNOLOGY EQUIPMENT</t>
  </si>
  <si>
    <t xml:space="preserve">  TOTAL SUPPLIES AND EQUIPMENT</t>
  </si>
  <si>
    <t xml:space="preserve">  DEBT SERVICES</t>
  </si>
  <si>
    <t xml:space="preserve">  OTHER GOVERNMENT AUTHORITIES</t>
  </si>
  <si>
    <t xml:space="preserve">  TOTAL TRANSFERS</t>
  </si>
  <si>
    <t>PROVINCE</t>
  </si>
  <si>
    <t>LIBRARY /</t>
  </si>
  <si>
    <t>ADMIN. COSTS</t>
  </si>
  <si>
    <t>PAGE 1 0F 2</t>
  </si>
  <si>
    <t>PAGE 2 0F 2</t>
  </si>
  <si>
    <t>ADJUSTED</t>
  </si>
  <si>
    <t>(from page 3)</t>
  </si>
  <si>
    <t>CALCULATION OF EXPENDITURE BASE AND ADMINISTRATION PERCENTAGE</t>
  </si>
  <si>
    <t>CURRICULUM CONSULTING AND</t>
  </si>
  <si>
    <t>ACTUAL AND ESTIMATES AS OF SEPTEMBER 30</t>
  </si>
  <si>
    <t>(2)</t>
  </si>
  <si>
    <t>Health and Education Support Levy.</t>
  </si>
  <si>
    <t>DEVELOPMENT ADMINISTRATION</t>
  </si>
  <si>
    <t>(3)</t>
  </si>
  <si>
    <t>(4)</t>
  </si>
  <si>
    <r>
      <t xml:space="preserve">EXPENSES </t>
    </r>
    <r>
      <rPr>
        <b/>
        <vertAlign val="superscript"/>
        <sz val="9"/>
        <rFont val="Arial"/>
        <family val="2"/>
      </rPr>
      <t>(1)</t>
    </r>
  </si>
  <si>
    <r>
      <t xml:space="preserve">TRANSFERS </t>
    </r>
    <r>
      <rPr>
        <b/>
        <vertAlign val="superscript"/>
        <sz val="9"/>
        <rFont val="Arial"/>
        <family val="2"/>
      </rPr>
      <t>(2)</t>
    </r>
  </si>
  <si>
    <r>
      <t xml:space="preserve">&amp; SERVICES </t>
    </r>
    <r>
      <rPr>
        <b/>
        <vertAlign val="superscript"/>
        <sz val="9"/>
        <rFont val="Arial"/>
        <family val="2"/>
      </rPr>
      <t>(4)</t>
    </r>
  </si>
  <si>
    <r>
      <t xml:space="preserve">COSTS </t>
    </r>
    <r>
      <rPr>
        <b/>
        <vertAlign val="superscript"/>
        <sz val="9"/>
        <rFont val="Arial"/>
        <family val="2"/>
      </rPr>
      <t>(5)</t>
    </r>
  </si>
  <si>
    <r>
      <t xml:space="preserve">SINGLE TRACK </t>
    </r>
    <r>
      <rPr>
        <b/>
        <vertAlign val="superscript"/>
        <sz val="9"/>
        <rFont val="Arial"/>
        <family val="2"/>
      </rPr>
      <t>(1)</t>
    </r>
  </si>
  <si>
    <r>
      <t xml:space="preserve">DUAL TRACK </t>
    </r>
    <r>
      <rPr>
        <b/>
        <vertAlign val="superscript"/>
        <sz val="9"/>
        <rFont val="Arial"/>
        <family val="2"/>
      </rPr>
      <t>(2)</t>
    </r>
  </si>
  <si>
    <r>
      <t xml:space="preserve">INSTRUCTION </t>
    </r>
    <r>
      <rPr>
        <b/>
        <vertAlign val="superscript"/>
        <sz val="9"/>
        <rFont val="Arial"/>
        <family val="2"/>
      </rPr>
      <t>(1)</t>
    </r>
  </si>
  <si>
    <r>
      <t xml:space="preserve">EDUCATOR </t>
    </r>
    <r>
      <rPr>
        <b/>
        <vertAlign val="superscript"/>
        <sz val="9"/>
        <rFont val="Arial"/>
        <family val="2"/>
      </rPr>
      <t>(2)</t>
    </r>
  </si>
  <si>
    <r>
      <t xml:space="preserve">HEADCOUNT </t>
    </r>
    <r>
      <rPr>
        <b/>
        <vertAlign val="superscript"/>
        <sz val="9"/>
        <rFont val="Arial"/>
        <family val="2"/>
      </rPr>
      <t>(1)</t>
    </r>
  </si>
  <si>
    <r>
      <t xml:space="preserve">FRAME </t>
    </r>
    <r>
      <rPr>
        <b/>
        <vertAlign val="superscript"/>
        <sz val="9"/>
        <rFont val="Arial"/>
        <family val="2"/>
      </rPr>
      <t>(2)</t>
    </r>
  </si>
  <si>
    <r>
      <t xml:space="preserve">ELIGIBLE </t>
    </r>
    <r>
      <rPr>
        <b/>
        <vertAlign val="superscript"/>
        <sz val="9"/>
        <rFont val="Arial"/>
        <family val="2"/>
      </rPr>
      <t>(3)</t>
    </r>
  </si>
  <si>
    <r>
      <t xml:space="preserve">SQ. FT. </t>
    </r>
    <r>
      <rPr>
        <b/>
        <vertAlign val="superscript"/>
        <sz val="9"/>
        <rFont val="Arial"/>
        <family val="2"/>
      </rPr>
      <t>(1)</t>
    </r>
  </si>
  <si>
    <r>
      <t xml:space="preserve">PUPIL </t>
    </r>
    <r>
      <rPr>
        <b/>
        <vertAlign val="superscript"/>
        <sz val="9"/>
        <rFont val="Arial"/>
        <family val="2"/>
      </rPr>
      <t>(2)</t>
    </r>
  </si>
  <si>
    <t xml:space="preserve"> FUNCTION 800: (CONT'D)</t>
  </si>
  <si>
    <t xml:space="preserve"> FUNCTION 700: TRANSPORTATION (CONT'D)</t>
  </si>
  <si>
    <t xml:space="preserve"> FUNCTION 500: (CONT'D)</t>
  </si>
  <si>
    <r>
      <t xml:space="preserve">GIFTED EDUCATION </t>
    </r>
    <r>
      <rPr>
        <b/>
        <vertAlign val="superscript"/>
        <sz val="9"/>
        <rFont val="Arial"/>
        <family val="2"/>
      </rPr>
      <t>(1)</t>
    </r>
  </si>
  <si>
    <t xml:space="preserve"> FUNCTION 100: REGULAR INSTRUCTION (CONT'D)</t>
  </si>
  <si>
    <r>
      <t xml:space="preserve">DUAL TRACK SCHOOLS </t>
    </r>
    <r>
      <rPr>
        <b/>
        <vertAlign val="superscript"/>
        <sz val="9"/>
        <rFont val="Arial"/>
        <family val="2"/>
      </rPr>
      <t>(1)</t>
    </r>
  </si>
  <si>
    <r>
      <t xml:space="preserve">SINGLE TRACK SCHOOLS </t>
    </r>
    <r>
      <rPr>
        <b/>
        <vertAlign val="superscript"/>
        <sz val="9"/>
        <rFont val="Arial"/>
        <family val="2"/>
      </rPr>
      <t>(1)</t>
    </r>
  </si>
  <si>
    <r>
      <t xml:space="preserve">PROGRAM </t>
    </r>
    <r>
      <rPr>
        <b/>
        <vertAlign val="superscript"/>
        <sz val="9"/>
        <rFont val="Arial"/>
        <family val="2"/>
      </rPr>
      <t>(1)</t>
    </r>
  </si>
  <si>
    <r>
      <t xml:space="preserve">RESIDENT PUPIL </t>
    </r>
    <r>
      <rPr>
        <b/>
        <vertAlign val="superscript"/>
        <sz val="9"/>
        <rFont val="Arial"/>
        <family val="2"/>
      </rPr>
      <t>(1)</t>
    </r>
  </si>
  <si>
    <r>
      <t xml:space="preserve">PER PUPIL </t>
    </r>
    <r>
      <rPr>
        <b/>
        <vertAlign val="superscript"/>
        <sz val="9"/>
        <rFont val="Arial"/>
        <family val="2"/>
      </rPr>
      <t>(1)</t>
    </r>
  </si>
  <si>
    <r>
      <t xml:space="preserve">FUNCTION 300 </t>
    </r>
    <r>
      <rPr>
        <b/>
        <vertAlign val="superscript"/>
        <sz val="9"/>
        <rFont val="Arial"/>
        <family val="2"/>
      </rPr>
      <t>(1)</t>
    </r>
  </si>
  <si>
    <r>
      <t xml:space="preserve">SUPPORT </t>
    </r>
    <r>
      <rPr>
        <b/>
        <vertAlign val="superscript"/>
        <sz val="9"/>
        <rFont val="Arial"/>
        <family val="2"/>
      </rPr>
      <t>(1)</t>
    </r>
  </si>
  <si>
    <r>
      <t xml:space="preserve">CATEGORICAL </t>
    </r>
    <r>
      <rPr>
        <b/>
        <vertAlign val="superscript"/>
        <sz val="9"/>
        <rFont val="Arial"/>
        <family val="2"/>
      </rPr>
      <t>(1)</t>
    </r>
  </si>
  <si>
    <r>
      <t xml:space="preserve">NEEDS </t>
    </r>
    <r>
      <rPr>
        <b/>
        <vertAlign val="superscript"/>
        <sz val="9"/>
        <rFont val="Arial"/>
        <family val="2"/>
      </rPr>
      <t>(2)</t>
    </r>
  </si>
  <si>
    <r>
      <t xml:space="preserve">SUPPORT </t>
    </r>
    <r>
      <rPr>
        <b/>
        <vertAlign val="superscript"/>
        <sz val="9"/>
        <rFont val="Arial"/>
        <family val="2"/>
      </rPr>
      <t>(2)</t>
    </r>
  </si>
  <si>
    <t>PROPERTY</t>
  </si>
  <si>
    <r>
      <t xml:space="preserve">TAX CREDIT </t>
    </r>
    <r>
      <rPr>
        <b/>
        <vertAlign val="superscript"/>
        <sz val="9"/>
        <rFont val="Arial"/>
        <family val="2"/>
      </rPr>
      <t>(2)</t>
    </r>
  </si>
  <si>
    <r>
      <t xml:space="preserve">REVENUE </t>
    </r>
    <r>
      <rPr>
        <b/>
        <vertAlign val="superscript"/>
        <sz val="9"/>
        <rFont val="Arial"/>
        <family val="2"/>
      </rPr>
      <t>(4)</t>
    </r>
  </si>
  <si>
    <r>
      <t xml:space="preserve">REVENUE </t>
    </r>
    <r>
      <rPr>
        <b/>
        <vertAlign val="superscript"/>
        <sz val="9"/>
        <rFont val="Arial"/>
        <family val="2"/>
      </rPr>
      <t>(5)</t>
    </r>
  </si>
  <si>
    <r>
      <t xml:space="preserve">GOVERNMENT </t>
    </r>
    <r>
      <rPr>
        <b/>
        <vertAlign val="superscript"/>
        <sz val="9"/>
        <rFont val="Arial"/>
        <family val="2"/>
      </rPr>
      <t>(1)</t>
    </r>
  </si>
  <si>
    <r>
      <t xml:space="preserve">MILL RATE </t>
    </r>
    <r>
      <rPr>
        <b/>
        <vertAlign val="superscript"/>
        <sz val="9"/>
        <rFont val="Arial"/>
        <family val="2"/>
      </rPr>
      <t>(2)</t>
    </r>
  </si>
  <si>
    <r>
      <t xml:space="preserve">LEVY </t>
    </r>
    <r>
      <rPr>
        <b/>
        <vertAlign val="superscript"/>
        <sz val="9"/>
        <rFont val="Arial"/>
        <family val="2"/>
      </rPr>
      <t>(1)</t>
    </r>
  </si>
  <si>
    <t xml:space="preserve">      defined categories to 4% (urban school divisions), 4.5% (rural school divisions) and 5.0% (northern school divisions).  Frontier School Division,</t>
  </si>
  <si>
    <r>
      <t xml:space="preserve">INFORMATION SERVICES </t>
    </r>
    <r>
      <rPr>
        <b/>
        <vertAlign val="superscript"/>
        <sz val="9"/>
        <rFont val="Arial"/>
        <family val="2"/>
      </rPr>
      <t>(2)</t>
    </r>
  </si>
  <si>
    <t xml:space="preserve">  TRAVEL AND MEETINGS</t>
  </si>
  <si>
    <t>STUDENT</t>
  </si>
  <si>
    <t>ENGLISH AS AN</t>
  </si>
  <si>
    <t>ADDITIONAL</t>
  </si>
  <si>
    <t>CHILDHOOD</t>
  </si>
  <si>
    <t>PAGE 1 OF 17</t>
  </si>
  <si>
    <t>PAGE 15 OF 17</t>
  </si>
  <si>
    <t>PAGE 14 OF 17</t>
  </si>
  <si>
    <t>PAGE 13 OF 17</t>
  </si>
  <si>
    <t>PAGE 12 OF 17</t>
  </si>
  <si>
    <t>PAGE 11 OF 17</t>
  </si>
  <si>
    <t>PAGE 10 OF 17</t>
  </si>
  <si>
    <t>PAGE 9 OF 17</t>
  </si>
  <si>
    <t>PAGE 8 OF 17</t>
  </si>
  <si>
    <t>PAGE 7 OF 17</t>
  </si>
  <si>
    <t>PAGE 6 OF 17</t>
  </si>
  <si>
    <t>PAGE 5 OF 17</t>
  </si>
  <si>
    <t>PAGE 4 OF 17</t>
  </si>
  <si>
    <t>PAGE 3 OF 17</t>
  </si>
  <si>
    <t>PAGE 2 OF 17</t>
  </si>
  <si>
    <t>PAGE 16 OF 17</t>
  </si>
  <si>
    <t>PAGE 17 OF 17</t>
  </si>
  <si>
    <t xml:space="preserve"> FUNCTION 200: STUDENT SUPPORT SERVICES</t>
  </si>
  <si>
    <t xml:space="preserve"> FUNCTION 200: STUDENT SUPPORT SERVICES (CONT'D)</t>
  </si>
  <si>
    <t>STUDENT SUPPORT SERVICES</t>
  </si>
  <si>
    <t xml:space="preserve">STUDENT SUPPORT </t>
  </si>
  <si>
    <t>PORTIONED</t>
  </si>
  <si>
    <t xml:space="preserve"> SUPPORT LEVY</t>
  </si>
  <si>
    <t xml:space="preserve">      International Baccalaureate and Advanced Placement classes.</t>
  </si>
  <si>
    <t>LESS:   LIABILITY</t>
  </si>
  <si>
    <r>
      <t xml:space="preserve">GUARANTEE </t>
    </r>
    <r>
      <rPr>
        <b/>
        <vertAlign val="superscript"/>
        <sz val="9"/>
        <rFont val="Arial"/>
        <family val="2"/>
      </rPr>
      <t>(3)</t>
    </r>
  </si>
  <si>
    <t>NON K-12</t>
  </si>
  <si>
    <t>STUDENT SUPPORT</t>
  </si>
  <si>
    <t>K-12  F.T.E.</t>
  </si>
  <si>
    <t>N-12</t>
  </si>
  <si>
    <t>K-12</t>
  </si>
  <si>
    <r>
      <t xml:space="preserve">  RECHARGE </t>
    </r>
    <r>
      <rPr>
        <vertAlign val="superscript"/>
        <sz val="9"/>
        <rFont val="Arial"/>
        <family val="2"/>
      </rPr>
      <t>(1)</t>
    </r>
  </si>
  <si>
    <t>GUIDANCE</t>
  </si>
  <si>
    <t>Reallocation of school building costs associated with Adult Learning Centre operations to Function 300</t>
  </si>
  <si>
    <t>PLACEMENT</t>
  </si>
  <si>
    <t xml:space="preserve">  PROPERTY TAXES</t>
  </si>
  <si>
    <t xml:space="preserve"> FUNCTION 200: (CONT'D)</t>
  </si>
  <si>
    <t>INSTRUCTIONAL &amp; OTHER</t>
  </si>
  <si>
    <t>INSTRUCTIONAL AND OTHER SUPPORT SERVICES</t>
  </si>
  <si>
    <t xml:space="preserve"> FUNCTION 600: INSTRUCTIONAL &amp; OTHER SUPPORT SERVICES</t>
  </si>
  <si>
    <t xml:space="preserve"> FUNCTION 600: INSTRUCTIONAL &amp; OTHER SUPPORT SERVICES (CONT'D)</t>
  </si>
  <si>
    <t>OPERATING FUND EXPENSE PER PUPIL</t>
  </si>
  <si>
    <r>
      <t xml:space="preserve">EXPENSES </t>
    </r>
    <r>
      <rPr>
        <b/>
        <vertAlign val="superscript"/>
        <sz val="10"/>
        <rFont val="Arial"/>
        <family val="2"/>
      </rPr>
      <t xml:space="preserve">(1)    </t>
    </r>
    <r>
      <rPr>
        <b/>
        <sz val="9"/>
        <rFont val="Arial"/>
        <family val="2"/>
      </rPr>
      <t xml:space="preserve">                                               </t>
    </r>
  </si>
  <si>
    <r>
      <t xml:space="preserve">OF TRANSFERS </t>
    </r>
    <r>
      <rPr>
        <b/>
        <vertAlign val="superscript"/>
        <sz val="9"/>
        <rFont val="Arial"/>
        <family val="2"/>
      </rPr>
      <t>(3)</t>
    </r>
  </si>
  <si>
    <t>EXPENSES NET</t>
  </si>
  <si>
    <t>RECONCILIATION  OF  EXPENSES</t>
  </si>
  <si>
    <t>BAD DEBT</t>
  </si>
  <si>
    <t>EXPENSE</t>
  </si>
  <si>
    <t>EXPENSE BY FUNCTION AND OBJECT</t>
  </si>
  <si>
    <t xml:space="preserve">  BAD DEBT EXPENSE</t>
  </si>
  <si>
    <r>
      <t xml:space="preserve"> INFORMATION TECHNOLOGY EXPENSES  </t>
    </r>
    <r>
      <rPr>
        <b/>
        <vertAlign val="superscript"/>
        <sz val="9"/>
        <rFont val="Arial"/>
        <family val="2"/>
      </rPr>
      <t>(1)</t>
    </r>
  </si>
  <si>
    <t>ANALYSIS OF EXPENSE BY PROGRAM</t>
  </si>
  <si>
    <t>ANALYSIS OF  TRANSPORTATION EXPENSES</t>
  </si>
  <si>
    <t>ANALYSIS OF  TRANSPORTATION EXPENSES (CONT'D)</t>
  </si>
  <si>
    <t xml:space="preserve"> ANALYSIS OF OPERATIONS AND MAINTENANCE EXPENSES FOR SCHOOL BUILDINGS</t>
  </si>
  <si>
    <t>ANALYSIS OF EXPENSE BY FUNCTION</t>
  </si>
  <si>
    <t>PHYSICAL</t>
  </si>
  <si>
    <t>FORMULA</t>
  </si>
  <si>
    <t>NET TRANSFERS</t>
  </si>
  <si>
    <r>
      <t xml:space="preserve">CAPITAL FUND </t>
    </r>
    <r>
      <rPr>
        <b/>
        <vertAlign val="superscript"/>
        <sz val="10"/>
        <rFont val="Arial"/>
        <family val="2"/>
      </rPr>
      <t>(1)</t>
    </r>
  </si>
  <si>
    <t>EXPENSE BY 2ND LEVEL OBJECT</t>
  </si>
  <si>
    <t>AS A PERCENTAGE OF TOTAL OPERATING FUND EXPENSES</t>
  </si>
  <si>
    <t>TOTAL DEFINED ADMINISTRATION EXPENSES</t>
  </si>
  <si>
    <t>GROSS SPECIAL</t>
  </si>
  <si>
    <t>TAX INCENTIVE</t>
  </si>
  <si>
    <t>NET SPECIAL</t>
  </si>
  <si>
    <r>
      <t>GRANT</t>
    </r>
    <r>
      <rPr>
        <b/>
        <vertAlign val="superscript"/>
        <sz val="9"/>
        <rFont val="Arial"/>
        <family val="2"/>
      </rPr>
      <t xml:space="preserve"> (1)</t>
    </r>
  </si>
  <si>
    <t xml:space="preserve">      page 53 and Special Needs).</t>
  </si>
  <si>
    <t>SUPPORT FOR</t>
  </si>
  <si>
    <t>SMALL SCHOOLS</t>
  </si>
  <si>
    <t>ADD'N  INST.</t>
  </si>
  <si>
    <t xml:space="preserve"> DIVISION/DISTRICT</t>
  </si>
  <si>
    <t>FORT LA BOSSE</t>
  </si>
  <si>
    <t>FRONTIER</t>
  </si>
  <si>
    <t>GARDEN VALLEY</t>
  </si>
  <si>
    <t>HANOVER</t>
  </si>
  <si>
    <t>INTERLAKE</t>
  </si>
  <si>
    <t>KELSEY</t>
  </si>
  <si>
    <t>LAKESHORE</t>
  </si>
  <si>
    <t>LORD SELKIRK</t>
  </si>
  <si>
    <t>LOUIS RIEL</t>
  </si>
  <si>
    <t>MOUNTAIN VIEW</t>
  </si>
  <si>
    <t>MYSTERY LAKE</t>
  </si>
  <si>
    <t>PARK WEST</t>
  </si>
  <si>
    <t>PEMBINA TRAILS</t>
  </si>
  <si>
    <t>PINE CREEK</t>
  </si>
  <si>
    <t>PORTAGE LA PRAIRIE</t>
  </si>
  <si>
    <t>PRAIRIE ROSE</t>
  </si>
  <si>
    <t>PRAIRIE SPIRIT</t>
  </si>
  <si>
    <t>RED RIVER VALLEY</t>
  </si>
  <si>
    <t>RIVER EAST TRANSCONA</t>
  </si>
  <si>
    <t>ROLLING RIVER</t>
  </si>
  <si>
    <t>SEINE RIVER</t>
  </si>
  <si>
    <t>SEVEN OAKS</t>
  </si>
  <si>
    <t>SOUTHWEST HORIZON</t>
  </si>
  <si>
    <t>ST. JAMES-ASSINIBOIA</t>
  </si>
  <si>
    <t>SUNRISE</t>
  </si>
  <si>
    <t>SWAN VALLEY</t>
  </si>
  <si>
    <t>TURTLE MOUNTAIN</t>
  </si>
  <si>
    <t>TURTLE RIVER</t>
  </si>
  <si>
    <t>WESTERN</t>
  </si>
  <si>
    <t>WINNIPEG</t>
  </si>
  <si>
    <t>WHITESHELL</t>
  </si>
  <si>
    <t xml:space="preserve">TAX  </t>
  </si>
  <si>
    <t>INCENTIVE</t>
  </si>
  <si>
    <r>
      <t>GRANT</t>
    </r>
    <r>
      <rPr>
        <b/>
        <vertAlign val="superscript"/>
        <sz val="9"/>
        <rFont val="Arial"/>
        <family val="2"/>
      </rPr>
      <t>(3)</t>
    </r>
  </si>
  <si>
    <r>
      <t xml:space="preserve">REVENUE </t>
    </r>
    <r>
      <rPr>
        <b/>
        <vertAlign val="superscript"/>
        <sz val="9"/>
        <rFont val="Arial"/>
        <family val="2"/>
      </rPr>
      <t>(6)</t>
    </r>
  </si>
  <si>
    <t>(from page 57)</t>
  </si>
  <si>
    <r>
      <t xml:space="preserve">PLACEMENT </t>
    </r>
    <r>
      <rPr>
        <b/>
        <vertAlign val="superscript"/>
        <sz val="9"/>
        <rFont val="Arial"/>
        <family val="2"/>
      </rPr>
      <t>(1)</t>
    </r>
  </si>
  <si>
    <t>ADDITIONAL LANGUAGE</t>
  </si>
  <si>
    <t>FOR ADULTS</t>
  </si>
  <si>
    <t>(1)  Support for Function 200 Student Support Services expenses less Counselling and Guidance and Categorical support for Special Needs.</t>
  </si>
  <si>
    <r>
      <t>SERVICES</t>
    </r>
    <r>
      <rPr>
        <b/>
        <vertAlign val="superscript"/>
        <sz val="9"/>
        <rFont val="Arial"/>
        <family val="2"/>
      </rPr>
      <t xml:space="preserve"> (1)</t>
    </r>
  </si>
  <si>
    <t>(5)</t>
  </si>
  <si>
    <t xml:space="preserve">  RECHARGE</t>
  </si>
  <si>
    <r>
      <t xml:space="preserve">OTHER </t>
    </r>
    <r>
      <rPr>
        <b/>
        <vertAlign val="superscript"/>
        <sz val="9"/>
        <rFont val="Arial"/>
        <family val="2"/>
      </rPr>
      <t>(1)</t>
    </r>
  </si>
  <si>
    <r>
      <t xml:space="preserve">PORTIONED ASSESSMENT - OTHER AND EDUCATION SUPPORT LEVY   </t>
    </r>
    <r>
      <rPr>
        <b/>
        <vertAlign val="superscript"/>
        <sz val="10"/>
        <rFont val="Arial"/>
        <family val="2"/>
      </rPr>
      <t>(1)</t>
    </r>
  </si>
  <si>
    <t>TOTAL PORTIONED ASSESSMENT</t>
  </si>
  <si>
    <t>NET SPECIAL LEVY</t>
  </si>
  <si>
    <t xml:space="preserve">  EXECUTIVE, MANAGERIAL
 AND SUPERVISORY</t>
  </si>
  <si>
    <t xml:space="preserve"> TECHNICAL, 
SPECIALIZED AND SERVICE</t>
  </si>
  <si>
    <t>SECRETARIAL 
CLERICAL
 AND OTHER</t>
  </si>
  <si>
    <r>
      <t>FULL TIME EQUIVALENT (FTE) PERSONNEL EMPLOYED</t>
    </r>
    <r>
      <rPr>
        <b/>
        <vertAlign val="superscript"/>
        <sz val="9"/>
        <rFont val="Arial"/>
        <family val="2"/>
      </rPr>
      <t xml:space="preserve"> (1)</t>
    </r>
  </si>
  <si>
    <r>
      <t xml:space="preserve">  
  IT  </t>
    </r>
    <r>
      <rPr>
        <b/>
        <vertAlign val="superscript"/>
        <sz val="11"/>
        <rFont val="Arial"/>
        <family val="2"/>
      </rPr>
      <t>(3)</t>
    </r>
  </si>
  <si>
    <t>ANALYSIS OF INFORMATION TECHNOLOGY EXPENSES</t>
  </si>
  <si>
    <t xml:space="preserve">      Services) and Management Information Services in Function 500. Total expenses for Management Information Services are included</t>
  </si>
  <si>
    <t xml:space="preserve">      on page 39 and form part of total Information Technology Expenses.</t>
  </si>
  <si>
    <r>
      <t>PROVINCIAL</t>
    </r>
    <r>
      <rPr>
        <vertAlign val="superscript"/>
        <sz val="9"/>
        <rFont val="Arial"/>
        <family val="2"/>
      </rPr>
      <t>(1)</t>
    </r>
  </si>
  <si>
    <t>DIRECT SUPPORT TO PUPILS</t>
  </si>
  <si>
    <t>DIRECT SUPPORT</t>
  </si>
  <si>
    <t>TO PUPILS</t>
  </si>
  <si>
    <t>PER PUPIL</t>
  </si>
  <si>
    <t xml:space="preserve">% of Total Expense </t>
  </si>
  <si>
    <t>(1) Total of Regular Instruction, Student Support Services and Instructional and Other Support Services. See pages 15 and 16</t>
  </si>
  <si>
    <t>Control</t>
  </si>
  <si>
    <t>Total expenses</t>
  </si>
  <si>
    <t>Frame</t>
  </si>
  <si>
    <t>tables budget</t>
  </si>
  <si>
    <t>Variance</t>
  </si>
  <si>
    <t>Budget Table</t>
  </si>
  <si>
    <t>Total Revenues</t>
  </si>
  <si>
    <t>SENIOR YEARS tech</t>
  </si>
  <si>
    <t>Total Reg. Instruct..</t>
  </si>
  <si>
    <t xml:space="preserve"> DSFM</t>
  </si>
  <si>
    <t>TO/(FROM)</t>
  </si>
  <si>
    <t>NET TRANSFERS TO/(FROM) CAPITAL FUND</t>
  </si>
  <si>
    <t>(2)  Provided in recognition of the higher costs associated with sparsely populated rural and northern divisions.</t>
  </si>
  <si>
    <t>(1)  Includes vehicle support for school buses.</t>
  </si>
  <si>
    <t>(1)  Equalization is provided to recognize the varying ability of school divisions to meet the cost of unsupported program requirements through the</t>
  </si>
  <si>
    <t>(2)  Additional Equalization is provided to specifically assist school divisions or districts that have both higher than average tax effort and lower than</t>
  </si>
  <si>
    <t>(2)  For a definition of Divisional Administration, see expense definitions, page iii.</t>
  </si>
  <si>
    <t>(4)  Administration of Pupil Transportation.  For a definition of Transportation of Pupils, see expense definitions, page iii.</t>
  </si>
  <si>
    <t>(5)  Administration of Operations and Maintenance.  For a definition of Operations and Maintenance, see expense definitions, page iii.</t>
  </si>
  <si>
    <t>(1)  Effective with fiscal year 2003/2004, school divisions are required to limit the proportion of the budget spent on administration expenses in</t>
  </si>
  <si>
    <t>(3)  Information Technology.</t>
  </si>
  <si>
    <t>(1)  From page 4 (for more information, see page 4).</t>
  </si>
  <si>
    <t>(2)  From page 9 (for more information, see page 9).</t>
  </si>
  <si>
    <t>(3)  From page 51 (for more information, see page 51).</t>
  </si>
  <si>
    <t>(1)  Total operating expenses as reported on the Schedule of Revenues and Expenses in each school division's budget.</t>
  </si>
  <si>
    <t>(2)  Operating fund transfers are payments to other school divisions, organizations and individuals.  These are removed to provide more accurate</t>
  </si>
  <si>
    <t>(3)  As reported on pages 10 and 13 (on a provincial basis).</t>
  </si>
  <si>
    <t>(4)  Expenses for Adult Learning Centres and Community Education and Services (Functions 300 and 400).</t>
  </si>
  <si>
    <t>(5)  As reported on page 4.</t>
  </si>
  <si>
    <t>(2)  Mill rates for Flin Flon and Mystery Lake are adjusted for mining revenue.</t>
  </si>
  <si>
    <t>(1)  Includes transfers to bus reserves and other capital reserves.</t>
  </si>
  <si>
    <t>(1)  See appendix for more detail.</t>
  </si>
  <si>
    <t>(5)  Includes revenue from other provincial government departments.</t>
  </si>
  <si>
    <t>(1)  Excludes information technology expenses in Function 300 (Adult Learning Centres) and Function 400 (Community Education and Services).</t>
  </si>
  <si>
    <t>(2)  Total Management Information Services expenses in Function 500 (from page 27).</t>
  </si>
  <si>
    <t>(1)  Excludes information technology expenses in Function 300 (Adult Learning Centres) and Function 400 (Community Education and</t>
  </si>
  <si>
    <t>(2)  Square footage (as per note above) divided by total F.T.E. enrolment (from page 7).</t>
  </si>
  <si>
    <t>(1)  No one language program comprises 90% or more of Regular Instruction enrolment.</t>
  </si>
  <si>
    <t>(1)  90% or more of Regular Instruction enrolment is in one language.</t>
  </si>
  <si>
    <t>(2)  Based on total instructional-teaching (excluding Community Education and Adult Learning Centres) as well as school-based administrative</t>
  </si>
  <si>
    <t>(1)  Pupils taught in schools, whether or not they are counted for grant purposes.</t>
  </si>
  <si>
    <t>(1)  90% or more of Regular Instruction enrolment is in one language program.</t>
  </si>
  <si>
    <t>(2)  No one language program comprises 90% or more of Regular Instruction enrolment.</t>
  </si>
  <si>
    <t>(1)  Operating fund transfers (i.e. payments to other school divisions, organizations and individuals) are excluded to provide more accurate per pupil</t>
  </si>
  <si>
    <r>
      <t xml:space="preserve"> 
 CLINICIAN</t>
    </r>
    <r>
      <rPr>
        <b/>
        <vertAlign val="superscript"/>
        <sz val="11"/>
        <rFont val="Arial"/>
        <family val="2"/>
      </rPr>
      <t xml:space="preserve"> (2)</t>
    </r>
  </si>
  <si>
    <t xml:space="preserve"> TEACHING</t>
  </si>
  <si>
    <r>
      <t>FUNCTIONS 100 + 200 + 600</t>
    </r>
    <r>
      <rPr>
        <b/>
        <vertAlign val="superscript"/>
        <sz val="9"/>
        <rFont val="Arial"/>
        <family val="2"/>
      </rPr>
      <t xml:space="preserve"> (1)</t>
    </r>
  </si>
  <si>
    <t xml:space="preserve">       for more information.</t>
  </si>
  <si>
    <t>(1)  The portion shown here is comprised of operating support only. The total provincial contribution to K-12 public school education, which also</t>
  </si>
  <si>
    <t xml:space="preserve">      for details.</t>
  </si>
  <si>
    <r>
      <t xml:space="preserve">REGULAR INSTRUCTION </t>
    </r>
    <r>
      <rPr>
        <b/>
        <vertAlign val="superscript"/>
        <sz val="9"/>
        <rFont val="Arial"/>
        <family val="2"/>
      </rPr>
      <t>(1)</t>
    </r>
  </si>
  <si>
    <t xml:space="preserve">       are excluded.</t>
  </si>
  <si>
    <t xml:space="preserve">(1)  Includes food services, health services, and other activities related to instructional and other support not included in </t>
  </si>
  <si>
    <t xml:space="preserve">      previous programs.</t>
  </si>
  <si>
    <t xml:space="preserve">(2)  Effective with the 2005 tax year, the Resident Homeowner Advance portion of the Manitoba Education Property Tax Credit (EPTC) is provided directly to </t>
  </si>
  <si>
    <t xml:space="preserve">       school divisions as revenue from the Province of Manitoba to more accurately reflect the amount of provincial funding provided in support of education.</t>
  </si>
  <si>
    <t xml:space="preserve">       page 42 for EPTC revenue.</t>
  </si>
  <si>
    <t>(1)  For a definition of Adult Learning Centres, see expense definitions, page iii.  Expenditures shown here may differ from those shown for Adult</t>
  </si>
  <si>
    <t xml:space="preserve">(1)  The Tax Incentive Grant was offered to school divisions that maintained their prior year Special Levy amount adjusted for real growth in </t>
  </si>
  <si>
    <t xml:space="preserve">       basis of time attending school - eg. Kindergarten as 1/2.  This total is the same as reported on page 7.</t>
  </si>
  <si>
    <t xml:space="preserve">(1)  Expenses shown are extra costs associated with special needs students in regular classes, not the total cost of educating </t>
  </si>
  <si>
    <t xml:space="preserve">       those students.</t>
  </si>
  <si>
    <t>(1)  Assessment per resident pupil is based on total portioned assessment adjusted for allocations to the DSFM and corresponds to data provided</t>
  </si>
  <si>
    <t xml:space="preserve">      division for more information. Does not include costs related to generalized enrichment activities undertaken by school divisions, or</t>
  </si>
  <si>
    <t xml:space="preserve">      in the calculation of support to school divisions. Assessment per resident pupil for Flin Flon, Frontier and Mystery Lake reflects non-assessed</t>
  </si>
  <si>
    <t>Replace</t>
  </si>
  <si>
    <t>Before click replace select the range you want.</t>
  </si>
  <si>
    <t>This</t>
  </si>
  <si>
    <t>into</t>
  </si>
  <si>
    <t xml:space="preserve">       music, EAL, etc. in addition to regular classroom teachers. School-based administrative personnel and Special Placement classroom teachers </t>
  </si>
  <si>
    <t>Per Funded</t>
  </si>
  <si>
    <t>Resident</t>
  </si>
  <si>
    <t>Pupil &lt; 21</t>
  </si>
  <si>
    <t>N/A</t>
  </si>
  <si>
    <t xml:space="preserve">      mining properties. DSFM assessment per resident pupil is derived on a pro rata basis according to enrolment within DSFM boundaries.</t>
  </si>
  <si>
    <r>
      <t xml:space="preserve">SUPPORT </t>
    </r>
    <r>
      <rPr>
        <b/>
        <vertAlign val="superscript"/>
        <sz val="9"/>
        <rFont val="Arial"/>
        <family val="2"/>
      </rPr>
      <t>(4)</t>
    </r>
  </si>
  <si>
    <t>(4)  Includes School Buildings "D" Support, Technology Education Equipment and other minor capital support.</t>
  </si>
  <si>
    <t xml:space="preserve">       property tax base of the school division.</t>
  </si>
  <si>
    <t>(2)  Includes clinicians contracted/outsourced/private or employed by other divisions on a full time equivalent basis.</t>
  </si>
  <si>
    <t>(1) Special Placement students are no longer reported separately. They are included in Regular Instruction Enrolment.</t>
  </si>
  <si>
    <t xml:space="preserve">      </t>
  </si>
  <si>
    <t xml:space="preserve">      As a result, total enrolment in Regular Instruction is equal to Total K-12 F.T.E. enrolment.</t>
  </si>
  <si>
    <t>(1)  All other categorical support not shown elsewhere (eg. Aboriginal and International Languages, Northern Allowance, etc.).</t>
  </si>
  <si>
    <t>SEP. 30, 2012</t>
  </si>
  <si>
    <t>Prev. Year</t>
  </si>
  <si>
    <t>(2)  The total number of pupils enrolled in schools adjusted for full time equivalence (F.T.E.). Full time equivalent means pupils are counted on the</t>
  </si>
  <si>
    <t xml:space="preserve">       the Education Property Tax Credit. See pages 42 and 43 for more detail.</t>
  </si>
  <si>
    <t>(4)  From page 48 (for more information, see page 48).</t>
  </si>
  <si>
    <t>(3)  Administration, supervision and coordination of Curriculum Consulting and Development (Function 600, Program 605).</t>
  </si>
  <si>
    <t>2013 TSA</t>
  </si>
  <si>
    <t>2013/2014 BUDGET</t>
  </si>
  <si>
    <t>SEP. 30, 2013</t>
  </si>
  <si>
    <t>2013/14</t>
  </si>
  <si>
    <t xml:space="preserve">       costs.  Also excluded are expenditures on educational services not provided to K-12 pupils: Function 300 (Adult Learning Centres) and Function</t>
  </si>
  <si>
    <t xml:space="preserve">       400 (Community Education and Services).</t>
  </si>
  <si>
    <t>(3)  Although the Tax Incentive Grant was discontinued in 2012, the funding provided in 2011 continues to be provided. Amounts shown here are the portions</t>
  </si>
  <si>
    <t xml:space="preserve">       by division after the allocation to the DSFM.</t>
  </si>
  <si>
    <t xml:space="preserve">       division before the allocation to the DSFM.</t>
  </si>
  <si>
    <t>14b_PROV.xlsm</t>
  </si>
  <si>
    <t>2014/2015 BUDGET</t>
  </si>
  <si>
    <t>(3)  Provincially supported pupils (actual September 30, 2013 for 2014/15 and actual September 30, 2012 for 2013/14).</t>
  </si>
  <si>
    <t>(1)  Based on area (square footage) of active school buildings as at September 30, 2013. Includes rented and leased space.</t>
  </si>
  <si>
    <t>(1) Effective 2006, the Education Support Levy is no longer raised on residential property. The mill rate for other property in 2014 is 11.39.</t>
  </si>
  <si>
    <t>(1)  Special levy requisitioned by school divisions for the 2014 tax year. Actual remittance to school divisions by municipalities is reduced by</t>
  </si>
  <si>
    <t xml:space="preserve">       property assessment. The 2014 grant is unchanged from the amount provided in 2011. Amounts shown here are the portions by </t>
  </si>
  <si>
    <t>(1)  Based on a grant per eligible pupil at September 30, 2013.</t>
  </si>
  <si>
    <t xml:space="preserve">       average assessment per pupil. Please see 2014/15 Funding of Schools Booklet for more information.</t>
  </si>
  <si>
    <t>(3)  Formula Guarantee is provided to ensure that every school division receives at least the same level of funding as provided in 2013/14.</t>
  </si>
  <si>
    <r>
      <t xml:space="preserve">ADMINISTRATION EXPENSES </t>
    </r>
    <r>
      <rPr>
        <b/>
        <vertAlign val="superscript"/>
        <sz val="9"/>
        <rFont val="Arial"/>
        <family val="2"/>
      </rPr>
      <t>(1)</t>
    </r>
    <r>
      <rPr>
        <b/>
        <sz val="9"/>
        <rFont val="Arial"/>
        <family val="2"/>
      </rPr>
      <t xml:space="preserve"> 2014/2015 BUDGET</t>
    </r>
  </si>
  <si>
    <t>2014/15</t>
  </si>
  <si>
    <r>
      <t xml:space="preserve">2014/15 </t>
    </r>
    <r>
      <rPr>
        <b/>
        <vertAlign val="superscript"/>
        <sz val="9"/>
        <rFont val="Arial"/>
        <family val="2"/>
      </rPr>
      <t>(2)</t>
    </r>
  </si>
  <si>
    <t>2013</t>
  </si>
  <si>
    <r>
      <t xml:space="preserve">2014 </t>
    </r>
    <r>
      <rPr>
        <b/>
        <vertAlign val="superscript"/>
        <sz val="9"/>
        <rFont val="Arial"/>
        <family val="2"/>
      </rPr>
      <t>(3)</t>
    </r>
  </si>
  <si>
    <r>
      <t xml:space="preserve">2014 </t>
    </r>
    <r>
      <rPr>
        <b/>
        <vertAlign val="superscript"/>
        <sz val="9"/>
        <rFont val="Arial"/>
        <family val="2"/>
      </rPr>
      <t>(4)</t>
    </r>
  </si>
  <si>
    <t>SEP. 30, 2014</t>
  </si>
  <si>
    <t>Sep 30, 13</t>
  </si>
  <si>
    <t>(4)  Includes other miscellaneous support (Institutional Programs, Nursing Supports, General Support Grant, Smaller Classes Initiative, etc.).</t>
  </si>
  <si>
    <t>2014 TSA</t>
  </si>
  <si>
    <t>FOR THE 2014 TAXATION YEAR (2014 IS A REASSESSMENT YEAR)</t>
  </si>
  <si>
    <t>Waywayseecapo</t>
  </si>
  <si>
    <t>+</t>
  </si>
  <si>
    <t xml:space="preserve">       per pupil costs.</t>
  </si>
  <si>
    <t xml:space="preserve">       are excluded. While this definition is consistent with Statistics Canada's, the provincial ratio may not agree exactly due to different data sources.</t>
  </si>
  <si>
    <t xml:space="preserve">(1)  Excludes personnel in Function 300 (Adult Learning Centres) and Function 400 (Community Education and Services) who do not provide </t>
  </si>
  <si>
    <t xml:space="preserve">       educational services to K-12 pupils.</t>
  </si>
  <si>
    <t xml:space="preserve"> MITT</t>
  </si>
  <si>
    <t xml:space="preserve">       Learning Centres on page 15 owing to the inclusion of operating transfers for the purpose of calculating administration costs.</t>
  </si>
  <si>
    <t>Reallocation of administration costs associated with Adult Learning Centre operations from Function 500 to Function 300.</t>
  </si>
  <si>
    <r>
      <t>(1)</t>
    </r>
    <r>
      <rPr>
        <sz val="9"/>
        <rFont val="Arial"/>
        <family val="2"/>
      </rPr>
      <t xml:space="preserve"> Reallocation of administration costs associated with Adult Learning Centre operations from Function 500 to Function 300.</t>
    </r>
  </si>
  <si>
    <t xml:space="preserve">      DSFM and the Manitoba Institute of Trades and Technology are exempt from these limits and are not reflected in the above totals. The defined </t>
  </si>
  <si>
    <t xml:space="preserve">      administration categories exclude administration at the school level (Function 100 - Regular Instruction, Program 110) and special needs </t>
  </si>
  <si>
    <t xml:space="preserve">      administration (Function 200 - Student Support Services, Program 210).  This appendix provides an analysis of the defined administration expenses</t>
  </si>
  <si>
    <t xml:space="preserve">      amounts shown elsewhere in this report owing to the inclusion of operating transfers for the purpose of calculating administration costs.</t>
  </si>
  <si>
    <t xml:space="preserve">      as a percentage of the adjusted operating expense base. Expenses shown for Function 500 or Program 710 may differ from corresponding</t>
  </si>
  <si>
    <t xml:space="preserve"> MITT (formerly WTC)</t>
  </si>
  <si>
    <t>(1)  All expenses related to gifted programming may not be included due to the difficulty of costing certain programming. Contact the school</t>
  </si>
  <si>
    <t xml:space="preserve">       Amounts shown here do not include the Farmland School Tax Rebate nor the income tax portion of the EPTC nor the School Tax Assistance for Tenants</t>
  </si>
  <si>
    <t xml:space="preserve">       and Homeowners (55+) because these are not quantifiable on a school division basis.  For these amounts shown on a provincial basis, see page i.</t>
  </si>
  <si>
    <t>(1)  Based on object code 330 instructional-teaching personnel and F.T.E. students in Function 100. Included are teachers in physical education,</t>
  </si>
  <si>
    <t xml:space="preserve">       staff - eg. department heads, coordinators, principals and vice-principals - and K-12 F.T.E. enrolment. Division administrators (Function 500)</t>
  </si>
  <si>
    <t>All pages of the FRAME report containing the tables of financial and statistical data are included in this file.</t>
  </si>
  <si>
    <t>In most cases, formulas have been left intact to show how statistics such as percentages and average costs per pupil are derived.</t>
  </si>
  <si>
    <t>Each worksheet tab is numbered to match the corresponding page found in the published document so for example to see page 15, click the worksheet tab  - 15 - .</t>
  </si>
  <si>
    <t>This file is unprotected for data analysis by the user.  Data can also be copied to other files or additional data copied to this one.  In cases of dispute however, the published FRAME reports and the corresponding files located on the Manitoba Govenment web site remain the final authority.</t>
  </si>
  <si>
    <t>The cover page, table of contents, forward and introduction as well as the graphs (pie charts, bar charts) are not included in this file. The full report is available in a PDF version on the same site as this file at:</t>
  </si>
  <si>
    <t>http://www.edu.gov.mb.ca/k12/finance/frame_report/index.html</t>
  </si>
  <si>
    <t>FRAME Report: 2014/15 Budget</t>
  </si>
</sst>
</file>

<file path=xl/styles.xml><?xml version="1.0" encoding="utf-8"?>
<styleSheet xmlns="http://schemas.openxmlformats.org/spreadsheetml/2006/main">
  <numFmts count="13">
    <numFmt numFmtId="164" formatCode="_(* #,##0.00_);_(* \(#,##0.00\);_(* &quot;-&quot;??_);_(@_)"/>
    <numFmt numFmtId="165" formatCode=";;;"/>
    <numFmt numFmtId="166" formatCode="0.0%"/>
    <numFmt numFmtId="167" formatCode="#,##0.0_);\(#,##0.0\)"/>
    <numFmt numFmtId="168" formatCode="0.0_)"/>
    <numFmt numFmtId="169" formatCode="0.00_)"/>
    <numFmt numFmtId="170" formatCode="#,##0_ ;\(#,##0\)"/>
    <numFmt numFmtId="171" formatCode="#,##0\ ;\(#,##0\ \)"/>
    <numFmt numFmtId="172" formatCode="#,##0.0000;\-#,##0.0000"/>
    <numFmt numFmtId="173" formatCode="#,##0.0_ ;\(#,##0.0\)"/>
    <numFmt numFmtId="174" formatCode="#,##0.0_);[Red]\(#,##0.0\)"/>
    <numFmt numFmtId="175" formatCode="dd\-mmm\-yy_)"/>
    <numFmt numFmtId="176" formatCode="#,##0;\(#,##0\)"/>
  </numFmts>
  <fonts count="35">
    <font>
      <sz val="9"/>
      <name val="Times New Roman"/>
    </font>
    <font>
      <sz val="10"/>
      <name val="Times New Roman"/>
      <family val="1"/>
    </font>
    <font>
      <sz val="10"/>
      <name val="Courier"/>
      <family val="3"/>
    </font>
    <font>
      <b/>
      <sz val="9"/>
      <name val="Arial"/>
      <family val="2"/>
    </font>
    <font>
      <sz val="8"/>
      <color indexed="81"/>
      <name val="Tahoma"/>
      <family val="2"/>
    </font>
    <font>
      <sz val="9"/>
      <name val="Arial"/>
      <family val="2"/>
    </font>
    <font>
      <sz val="9"/>
      <color indexed="12"/>
      <name val="Arial"/>
      <family val="2"/>
    </font>
    <font>
      <b/>
      <vertAlign val="superscript"/>
      <sz val="9"/>
      <name val="Arial"/>
      <family val="2"/>
    </font>
    <font>
      <sz val="8"/>
      <name val="Arial"/>
      <family val="2"/>
    </font>
    <font>
      <vertAlign val="superscript"/>
      <sz val="9"/>
      <name val="Arial"/>
      <family val="2"/>
    </font>
    <font>
      <b/>
      <sz val="10"/>
      <name val="Arial"/>
      <family val="2"/>
    </font>
    <font>
      <u/>
      <sz val="9"/>
      <name val="Arial"/>
      <family val="2"/>
    </font>
    <font>
      <b/>
      <sz val="12"/>
      <name val="Arial"/>
      <family val="2"/>
    </font>
    <font>
      <sz val="10"/>
      <name val="Arial"/>
      <family val="2"/>
    </font>
    <font>
      <b/>
      <vertAlign val="superscript"/>
      <sz val="10"/>
      <name val="Arial"/>
      <family val="2"/>
    </font>
    <font>
      <sz val="10"/>
      <name val="Arial"/>
      <family val="2"/>
    </font>
    <font>
      <sz val="8"/>
      <name val="Arial"/>
      <family val="2"/>
    </font>
    <font>
      <sz val="11"/>
      <name val="Arial"/>
      <family val="2"/>
    </font>
    <font>
      <sz val="12"/>
      <name val="Arial"/>
      <family val="2"/>
    </font>
    <font>
      <b/>
      <sz val="8"/>
      <color indexed="81"/>
      <name val="Tahoma"/>
      <family val="2"/>
    </font>
    <font>
      <sz val="9"/>
      <name val="Times New Roman"/>
      <family val="1"/>
    </font>
    <font>
      <sz val="8"/>
      <name val="Times New Roman"/>
      <family val="1"/>
    </font>
    <font>
      <b/>
      <sz val="16"/>
      <name val="Arial"/>
      <family val="2"/>
    </font>
    <font>
      <b/>
      <sz val="9"/>
      <color indexed="10"/>
      <name val="Arial"/>
      <family val="2"/>
    </font>
    <font>
      <b/>
      <vertAlign val="superscript"/>
      <sz val="11"/>
      <name val="Arial"/>
      <family val="2"/>
    </font>
    <font>
      <sz val="9"/>
      <color indexed="10"/>
      <name val="Arial"/>
      <family val="2"/>
    </font>
    <font>
      <b/>
      <sz val="9"/>
      <color rgb="FFFF0000"/>
      <name val="Arial"/>
      <family val="2"/>
    </font>
    <font>
      <sz val="9"/>
      <color rgb="FFFF0000"/>
      <name val="Arial"/>
      <family val="2"/>
    </font>
    <font>
      <sz val="9"/>
      <color rgb="FF0070C0"/>
      <name val="Arial"/>
      <family val="2"/>
    </font>
    <font>
      <sz val="10"/>
      <color rgb="FF000000"/>
      <name val="Tahoma"/>
      <family val="2"/>
    </font>
    <font>
      <sz val="11"/>
      <color rgb="FF1F497D"/>
      <name val="Calibri"/>
      <family val="2"/>
    </font>
    <font>
      <b/>
      <sz val="12"/>
      <color indexed="9"/>
      <name val="Arial"/>
      <family val="2"/>
    </font>
    <font>
      <sz val="12"/>
      <color indexed="9"/>
      <name val="Arial"/>
      <family val="2"/>
    </font>
    <font>
      <u/>
      <sz val="9"/>
      <color theme="10"/>
      <name val="Times New Roman"/>
      <family val="1"/>
    </font>
    <font>
      <u/>
      <sz val="12"/>
      <color theme="0"/>
      <name val="Arial"/>
      <family val="2"/>
    </font>
  </fonts>
  <fills count="13">
    <fill>
      <patternFill patternType="none"/>
    </fill>
    <fill>
      <patternFill patternType="gray125"/>
    </fill>
    <fill>
      <patternFill patternType="solid">
        <fgColor indexed="22"/>
        <bgColor indexed="22"/>
      </patternFill>
    </fill>
    <fill>
      <patternFill patternType="solid">
        <fgColor indexed="9"/>
        <bgColor indexed="9"/>
      </patternFill>
    </fill>
    <fill>
      <patternFill patternType="solid">
        <fgColor indexed="65"/>
        <bgColor indexed="64"/>
      </patternFill>
    </fill>
    <fill>
      <patternFill patternType="solid">
        <fgColor indexed="9"/>
        <bgColor indexed="8"/>
      </patternFill>
    </fill>
    <fill>
      <patternFill patternType="gray125">
        <fgColor indexed="9"/>
        <bgColor indexed="9"/>
      </patternFill>
    </fill>
    <fill>
      <patternFill patternType="solid">
        <fgColor indexed="42"/>
        <bgColor indexed="8"/>
      </patternFill>
    </fill>
    <fill>
      <patternFill patternType="solid">
        <fgColor indexed="42"/>
        <bgColor indexed="64"/>
      </patternFill>
    </fill>
    <fill>
      <patternFill patternType="solid">
        <fgColor indexed="42"/>
        <bgColor indexed="42"/>
      </patternFill>
    </fill>
    <fill>
      <patternFill patternType="solid">
        <fgColor indexed="42"/>
        <bgColor indexed="9"/>
      </patternFill>
    </fill>
    <fill>
      <patternFill patternType="solid">
        <fgColor rgb="FFFFFF00"/>
        <bgColor indexed="64"/>
      </patternFill>
    </fill>
    <fill>
      <patternFill patternType="solid">
        <fgColor indexed="57"/>
        <bgColor indexed="64"/>
      </patternFill>
    </fill>
  </fills>
  <borders count="54">
    <border>
      <left/>
      <right/>
      <top/>
      <bottom/>
      <diagonal/>
    </border>
    <border>
      <left style="thin">
        <color indexed="8"/>
      </left>
      <right style="thin">
        <color indexed="8"/>
      </right>
      <top/>
      <bottom/>
      <diagonal/>
    </border>
    <border>
      <left/>
      <right/>
      <top style="thin">
        <color indexed="8"/>
      </top>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64"/>
      </bottom>
      <diagonal/>
    </border>
    <border>
      <left style="thin">
        <color indexed="8"/>
      </left>
      <right/>
      <top/>
      <bottom style="thin">
        <color indexed="8"/>
      </bottom>
      <diagonal/>
    </border>
    <border>
      <left style="double">
        <color indexed="8"/>
      </left>
      <right/>
      <top/>
      <bottom style="thin">
        <color indexed="8"/>
      </bottom>
      <diagonal/>
    </border>
    <border>
      <left style="thin">
        <color indexed="8"/>
      </left>
      <right/>
      <top/>
      <bottom/>
      <diagonal/>
    </border>
    <border>
      <left style="double">
        <color indexed="8"/>
      </left>
      <right/>
      <top/>
      <bottom/>
      <diagonal/>
    </border>
    <border>
      <left style="thin">
        <color indexed="8"/>
      </left>
      <right style="double">
        <color indexed="8"/>
      </right>
      <top/>
      <bottom/>
      <diagonal/>
    </border>
    <border>
      <left/>
      <right/>
      <top style="thin">
        <color indexed="8"/>
      </top>
      <bottom style="thin">
        <color indexed="8"/>
      </bottom>
      <diagonal/>
    </border>
    <border>
      <left style="thin">
        <color indexed="8"/>
      </left>
      <right/>
      <top style="thin">
        <color indexed="8"/>
      </top>
      <bottom/>
      <diagonal/>
    </border>
    <border>
      <left style="thin">
        <color indexed="64"/>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8"/>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double">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double">
        <color indexed="8"/>
      </left>
      <right style="thin">
        <color indexed="64"/>
      </right>
      <top style="thin">
        <color indexed="64"/>
      </top>
      <bottom style="thin">
        <color indexed="64"/>
      </bottom>
      <diagonal/>
    </border>
    <border>
      <left style="thick">
        <color theme="0"/>
      </left>
      <right style="thick">
        <color theme="0"/>
      </right>
      <top style="thick">
        <color theme="0"/>
      </top>
      <bottom style="thick">
        <color theme="0"/>
      </bottom>
      <diagonal/>
    </border>
  </borders>
  <cellStyleXfs count="9">
    <xf numFmtId="37" fontId="0" fillId="0" borderId="0"/>
    <xf numFmtId="0" fontId="2" fillId="2" borderId="1"/>
    <xf numFmtId="164" fontId="1" fillId="0" borderId="0" applyFont="0" applyFill="0" applyBorder="0" applyAlignment="0" applyProtection="0"/>
    <xf numFmtId="164" fontId="15" fillId="0" borderId="0" applyFont="0" applyFill="0" applyBorder="0" applyAlignment="0" applyProtection="0"/>
    <xf numFmtId="0" fontId="15" fillId="0" borderId="0"/>
    <xf numFmtId="39" fontId="20" fillId="0" borderId="0"/>
    <xf numFmtId="9" fontId="1" fillId="0" borderId="0" applyFont="0" applyFill="0" applyBorder="0" applyAlignment="0" applyProtection="0"/>
    <xf numFmtId="37" fontId="20" fillId="0" borderId="0"/>
    <xf numFmtId="0" fontId="33" fillId="0" borderId="0" applyNumberFormat="0" applyFill="0" applyBorder="0" applyAlignment="0" applyProtection="0">
      <alignment vertical="top"/>
      <protection locked="0"/>
    </xf>
  </cellStyleXfs>
  <cellXfs count="676">
    <xf numFmtId="37" fontId="0" fillId="0" borderId="0" xfId="0"/>
    <xf numFmtId="37" fontId="5" fillId="0" borderId="0" xfId="0" applyFont="1"/>
    <xf numFmtId="49" fontId="5" fillId="0" borderId="0" xfId="0" applyNumberFormat="1" applyFont="1" applyAlignment="1"/>
    <xf numFmtId="165" fontId="5" fillId="0" borderId="0" xfId="0" applyNumberFormat="1" applyFont="1" applyProtection="1"/>
    <xf numFmtId="37" fontId="5" fillId="3" borderId="0" xfId="0" applyFont="1" applyFill="1"/>
    <xf numFmtId="37" fontId="3" fillId="3" borderId="2" xfId="0" applyFont="1" applyFill="1" applyBorder="1" applyAlignment="1">
      <alignment horizontal="centerContinuous" vertical="center"/>
    </xf>
    <xf numFmtId="37" fontId="5" fillId="3" borderId="2" xfId="0" applyFont="1" applyFill="1" applyBorder="1" applyAlignment="1">
      <alignment horizontal="centerContinuous"/>
    </xf>
    <xf numFmtId="37" fontId="3" fillId="3" borderId="3" xfId="0" applyFont="1" applyFill="1" applyBorder="1" applyAlignment="1">
      <alignment horizontal="centerContinuous" vertical="center"/>
    </xf>
    <xf numFmtId="37" fontId="5" fillId="3" borderId="3" xfId="0" applyFont="1" applyFill="1" applyBorder="1" applyAlignment="1">
      <alignment horizontal="centerContinuous"/>
    </xf>
    <xf numFmtId="37" fontId="6" fillId="3" borderId="3" xfId="0" applyFont="1" applyFill="1" applyBorder="1" applyAlignment="1">
      <alignment horizontal="centerContinuous"/>
    </xf>
    <xf numFmtId="37" fontId="5" fillId="3" borderId="0" xfId="0" applyFont="1" applyFill="1" applyAlignment="1">
      <alignment horizontal="center"/>
    </xf>
    <xf numFmtId="37" fontId="3" fillId="3" borderId="4" xfId="0" applyFont="1" applyFill="1" applyBorder="1" applyAlignment="1">
      <alignment horizontal="center"/>
    </xf>
    <xf numFmtId="0" fontId="3" fillId="3" borderId="5" xfId="0" applyNumberFormat="1" applyFont="1" applyFill="1" applyBorder="1" applyAlignment="1">
      <alignment horizontal="center"/>
    </xf>
    <xf numFmtId="37" fontId="3" fillId="3" borderId="5" xfId="0" applyFont="1" applyFill="1" applyBorder="1" applyAlignment="1">
      <alignment horizontal="center"/>
    </xf>
    <xf numFmtId="37" fontId="3" fillId="3" borderId="1" xfId="0" applyFont="1" applyFill="1" applyBorder="1" applyAlignment="1">
      <alignment horizontal="center"/>
    </xf>
    <xf numFmtId="0" fontId="3" fillId="3" borderId="6" xfId="0" applyNumberFormat="1" applyFont="1" applyFill="1" applyBorder="1" applyAlignment="1">
      <alignment horizontal="center"/>
    </xf>
    <xf numFmtId="37" fontId="3" fillId="3" borderId="6" xfId="0" applyFont="1" applyFill="1" applyBorder="1" applyAlignment="1">
      <alignment horizontal="center"/>
    </xf>
    <xf numFmtId="49" fontId="3" fillId="0" borderId="7" xfId="0" applyNumberFormat="1" applyFont="1" applyBorder="1"/>
    <xf numFmtId="37" fontId="3" fillId="3" borderId="2" xfId="0" applyFont="1" applyFill="1" applyBorder="1" applyAlignment="1">
      <alignment horizontal="center"/>
    </xf>
    <xf numFmtId="49" fontId="3" fillId="0" borderId="8" xfId="0" applyNumberFormat="1" applyFont="1" applyBorder="1"/>
    <xf numFmtId="37" fontId="3" fillId="3" borderId="9" xfId="0" applyFont="1" applyFill="1" applyBorder="1" applyAlignment="1">
      <alignment horizontal="center" vertical="top"/>
    </xf>
    <xf numFmtId="37" fontId="3" fillId="3" borderId="10" xfId="0" applyFont="1" applyFill="1" applyBorder="1" applyAlignment="1">
      <alignment horizontal="center" vertical="top"/>
    </xf>
    <xf numFmtId="49" fontId="3" fillId="0" borderId="0" xfId="0" applyNumberFormat="1" applyFont="1"/>
    <xf numFmtId="49" fontId="5" fillId="0" borderId="1" xfId="0" applyNumberFormat="1" applyFont="1" applyBorder="1" applyAlignment="1">
      <alignment vertical="center"/>
    </xf>
    <xf numFmtId="170" fontId="5" fillId="0" borderId="1" xfId="0" applyNumberFormat="1" applyFont="1" applyBorder="1" applyAlignment="1">
      <alignment vertical="center"/>
    </xf>
    <xf numFmtId="49" fontId="5" fillId="0" borderId="0" xfId="0" applyNumberFormat="1" applyFont="1" applyAlignment="1">
      <alignment vertical="center"/>
    </xf>
    <xf numFmtId="171" fontId="5" fillId="0" borderId="0" xfId="0" applyNumberFormat="1" applyFont="1" applyAlignment="1">
      <alignment vertical="center"/>
    </xf>
    <xf numFmtId="37" fontId="5" fillId="0" borderId="11" xfId="0" applyFont="1" applyBorder="1"/>
    <xf numFmtId="37" fontId="5" fillId="0" borderId="0" xfId="0" applyFont="1" applyAlignment="1">
      <alignment horizontal="left"/>
    </xf>
    <xf numFmtId="49" fontId="5" fillId="0" borderId="0" xfId="0" applyNumberFormat="1" applyFont="1" applyAlignment="1">
      <alignment horizontal="left"/>
    </xf>
    <xf numFmtId="37" fontId="5" fillId="3" borderId="0" xfId="0" applyFont="1" applyFill="1" applyBorder="1"/>
    <xf numFmtId="37" fontId="5" fillId="0" borderId="0" xfId="0" applyNumberFormat="1" applyFont="1" applyBorder="1" applyProtection="1"/>
    <xf numFmtId="37" fontId="3" fillId="0" borderId="4" xfId="0" applyFont="1" applyBorder="1"/>
    <xf numFmtId="37" fontId="3" fillId="3" borderId="5" xfId="0" applyFont="1" applyFill="1" applyBorder="1" applyAlignment="1">
      <alignment horizontal="right"/>
    </xf>
    <xf numFmtId="37" fontId="3" fillId="3" borderId="5" xfId="0" applyFont="1" applyFill="1" applyBorder="1"/>
    <xf numFmtId="37" fontId="3" fillId="0" borderId="8" xfId="0" applyFont="1" applyBorder="1"/>
    <xf numFmtId="37" fontId="3" fillId="0" borderId="10" xfId="0" applyFont="1" applyBorder="1" applyAlignment="1">
      <alignment horizontal="right"/>
    </xf>
    <xf numFmtId="37" fontId="3" fillId="0" borderId="0" xfId="0" applyFont="1"/>
    <xf numFmtId="170" fontId="5" fillId="0" borderId="1" xfId="0" applyNumberFormat="1" applyFont="1" applyBorder="1" applyAlignment="1">
      <alignment horizontal="right" vertical="center"/>
    </xf>
    <xf numFmtId="37" fontId="5" fillId="0" borderId="0" xfId="0" applyFont="1" applyAlignment="1"/>
    <xf numFmtId="37" fontId="5" fillId="3" borderId="0" xfId="0" applyFont="1" applyFill="1" applyProtection="1"/>
    <xf numFmtId="165" fontId="5" fillId="0" borderId="2" xfId="0" applyNumberFormat="1" applyFont="1" applyBorder="1" applyProtection="1"/>
    <xf numFmtId="37" fontId="3" fillId="3" borderId="2" xfId="0" applyFont="1" applyFill="1" applyBorder="1" applyAlignment="1" applyProtection="1">
      <alignment horizontal="centerContinuous" vertical="center"/>
    </xf>
    <xf numFmtId="37" fontId="5" fillId="3" borderId="2" xfId="0" applyFont="1" applyFill="1" applyBorder="1" applyAlignment="1" applyProtection="1">
      <alignment horizontal="centerContinuous"/>
    </xf>
    <xf numFmtId="37" fontId="5" fillId="3" borderId="2" xfId="0" applyFont="1" applyFill="1" applyBorder="1" applyAlignment="1" applyProtection="1">
      <alignment horizontal="right"/>
    </xf>
    <xf numFmtId="165" fontId="5" fillId="0" borderId="3" xfId="0" applyNumberFormat="1" applyFont="1" applyBorder="1" applyProtection="1"/>
    <xf numFmtId="37" fontId="3" fillId="3" borderId="3" xfId="0" quotePrefix="1" applyFont="1" applyFill="1" applyBorder="1" applyAlignment="1" applyProtection="1">
      <alignment horizontal="centerContinuous" vertical="center"/>
    </xf>
    <xf numFmtId="37" fontId="5" fillId="3" borderId="3" xfId="0" applyFont="1" applyFill="1" applyBorder="1" applyAlignment="1" applyProtection="1">
      <alignment horizontal="centerContinuous"/>
    </xf>
    <xf numFmtId="37" fontId="5" fillId="3" borderId="3" xfId="0" quotePrefix="1" applyFont="1" applyFill="1" applyBorder="1" applyAlignment="1" applyProtection="1">
      <alignment horizontal="centerContinuous"/>
    </xf>
    <xf numFmtId="37" fontId="5" fillId="3" borderId="3" xfId="0" applyFont="1" applyFill="1" applyBorder="1" applyProtection="1"/>
    <xf numFmtId="169" fontId="5" fillId="3" borderId="0" xfId="0" applyNumberFormat="1" applyFont="1" applyFill="1" applyProtection="1"/>
    <xf numFmtId="37" fontId="3" fillId="0" borderId="12" xfId="0" applyFont="1" applyBorder="1" applyAlignment="1" applyProtection="1">
      <alignment horizontal="centerContinuous"/>
    </xf>
    <xf numFmtId="37" fontId="3" fillId="0" borderId="3" xfId="0" applyFont="1" applyBorder="1" applyAlignment="1" applyProtection="1">
      <alignment horizontal="centerContinuous"/>
    </xf>
    <xf numFmtId="37" fontId="3" fillId="0" borderId="13" xfId="0" applyFont="1" applyBorder="1" applyAlignment="1" applyProtection="1">
      <alignment horizontal="centerContinuous"/>
    </xf>
    <xf numFmtId="37" fontId="3" fillId="0" borderId="10" xfId="0" applyFont="1" applyBorder="1" applyAlignment="1" applyProtection="1">
      <alignment horizontal="centerContinuous"/>
    </xf>
    <xf numFmtId="37" fontId="3" fillId="0" borderId="7" xfId="0" applyFont="1" applyBorder="1" applyAlignment="1">
      <alignment vertical="center"/>
    </xf>
    <xf numFmtId="37" fontId="3" fillId="0" borderId="0" xfId="0" applyFont="1" applyBorder="1" applyAlignment="1" applyProtection="1">
      <alignment horizontal="center" vertical="center"/>
    </xf>
    <xf numFmtId="37" fontId="3" fillId="0" borderId="14" xfId="0" applyFont="1" applyBorder="1" applyAlignment="1" applyProtection="1">
      <alignment vertical="center"/>
    </xf>
    <xf numFmtId="37" fontId="3" fillId="0" borderId="14" xfId="0" applyFont="1" applyBorder="1" applyAlignment="1" applyProtection="1">
      <alignment horizontal="center" vertical="center"/>
    </xf>
    <xf numFmtId="37" fontId="3" fillId="0" borderId="15" xfId="0" applyFont="1" applyBorder="1" applyAlignment="1" applyProtection="1">
      <alignment horizontal="center" vertical="center"/>
    </xf>
    <xf numFmtId="37" fontId="3" fillId="0" borderId="1" xfId="0" applyFont="1" applyBorder="1" applyAlignment="1" applyProtection="1">
      <alignment horizontal="center" vertical="center"/>
    </xf>
    <xf numFmtId="37" fontId="3" fillId="0" borderId="8" xfId="0" applyFont="1" applyBorder="1" applyAlignment="1">
      <alignment vertical="center"/>
    </xf>
    <xf numFmtId="37" fontId="3" fillId="0" borderId="3" xfId="0" applyFont="1" applyBorder="1" applyAlignment="1" applyProtection="1">
      <alignment horizontal="center" vertical="center"/>
    </xf>
    <xf numFmtId="37" fontId="3" fillId="0" borderId="12" xfId="0" applyFont="1" applyBorder="1" applyAlignment="1" applyProtection="1">
      <alignment horizontal="center" vertical="center"/>
    </xf>
    <xf numFmtId="37" fontId="3" fillId="0" borderId="13" xfId="0" applyFont="1" applyBorder="1" applyAlignment="1" applyProtection="1">
      <alignment horizontal="center" vertical="center"/>
    </xf>
    <xf numFmtId="37" fontId="3" fillId="0" borderId="9" xfId="0" applyFont="1" applyBorder="1" applyAlignment="1" applyProtection="1">
      <alignment horizontal="center" vertical="center"/>
    </xf>
    <xf numFmtId="37" fontId="5" fillId="0" borderId="0" xfId="0" applyFont="1" applyProtection="1"/>
    <xf numFmtId="173" fontId="5" fillId="0" borderId="1" xfId="0" applyNumberFormat="1" applyFont="1" applyBorder="1" applyAlignment="1">
      <alignment vertical="center"/>
    </xf>
    <xf numFmtId="173" fontId="5" fillId="0" borderId="16" xfId="0" applyNumberFormat="1" applyFont="1" applyBorder="1" applyAlignment="1">
      <alignment vertical="center"/>
    </xf>
    <xf numFmtId="173" fontId="5" fillId="0" borderId="6" xfId="0" applyNumberFormat="1" applyFont="1" applyBorder="1" applyAlignment="1">
      <alignment vertical="center"/>
    </xf>
    <xf numFmtId="173" fontId="5" fillId="0" borderId="0" xfId="0" applyNumberFormat="1" applyFont="1" applyAlignment="1">
      <alignment vertical="center"/>
    </xf>
    <xf numFmtId="37" fontId="5" fillId="0" borderId="11" xfId="0" applyFont="1" applyBorder="1" applyProtection="1"/>
    <xf numFmtId="37" fontId="5" fillId="0" borderId="17" xfId="0" applyFont="1" applyBorder="1"/>
    <xf numFmtId="37" fontId="3" fillId="0" borderId="17" xfId="0" applyFont="1" applyBorder="1" applyAlignment="1">
      <alignment horizontal="centerContinuous" vertical="center"/>
    </xf>
    <xf numFmtId="37" fontId="3" fillId="3" borderId="0" xfId="0" applyFont="1" applyFill="1" applyAlignment="1">
      <alignment horizontal="centerContinuous"/>
    </xf>
    <xf numFmtId="37" fontId="5" fillId="3" borderId="0" xfId="0" applyFont="1" applyFill="1" applyAlignment="1">
      <alignment horizontal="centerContinuous"/>
    </xf>
    <xf numFmtId="37" fontId="5" fillId="0" borderId="18" xfId="0" applyFont="1" applyBorder="1"/>
    <xf numFmtId="37" fontId="5" fillId="0" borderId="5" xfId="0" applyFont="1" applyBorder="1"/>
    <xf numFmtId="37" fontId="3" fillId="0" borderId="19" xfId="0" applyFont="1" applyBorder="1"/>
    <xf numFmtId="170" fontId="5" fillId="0" borderId="1" xfId="0" applyNumberFormat="1" applyFont="1" applyBorder="1" applyProtection="1"/>
    <xf numFmtId="170" fontId="5" fillId="0" borderId="6" xfId="0" applyNumberFormat="1" applyFont="1" applyBorder="1" applyProtection="1"/>
    <xf numFmtId="37" fontId="5" fillId="0" borderId="6" xfId="0" applyFont="1" applyBorder="1"/>
    <xf numFmtId="165" fontId="5" fillId="0" borderId="14" xfId="0" applyNumberFormat="1" applyFont="1" applyBorder="1" applyProtection="1"/>
    <xf numFmtId="170" fontId="5" fillId="0" borderId="14" xfId="0" applyNumberFormat="1" applyFont="1" applyBorder="1" applyProtection="1"/>
    <xf numFmtId="49" fontId="9" fillId="0" borderId="6" xfId="0" applyNumberFormat="1" applyFont="1" applyBorder="1"/>
    <xf numFmtId="37" fontId="5" fillId="0" borderId="1" xfId="0" applyNumberFormat="1" applyFont="1" applyBorder="1" applyProtection="1"/>
    <xf numFmtId="37" fontId="5" fillId="0" borderId="6" xfId="0" applyNumberFormat="1" applyFont="1" applyBorder="1" applyProtection="1"/>
    <xf numFmtId="37" fontId="3" fillId="0" borderId="19" xfId="0" applyFont="1" applyBorder="1" applyAlignment="1">
      <alignment vertical="top"/>
    </xf>
    <xf numFmtId="37" fontId="5" fillId="0" borderId="14" xfId="0" applyFont="1" applyBorder="1" applyAlignment="1">
      <alignment horizontal="right" textRotation="180"/>
    </xf>
    <xf numFmtId="170" fontId="5" fillId="0" borderId="0" xfId="0" applyNumberFormat="1" applyFont="1" applyProtection="1"/>
    <xf numFmtId="49" fontId="9" fillId="0" borderId="0" xfId="0" applyNumberFormat="1" applyFont="1"/>
    <xf numFmtId="37" fontId="5" fillId="0" borderId="14" xfId="0" applyNumberFormat="1" applyFont="1" applyBorder="1" applyProtection="1"/>
    <xf numFmtId="37" fontId="5" fillId="0" borderId="0" xfId="0" applyNumberFormat="1" applyFont="1" applyProtection="1"/>
    <xf numFmtId="37" fontId="5" fillId="0" borderId="20" xfId="0" applyFont="1" applyBorder="1"/>
    <xf numFmtId="37" fontId="3" fillId="0" borderId="21" xfId="0" applyFont="1" applyBorder="1"/>
    <xf numFmtId="170" fontId="3" fillId="0" borderId="22" xfId="0" applyNumberFormat="1" applyFont="1" applyBorder="1" applyProtection="1"/>
    <xf numFmtId="170" fontId="3" fillId="0" borderId="21" xfId="0" applyNumberFormat="1" applyFont="1" applyBorder="1" applyProtection="1"/>
    <xf numFmtId="170" fontId="3" fillId="0" borderId="17" xfId="0" applyNumberFormat="1" applyFont="1" applyBorder="1" applyProtection="1"/>
    <xf numFmtId="170" fontId="5" fillId="0" borderId="17" xfId="0" applyNumberFormat="1" applyFont="1" applyBorder="1"/>
    <xf numFmtId="39" fontId="5" fillId="0" borderId="0" xfId="0" applyNumberFormat="1" applyFont="1"/>
    <xf numFmtId="37" fontId="5" fillId="3" borderId="2" xfId="0" applyFont="1" applyFill="1" applyBorder="1" applyAlignment="1">
      <alignment horizontal="center"/>
    </xf>
    <xf numFmtId="37" fontId="5" fillId="3" borderId="3" xfId="0" applyFont="1" applyFill="1" applyBorder="1"/>
    <xf numFmtId="37" fontId="3" fillId="0" borderId="7" xfId="0" applyFont="1" applyBorder="1"/>
    <xf numFmtId="37" fontId="3" fillId="3" borderId="0" xfId="0" applyFont="1" applyFill="1" applyBorder="1" applyAlignment="1">
      <alignment horizontal="right"/>
    </xf>
    <xf numFmtId="37" fontId="3" fillId="3" borderId="1" xfId="0" applyFont="1" applyFill="1" applyBorder="1"/>
    <xf numFmtId="37" fontId="3" fillId="3" borderId="0" xfId="0" applyFont="1" applyFill="1"/>
    <xf numFmtId="37" fontId="5" fillId="3" borderId="2" xfId="0" applyFont="1" applyFill="1" applyBorder="1" applyAlignment="1"/>
    <xf numFmtId="37" fontId="3" fillId="3" borderId="3" xfId="0" applyFont="1" applyFill="1" applyBorder="1" applyAlignment="1" applyProtection="1">
      <alignment horizontal="centerContinuous" vertical="center"/>
    </xf>
    <xf numFmtId="37" fontId="5" fillId="3" borderId="3" xfId="0" applyFont="1" applyFill="1" applyBorder="1" applyAlignment="1"/>
    <xf numFmtId="49" fontId="3" fillId="0" borderId="23" xfId="0" applyNumberFormat="1" applyFont="1" applyBorder="1" applyAlignment="1">
      <alignment horizontal="center"/>
    </xf>
    <xf numFmtId="49" fontId="3" fillId="0" borderId="24" xfId="0" applyNumberFormat="1" applyFont="1" applyBorder="1" applyAlignment="1">
      <alignment horizontal="center"/>
    </xf>
    <xf numFmtId="37" fontId="3" fillId="3" borderId="4" xfId="0" applyFont="1" applyFill="1" applyBorder="1" applyAlignment="1">
      <alignment horizontal="centerContinuous"/>
    </xf>
    <xf numFmtId="37" fontId="3" fillId="3" borderId="5" xfId="0" applyFont="1" applyFill="1" applyBorder="1" applyAlignment="1">
      <alignment horizontal="centerContinuous"/>
    </xf>
    <xf numFmtId="37" fontId="3" fillId="0" borderId="10" xfId="0" applyFont="1" applyBorder="1" applyAlignment="1">
      <alignment horizontal="centerContinuous"/>
    </xf>
    <xf numFmtId="37" fontId="3" fillId="0" borderId="9" xfId="0" applyFont="1" applyBorder="1" applyAlignment="1">
      <alignment horizontal="centerContinuous"/>
    </xf>
    <xf numFmtId="37" fontId="5" fillId="0" borderId="0" xfId="0" applyFont="1" applyAlignment="1">
      <alignment horizontal="centerContinuous"/>
    </xf>
    <xf numFmtId="167" fontId="5" fillId="0" borderId="0" xfId="0" applyNumberFormat="1" applyFont="1" applyAlignment="1" applyProtection="1">
      <alignment horizontal="centerContinuous"/>
    </xf>
    <xf numFmtId="37" fontId="5" fillId="3" borderId="2" xfId="0" applyFont="1" applyFill="1" applyBorder="1" applyAlignment="1">
      <alignment horizontal="right"/>
    </xf>
    <xf numFmtId="37" fontId="3" fillId="0" borderId="9" xfId="0" applyFont="1" applyBorder="1"/>
    <xf numFmtId="37" fontId="3" fillId="0" borderId="9" xfId="0" applyFont="1" applyBorder="1" applyAlignment="1">
      <alignment horizontal="center"/>
    </xf>
    <xf numFmtId="37" fontId="3" fillId="4" borderId="1" xfId="0" applyFont="1" applyFill="1" applyBorder="1" applyAlignment="1">
      <alignment horizontal="center"/>
    </xf>
    <xf numFmtId="37" fontId="5" fillId="4" borderId="0" xfId="0" applyFont="1" applyFill="1" applyBorder="1"/>
    <xf numFmtId="167" fontId="5" fillId="5" borderId="0" xfId="0" applyNumberFormat="1" applyFont="1" applyFill="1" applyBorder="1" applyProtection="1"/>
    <xf numFmtId="167" fontId="3" fillId="5" borderId="0" xfId="0" applyNumberFormat="1" applyFont="1" applyFill="1" applyBorder="1" applyProtection="1"/>
    <xf numFmtId="37" fontId="3" fillId="0" borderId="9" xfId="0" applyFont="1" applyBorder="1" applyAlignment="1">
      <alignment horizontal="centerContinuous" vertical="center"/>
    </xf>
    <xf numFmtId="37" fontId="3" fillId="3" borderId="2" xfId="0" applyFont="1" applyFill="1" applyBorder="1" applyAlignment="1">
      <alignment horizontal="centerContinuous"/>
    </xf>
    <xf numFmtId="167" fontId="5" fillId="0" borderId="11" xfId="0" applyNumberFormat="1" applyFont="1" applyBorder="1" applyAlignment="1" applyProtection="1">
      <alignment horizontal="right"/>
    </xf>
    <xf numFmtId="37" fontId="3" fillId="0" borderId="17" xfId="0" applyFont="1" applyBorder="1" applyAlignment="1">
      <alignment horizontal="centerContinuous"/>
    </xf>
    <xf numFmtId="37" fontId="5" fillId="0" borderId="17" xfId="0" applyFont="1" applyBorder="1" applyAlignment="1">
      <alignment horizontal="centerContinuous"/>
    </xf>
    <xf numFmtId="37" fontId="5" fillId="0" borderId="17" xfId="0" applyFont="1" applyBorder="1" applyAlignment="1"/>
    <xf numFmtId="37" fontId="5" fillId="0" borderId="17" xfId="0" applyFont="1" applyBorder="1" applyAlignment="1">
      <alignment horizontal="right"/>
    </xf>
    <xf numFmtId="37" fontId="3" fillId="0" borderId="0" xfId="0" applyFont="1" applyAlignment="1">
      <alignment horizontal="centerContinuous"/>
    </xf>
    <xf numFmtId="37" fontId="3" fillId="0" borderId="20" xfId="0" applyFont="1" applyBorder="1" applyAlignment="1">
      <alignment horizontal="centerContinuous"/>
    </xf>
    <xf numFmtId="37" fontId="5" fillId="0" borderId="21" xfId="0" applyFont="1" applyBorder="1" applyAlignment="1">
      <alignment horizontal="centerContinuous"/>
    </xf>
    <xf numFmtId="37" fontId="3" fillId="3" borderId="26" xfId="0" applyFont="1" applyFill="1" applyBorder="1" applyAlignment="1">
      <alignment horizontal="center"/>
    </xf>
    <xf numFmtId="37" fontId="3" fillId="3" borderId="12" xfId="0" applyFont="1" applyFill="1" applyBorder="1" applyAlignment="1">
      <alignment horizontal="centerContinuous"/>
    </xf>
    <xf numFmtId="37" fontId="3" fillId="3" borderId="9" xfId="0" applyFont="1" applyFill="1" applyBorder="1" applyAlignment="1">
      <alignment horizontal="centerContinuous"/>
    </xf>
    <xf numFmtId="37" fontId="5" fillId="0" borderId="2" xfId="0" applyFont="1" applyBorder="1"/>
    <xf numFmtId="170" fontId="5" fillId="3" borderId="7" xfId="0" applyNumberFormat="1" applyFont="1" applyFill="1" applyBorder="1" applyProtection="1"/>
    <xf numFmtId="37" fontId="5" fillId="3" borderId="23" xfId="0" applyFont="1" applyFill="1" applyBorder="1"/>
    <xf numFmtId="170" fontId="5" fillId="3" borderId="23" xfId="0" applyNumberFormat="1" applyFont="1" applyFill="1" applyBorder="1" applyProtection="1"/>
    <xf numFmtId="37" fontId="5" fillId="0" borderId="23" xfId="0" applyFont="1" applyBorder="1"/>
    <xf numFmtId="170" fontId="5" fillId="0" borderId="23" xfId="0" applyNumberFormat="1" applyFont="1" applyBorder="1" applyProtection="1"/>
    <xf numFmtId="170" fontId="5" fillId="0" borderId="23" xfId="0" applyNumberFormat="1" applyFont="1" applyBorder="1"/>
    <xf numFmtId="37" fontId="5" fillId="0" borderId="8" xfId="0" applyFont="1" applyBorder="1" applyAlignment="1">
      <alignment horizontal="left"/>
    </xf>
    <xf numFmtId="170" fontId="5" fillId="0" borderId="8" xfId="0" applyNumberFormat="1" applyFont="1" applyBorder="1" applyProtection="1"/>
    <xf numFmtId="37" fontId="3" fillId="0" borderId="26" xfId="0" applyFont="1" applyFill="1" applyBorder="1"/>
    <xf numFmtId="37" fontId="5" fillId="0" borderId="23" xfId="0" applyNumberFormat="1" applyFont="1" applyBorder="1" applyProtection="1"/>
    <xf numFmtId="37" fontId="5" fillId="0" borderId="23" xfId="0" quotePrefix="1" applyFont="1" applyBorder="1" applyAlignment="1">
      <alignment horizontal="left"/>
    </xf>
    <xf numFmtId="37" fontId="5" fillId="0" borderId="8" xfId="0" applyFont="1" applyBorder="1"/>
    <xf numFmtId="37" fontId="3" fillId="0" borderId="7" xfId="0" applyFont="1" applyFill="1" applyBorder="1"/>
    <xf numFmtId="37" fontId="5" fillId="0" borderId="8" xfId="0" applyNumberFormat="1" applyFont="1" applyBorder="1" applyProtection="1"/>
    <xf numFmtId="170" fontId="3" fillId="0" borderId="26" xfId="0" applyNumberFormat="1" applyFont="1" applyFill="1" applyBorder="1"/>
    <xf numFmtId="166" fontId="5" fillId="0" borderId="0" xfId="0" applyNumberFormat="1" applyFont="1" applyProtection="1"/>
    <xf numFmtId="49" fontId="5" fillId="0" borderId="0" xfId="0" applyNumberFormat="1" applyFont="1"/>
    <xf numFmtId="37" fontId="5" fillId="0" borderId="0" xfId="0" applyFont="1" applyAlignment="1">
      <alignment horizontal="right"/>
    </xf>
    <xf numFmtId="37" fontId="5" fillId="0" borderId="0" xfId="0" applyNumberFormat="1" applyFont="1" applyAlignment="1" applyProtection="1">
      <alignment horizontal="right"/>
    </xf>
    <xf numFmtId="49" fontId="5" fillId="0" borderId="0" xfId="0" quotePrefix="1" applyNumberFormat="1" applyFont="1" applyBorder="1" applyAlignment="1">
      <alignment horizontal="left"/>
    </xf>
    <xf numFmtId="37" fontId="5" fillId="0" borderId="0" xfId="0" quotePrefix="1" applyFont="1" applyAlignment="1">
      <alignment horizontal="left"/>
    </xf>
    <xf numFmtId="165" fontId="5" fillId="0" borderId="2" xfId="0" applyNumberFormat="1" applyFont="1" applyBorder="1" applyAlignment="1" applyProtection="1">
      <alignment vertical="center"/>
    </xf>
    <xf numFmtId="37" fontId="5" fillId="0" borderId="27" xfId="0" applyFont="1" applyBorder="1" applyAlignment="1">
      <alignment horizontal="centerContinuous"/>
    </xf>
    <xf numFmtId="37" fontId="6" fillId="0" borderId="2" xfId="0" applyFont="1" applyBorder="1" applyProtection="1">
      <protection locked="0"/>
    </xf>
    <xf numFmtId="165" fontId="5" fillId="0" borderId="3" xfId="0" applyNumberFormat="1" applyFont="1" applyBorder="1" applyAlignment="1" applyProtection="1">
      <alignment vertical="center"/>
    </xf>
    <xf numFmtId="37" fontId="6" fillId="0" borderId="3" xfId="0" applyFont="1" applyBorder="1" applyProtection="1">
      <protection locked="0"/>
    </xf>
    <xf numFmtId="37" fontId="3" fillId="3" borderId="20" xfId="0" applyFont="1" applyFill="1" applyBorder="1" applyAlignment="1">
      <alignment horizontal="left"/>
    </xf>
    <xf numFmtId="37" fontId="5" fillId="3" borderId="17" xfId="0" applyFont="1" applyFill="1" applyBorder="1" applyAlignment="1"/>
    <xf numFmtId="37" fontId="5" fillId="3" borderId="21" xfId="0" applyFont="1" applyFill="1" applyBorder="1" applyAlignment="1"/>
    <xf numFmtId="37" fontId="3" fillId="3" borderId="6" xfId="0" applyFont="1" applyFill="1" applyBorder="1" applyAlignment="1">
      <alignment horizontal="centerContinuous"/>
    </xf>
    <xf numFmtId="37" fontId="3" fillId="3" borderId="6" xfId="0" applyFont="1" applyFill="1" applyBorder="1"/>
    <xf numFmtId="170" fontId="5" fillId="0" borderId="1" xfId="0" applyNumberFormat="1" applyFont="1" applyBorder="1"/>
    <xf numFmtId="170" fontId="5" fillId="0" borderId="0" xfId="0" applyNumberFormat="1" applyFont="1"/>
    <xf numFmtId="37" fontId="5" fillId="0" borderId="27" xfId="0" applyFont="1" applyBorder="1" applyAlignment="1"/>
    <xf numFmtId="37" fontId="3" fillId="3" borderId="17" xfId="0" applyFont="1" applyFill="1" applyBorder="1" applyAlignment="1"/>
    <xf numFmtId="37" fontId="5" fillId="3" borderId="2" xfId="0" applyFont="1" applyFill="1" applyBorder="1" applyAlignment="1">
      <alignment horizontal="centerContinuous" vertical="center"/>
    </xf>
    <xf numFmtId="37" fontId="5" fillId="3" borderId="3" xfId="0" applyFont="1" applyFill="1" applyBorder="1" applyAlignment="1">
      <alignment horizontal="centerContinuous" vertical="center"/>
    </xf>
    <xf numFmtId="37" fontId="5" fillId="0" borderId="11" xfId="0" applyFont="1" applyBorder="1" applyAlignment="1">
      <alignment horizontal="centerContinuous"/>
    </xf>
    <xf numFmtId="39" fontId="5" fillId="0" borderId="1" xfId="0" applyNumberFormat="1" applyFont="1" applyBorder="1"/>
    <xf numFmtId="0" fontId="5" fillId="3" borderId="2" xfId="0" applyNumberFormat="1" applyFont="1" applyFill="1" applyBorder="1" applyAlignment="1"/>
    <xf numFmtId="0" fontId="5" fillId="3" borderId="3" xfId="0" applyNumberFormat="1" applyFont="1" applyFill="1" applyBorder="1" applyAlignment="1"/>
    <xf numFmtId="37" fontId="5" fillId="3" borderId="6" xfId="0" applyFont="1" applyFill="1" applyBorder="1"/>
    <xf numFmtId="37" fontId="3" fillId="0" borderId="5" xfId="0" applyFont="1" applyBorder="1" applyAlignment="1">
      <alignment horizontal="centerContinuous"/>
    </xf>
    <xf numFmtId="39" fontId="5" fillId="0" borderId="0" xfId="0" applyNumberFormat="1" applyFont="1" applyProtection="1"/>
    <xf numFmtId="37" fontId="5" fillId="3" borderId="2" xfId="0" applyFont="1" applyFill="1" applyBorder="1" applyAlignment="1">
      <alignment horizontal="right" vertical="center"/>
    </xf>
    <xf numFmtId="37" fontId="3" fillId="3" borderId="20" xfId="0" applyFont="1" applyFill="1" applyBorder="1"/>
    <xf numFmtId="37" fontId="3" fillId="3" borderId="17" xfId="0" applyFont="1" applyFill="1" applyBorder="1"/>
    <xf numFmtId="37" fontId="5" fillId="3" borderId="17" xfId="0" applyFont="1" applyFill="1" applyBorder="1"/>
    <xf numFmtId="37" fontId="5" fillId="3" borderId="21" xfId="0" applyFont="1" applyFill="1" applyBorder="1"/>
    <xf numFmtId="37" fontId="3" fillId="0" borderId="21" xfId="0" applyFont="1" applyBorder="1" applyAlignment="1">
      <alignment horizontal="centerContinuous"/>
    </xf>
    <xf numFmtId="165" fontId="5" fillId="0" borderId="2" xfId="0" applyNumberFormat="1" applyFont="1" applyBorder="1" applyAlignment="1" applyProtection="1">
      <alignment horizontal="centerContinuous"/>
    </xf>
    <xf numFmtId="165" fontId="5" fillId="0" borderId="3" xfId="0" applyNumberFormat="1" applyFont="1" applyBorder="1" applyAlignment="1" applyProtection="1">
      <alignment horizontal="centerContinuous"/>
    </xf>
    <xf numFmtId="37" fontId="3" fillId="3" borderId="21" xfId="0" applyFont="1" applyFill="1" applyBorder="1" applyAlignment="1">
      <alignment horizontal="centerContinuous"/>
    </xf>
    <xf numFmtId="37" fontId="3" fillId="0" borderId="22" xfId="0" applyFont="1" applyBorder="1" applyAlignment="1">
      <alignment horizontal="centerContinuous"/>
    </xf>
    <xf numFmtId="37" fontId="3" fillId="3" borderId="17" xfId="0" applyFont="1" applyFill="1" applyBorder="1" applyAlignment="1">
      <alignment horizontal="centerContinuous"/>
    </xf>
    <xf numFmtId="37" fontId="5" fillId="3" borderId="17" xfId="0" applyFont="1" applyFill="1" applyBorder="1" applyAlignment="1">
      <alignment horizontal="centerContinuous"/>
    </xf>
    <xf numFmtId="37" fontId="5" fillId="3" borderId="21" xfId="0" applyFont="1" applyFill="1" applyBorder="1" applyAlignment="1">
      <alignment horizontal="centerContinuous"/>
    </xf>
    <xf numFmtId="10" fontId="5" fillId="3" borderId="2" xfId="0" applyNumberFormat="1" applyFont="1" applyFill="1" applyBorder="1" applyAlignment="1" applyProtection="1">
      <alignment horizontal="centerContinuous"/>
    </xf>
    <xf numFmtId="37" fontId="5" fillId="3" borderId="3" xfId="0" applyFont="1" applyFill="1" applyBorder="1" applyAlignment="1" applyProtection="1">
      <alignment horizontal="centerContinuous"/>
      <protection locked="0"/>
    </xf>
    <xf numFmtId="37" fontId="3" fillId="3" borderId="17" xfId="0" applyFont="1" applyFill="1" applyBorder="1" applyProtection="1"/>
    <xf numFmtId="37" fontId="5" fillId="3" borderId="17" xfId="0" applyFont="1" applyFill="1" applyBorder="1" applyProtection="1"/>
    <xf numFmtId="37" fontId="5" fillId="3" borderId="21" xfId="0" applyFont="1" applyFill="1" applyBorder="1" applyProtection="1"/>
    <xf numFmtId="37" fontId="3" fillId="3" borderId="5" xfId="0" applyFont="1" applyFill="1" applyBorder="1" applyProtection="1"/>
    <xf numFmtId="37" fontId="3" fillId="3" borderId="1" xfId="0" applyFont="1" applyFill="1" applyBorder="1" applyProtection="1"/>
    <xf numFmtId="37" fontId="3" fillId="3" borderId="6" xfId="0" applyFont="1" applyFill="1" applyBorder="1" applyAlignment="1" applyProtection="1">
      <alignment horizontal="center"/>
    </xf>
    <xf numFmtId="37" fontId="3" fillId="3" borderId="1" xfId="0" applyFont="1" applyFill="1" applyBorder="1" applyAlignment="1" applyProtection="1">
      <alignment horizontal="centerContinuous"/>
    </xf>
    <xf numFmtId="37" fontId="3" fillId="0" borderId="9" xfId="0" applyFont="1" applyBorder="1" applyAlignment="1" applyProtection="1">
      <alignment horizontal="centerContinuous"/>
    </xf>
    <xf numFmtId="37" fontId="5" fillId="0" borderId="0" xfId="0" applyFont="1" applyBorder="1"/>
    <xf numFmtId="37" fontId="3" fillId="3" borderId="20" xfId="0" applyFont="1" applyFill="1" applyBorder="1" applyAlignment="1"/>
    <xf numFmtId="37" fontId="5" fillId="0" borderId="21" xfId="0" applyFont="1" applyBorder="1"/>
    <xf numFmtId="37" fontId="5" fillId="3" borderId="2" xfId="0" quotePrefix="1" applyFont="1" applyFill="1" applyBorder="1" applyAlignment="1"/>
    <xf numFmtId="37" fontId="5" fillId="0" borderId="0" xfId="0" applyNumberFormat="1" applyFont="1" applyAlignment="1" applyProtection="1">
      <alignment horizontal="centerContinuous"/>
    </xf>
    <xf numFmtId="37" fontId="5" fillId="3" borderId="2" xfId="0" applyFont="1" applyFill="1" applyBorder="1" applyAlignment="1" applyProtection="1"/>
    <xf numFmtId="37" fontId="5" fillId="3" borderId="3" xfId="0" applyFont="1" applyFill="1" applyBorder="1" applyAlignment="1" applyProtection="1"/>
    <xf numFmtId="37" fontId="5" fillId="3" borderId="3" xfId="0" applyFont="1" applyFill="1" applyBorder="1" applyAlignment="1" applyProtection="1">
      <alignment horizontal="center"/>
    </xf>
    <xf numFmtId="37" fontId="3" fillId="3" borderId="20" xfId="0" applyFont="1" applyFill="1" applyBorder="1" applyProtection="1"/>
    <xf numFmtId="37" fontId="5" fillId="3" borderId="17" xfId="0" applyFont="1" applyFill="1" applyBorder="1" applyAlignment="1" applyProtection="1">
      <alignment horizontal="centerContinuous"/>
    </xf>
    <xf numFmtId="37" fontId="5" fillId="3" borderId="21" xfId="0" applyFont="1" applyFill="1" applyBorder="1" applyAlignment="1" applyProtection="1">
      <alignment horizontal="centerContinuous"/>
    </xf>
    <xf numFmtId="37" fontId="3" fillId="3" borderId="6" xfId="0" applyFont="1" applyFill="1" applyBorder="1" applyProtection="1"/>
    <xf numFmtId="37" fontId="3" fillId="3" borderId="28" xfId="0" applyFont="1" applyFill="1" applyBorder="1" applyAlignment="1" applyProtection="1">
      <alignment horizontal="center"/>
    </xf>
    <xf numFmtId="37" fontId="3" fillId="3" borderId="3" xfId="0" applyFont="1" applyFill="1" applyBorder="1" applyAlignment="1" applyProtection="1">
      <alignment horizontal="centerContinuous"/>
    </xf>
    <xf numFmtId="37" fontId="3" fillId="3" borderId="10" xfId="0" applyFont="1" applyFill="1" applyBorder="1" applyAlignment="1" applyProtection="1">
      <alignment horizontal="centerContinuous"/>
    </xf>
    <xf numFmtId="37" fontId="5" fillId="0" borderId="6" xfId="0" applyFont="1" applyBorder="1" applyProtection="1"/>
    <xf numFmtId="37" fontId="3" fillId="0" borderId="28" xfId="0" applyFont="1" applyBorder="1" applyAlignment="1" applyProtection="1">
      <alignment horizontal="center"/>
    </xf>
    <xf numFmtId="37" fontId="5" fillId="0" borderId="4" xfId="0" applyFont="1" applyBorder="1" applyProtection="1"/>
    <xf numFmtId="37" fontId="3" fillId="0" borderId="6" xfId="0" applyFont="1" applyBorder="1" applyAlignment="1" applyProtection="1">
      <alignment horizontal="center"/>
    </xf>
    <xf numFmtId="37" fontId="3" fillId="0" borderId="29" xfId="0" applyFont="1" applyBorder="1" applyAlignment="1" applyProtection="1">
      <alignment horizontal="centerContinuous"/>
    </xf>
    <xf numFmtId="37" fontId="3" fillId="0" borderId="9" xfId="0" applyFont="1" applyBorder="1" applyAlignment="1" applyProtection="1">
      <alignment horizontal="center"/>
    </xf>
    <xf numFmtId="170" fontId="5" fillId="0" borderId="14" xfId="0" applyNumberFormat="1" applyFont="1" applyBorder="1" applyAlignment="1">
      <alignment vertical="center"/>
    </xf>
    <xf numFmtId="174" fontId="5" fillId="0" borderId="28" xfId="0" applyNumberFormat="1" applyFont="1" applyBorder="1" applyAlignment="1">
      <alignment vertical="center"/>
    </xf>
    <xf numFmtId="174" fontId="5" fillId="0" borderId="0" xfId="0" applyNumberFormat="1" applyFont="1" applyAlignment="1">
      <alignment vertical="center"/>
    </xf>
    <xf numFmtId="0" fontId="3" fillId="3" borderId="17" xfId="0" applyNumberFormat="1" applyFont="1" applyFill="1" applyBorder="1" applyAlignment="1" applyProtection="1">
      <alignment horizontal="centerContinuous"/>
    </xf>
    <xf numFmtId="0" fontId="5" fillId="3" borderId="21" xfId="0" applyNumberFormat="1" applyFont="1" applyFill="1" applyBorder="1" applyAlignment="1" applyProtection="1">
      <alignment horizontal="centerContinuous"/>
    </xf>
    <xf numFmtId="37" fontId="3" fillId="3" borderId="6" xfId="0" applyFont="1" applyFill="1" applyBorder="1" applyAlignment="1" applyProtection="1">
      <alignment horizontal="centerContinuous"/>
    </xf>
    <xf numFmtId="37" fontId="3" fillId="3" borderId="3" xfId="0" applyFont="1" applyFill="1" applyBorder="1" applyAlignment="1" applyProtection="1">
      <alignment horizontal="centerContinuous" vertical="center"/>
      <protection locked="0"/>
    </xf>
    <xf numFmtId="37" fontId="3" fillId="3" borderId="1" xfId="0" applyFont="1" applyFill="1" applyBorder="1" applyAlignment="1">
      <alignment horizontal="centerContinuous"/>
    </xf>
    <xf numFmtId="37" fontId="3" fillId="0" borderId="10" xfId="0" applyFont="1" applyBorder="1" applyAlignment="1">
      <alignment horizontal="center"/>
    </xf>
    <xf numFmtId="165" fontId="5" fillId="0" borderId="2" xfId="0" applyNumberFormat="1" applyFont="1" applyBorder="1" applyAlignment="1" applyProtection="1">
      <alignment horizontal="centerContinuous" vertical="center"/>
    </xf>
    <xf numFmtId="37" fontId="5" fillId="0" borderId="27" xfId="0" applyFont="1" applyBorder="1" applyAlignment="1">
      <alignment horizontal="centerContinuous" vertical="center"/>
    </xf>
    <xf numFmtId="165" fontId="5" fillId="0" borderId="3" xfId="0" applyNumberFormat="1" applyFont="1" applyBorder="1" applyAlignment="1" applyProtection="1">
      <alignment horizontal="centerContinuous" vertical="center"/>
    </xf>
    <xf numFmtId="37" fontId="3" fillId="0" borderId="30" xfId="0" applyFont="1" applyFill="1" applyBorder="1" applyAlignment="1">
      <alignment horizontal="centerContinuous"/>
    </xf>
    <xf numFmtId="37" fontId="3" fillId="0" borderId="31" xfId="0" applyFont="1" applyFill="1" applyBorder="1" applyAlignment="1">
      <alignment horizontal="centerContinuous"/>
    </xf>
    <xf numFmtId="37" fontId="3" fillId="0" borderId="32" xfId="0" applyFont="1" applyFill="1" applyBorder="1" applyAlignment="1">
      <alignment horizontal="left"/>
    </xf>
    <xf numFmtId="37" fontId="5" fillId="0" borderId="30" xfId="0" applyFont="1" applyFill="1" applyBorder="1" applyAlignment="1"/>
    <xf numFmtId="37" fontId="5" fillId="0" borderId="33" xfId="0" applyFont="1" applyFill="1" applyBorder="1" applyAlignment="1"/>
    <xf numFmtId="165" fontId="5" fillId="0" borderId="0" xfId="0" applyNumberFormat="1" applyFont="1" applyBorder="1" applyProtection="1"/>
    <xf numFmtId="37" fontId="3" fillId="3" borderId="20" xfId="0" applyFont="1" applyFill="1" applyBorder="1" applyAlignment="1">
      <alignment horizontal="centerContinuous"/>
    </xf>
    <xf numFmtId="165" fontId="6" fillId="0" borderId="0" xfId="0" applyNumberFormat="1" applyFont="1" applyProtection="1">
      <protection locked="0"/>
    </xf>
    <xf numFmtId="165" fontId="5" fillId="0" borderId="17" xfId="0" applyNumberFormat="1" applyFont="1" applyBorder="1" applyAlignment="1" applyProtection="1">
      <alignment vertical="center"/>
    </xf>
    <xf numFmtId="37" fontId="3" fillId="3" borderId="17" xfId="0" quotePrefix="1" applyFont="1" applyFill="1" applyBorder="1" applyAlignment="1" applyProtection="1">
      <alignment horizontal="centerContinuous" vertical="center"/>
    </xf>
    <xf numFmtId="37" fontId="5" fillId="0" borderId="17" xfId="0" applyFont="1" applyBorder="1" applyAlignment="1">
      <alignment horizontal="right" vertical="center"/>
    </xf>
    <xf numFmtId="37" fontId="3" fillId="0" borderId="4" xfId="0" applyFont="1" applyBorder="1" applyAlignment="1">
      <alignment horizontal="centerContinuous"/>
    </xf>
    <xf numFmtId="37" fontId="3" fillId="0" borderId="4" xfId="0" applyFont="1" applyBorder="1" applyAlignment="1">
      <alignment horizontal="center"/>
    </xf>
    <xf numFmtId="37" fontId="3" fillId="0" borderId="1" xfId="0" applyFont="1" applyBorder="1" applyAlignment="1">
      <alignment horizontal="centerContinuous"/>
    </xf>
    <xf numFmtId="37" fontId="3" fillId="0" borderId="1" xfId="0" applyFont="1" applyBorder="1" applyAlignment="1">
      <alignment horizontal="center"/>
    </xf>
    <xf numFmtId="37" fontId="5" fillId="0" borderId="0" xfId="0" applyFont="1" applyAlignment="1">
      <alignment wrapText="1"/>
    </xf>
    <xf numFmtId="37" fontId="5" fillId="0" borderId="17" xfId="0" applyFont="1" applyBorder="1" applyAlignment="1">
      <alignment vertical="center"/>
    </xf>
    <xf numFmtId="37" fontId="3" fillId="3" borderId="22" xfId="0" applyFont="1" applyFill="1" applyBorder="1" applyAlignment="1">
      <alignment horizontal="centerContinuous"/>
    </xf>
    <xf numFmtId="37" fontId="5" fillId="0" borderId="17" xfId="0" applyFont="1" applyBorder="1" applyAlignment="1">
      <alignment horizontal="left" vertical="center"/>
    </xf>
    <xf numFmtId="37" fontId="5" fillId="0" borderId="17" xfId="0" applyFont="1" applyBorder="1" applyAlignment="1">
      <alignment horizontal="left"/>
    </xf>
    <xf numFmtId="49" fontId="5" fillId="0" borderId="0" xfId="2" applyNumberFormat="1" applyFont="1"/>
    <xf numFmtId="37" fontId="3" fillId="0" borderId="2" xfId="0" applyFont="1" applyBorder="1" applyAlignment="1">
      <alignment horizontal="centerContinuous" vertical="center"/>
    </xf>
    <xf numFmtId="37" fontId="5" fillId="0" borderId="2" xfId="0" applyFont="1" applyBorder="1" applyAlignment="1">
      <alignment horizontal="centerContinuous" vertical="center"/>
    </xf>
    <xf numFmtId="37" fontId="3" fillId="0" borderId="3" xfId="0" applyFont="1" applyBorder="1" applyAlignment="1">
      <alignment horizontal="centerContinuous" vertical="center"/>
    </xf>
    <xf numFmtId="37" fontId="5" fillId="0" borderId="3" xfId="0" applyFont="1" applyBorder="1" applyAlignment="1">
      <alignment horizontal="centerContinuous" vertical="center"/>
    </xf>
    <xf numFmtId="37" fontId="11" fillId="0" borderId="3" xfId="0" applyFont="1" applyBorder="1" applyAlignment="1">
      <alignment horizontal="centerContinuous" vertical="center"/>
    </xf>
    <xf numFmtId="49" fontId="3" fillId="0" borderId="9" xfId="0" applyNumberFormat="1" applyFont="1" applyBorder="1"/>
    <xf numFmtId="167" fontId="5" fillId="0" borderId="0" xfId="0" applyNumberFormat="1" applyFont="1"/>
    <xf numFmtId="173" fontId="5" fillId="0" borderId="1" xfId="0" applyNumberFormat="1" applyFont="1" applyBorder="1"/>
    <xf numFmtId="172" fontId="5" fillId="0" borderId="0" xfId="0" applyNumberFormat="1" applyFont="1"/>
    <xf numFmtId="173" fontId="5" fillId="0" borderId="0" xfId="0" applyNumberFormat="1" applyFont="1"/>
    <xf numFmtId="165" fontId="5" fillId="0" borderId="0" xfId="0" applyNumberFormat="1" applyFont="1" applyAlignment="1" applyProtection="1">
      <alignment horizontal="right"/>
    </xf>
    <xf numFmtId="37" fontId="5" fillId="0" borderId="0" xfId="0" applyFont="1" applyAlignment="1">
      <alignment horizontal="center"/>
    </xf>
    <xf numFmtId="37" fontId="5" fillId="0" borderId="34" xfId="0" applyFont="1" applyBorder="1"/>
    <xf numFmtId="37" fontId="5" fillId="0" borderId="30" xfId="0" applyFont="1" applyBorder="1"/>
    <xf numFmtId="0" fontId="5" fillId="0" borderId="0" xfId="0" applyNumberFormat="1" applyFont="1" applyAlignment="1">
      <alignment horizontal="center"/>
    </xf>
    <xf numFmtId="37" fontId="5" fillId="3" borderId="0" xfId="0" applyFont="1" applyFill="1" applyAlignment="1">
      <alignment horizontal="left"/>
    </xf>
    <xf numFmtId="37" fontId="5" fillId="0" borderId="0" xfId="0" quotePrefix="1" applyFont="1" applyAlignment="1">
      <alignment horizontal="center"/>
    </xf>
    <xf numFmtId="37" fontId="3" fillId="0" borderId="23" xfId="0" applyFont="1" applyBorder="1" applyAlignment="1">
      <alignment horizontal="center" vertical="center"/>
    </xf>
    <xf numFmtId="164" fontId="5" fillId="0" borderId="0" xfId="2" applyFont="1" applyAlignment="1">
      <alignment horizontal="left"/>
    </xf>
    <xf numFmtId="37" fontId="5" fillId="0" borderId="2" xfId="0" applyFont="1" applyBorder="1" applyAlignment="1">
      <alignment horizontal="centerContinuous"/>
    </xf>
    <xf numFmtId="37" fontId="5" fillId="0" borderId="2" xfId="0" applyFont="1" applyBorder="1" applyAlignment="1"/>
    <xf numFmtId="37" fontId="5" fillId="0" borderId="3" xfId="0" applyFont="1" applyBorder="1" applyAlignment="1">
      <alignment horizontal="centerContinuous"/>
    </xf>
    <xf numFmtId="37" fontId="5" fillId="0" borderId="3" xfId="0" applyFont="1" applyBorder="1" applyAlignment="1"/>
    <xf numFmtId="37" fontId="5" fillId="0" borderId="11" xfId="0" applyFont="1" applyBorder="1" applyAlignment="1">
      <alignment vertical="center"/>
    </xf>
    <xf numFmtId="37" fontId="5" fillId="0" borderId="0" xfId="0" quotePrefix="1" applyFont="1" applyBorder="1" applyAlignment="1">
      <alignment horizontal="centerContinuous"/>
    </xf>
    <xf numFmtId="49" fontId="3" fillId="5" borderId="22" xfId="0" applyNumberFormat="1" applyFont="1" applyFill="1" applyBorder="1" applyAlignment="1">
      <alignment horizontal="center"/>
    </xf>
    <xf numFmtId="37" fontId="3" fillId="3" borderId="17" xfId="0" applyFont="1" applyFill="1" applyBorder="1" applyAlignment="1">
      <alignment horizontal="centerContinuous" vertical="center"/>
    </xf>
    <xf numFmtId="37" fontId="3" fillId="3" borderId="0" xfId="0" applyFont="1" applyFill="1" applyBorder="1" applyAlignment="1">
      <alignment horizontal="centerContinuous" vertical="center"/>
    </xf>
    <xf numFmtId="37" fontId="5" fillId="3" borderId="0" xfId="0" applyFont="1" applyFill="1" applyBorder="1" applyAlignment="1">
      <alignment horizontal="centerContinuous"/>
    </xf>
    <xf numFmtId="37" fontId="5" fillId="3" borderId="0" xfId="0" quotePrefix="1" applyFont="1" applyFill="1" applyBorder="1" applyAlignment="1">
      <alignment horizontal="right"/>
    </xf>
    <xf numFmtId="37" fontId="5" fillId="0" borderId="0" xfId="0" applyFont="1" applyBorder="1" applyAlignment="1">
      <alignment vertical="center"/>
    </xf>
    <xf numFmtId="37" fontId="3" fillId="3" borderId="34" xfId="0" quotePrefix="1" applyFont="1" applyFill="1" applyBorder="1" applyAlignment="1">
      <alignment horizontal="centerContinuous" vertical="center"/>
    </xf>
    <xf numFmtId="37" fontId="5" fillId="0" borderId="30" xfId="0" applyFont="1" applyBorder="1" applyAlignment="1">
      <alignment horizontal="centerContinuous"/>
    </xf>
    <xf numFmtId="37" fontId="5" fillId="0" borderId="33" xfId="0" applyFont="1" applyBorder="1" applyAlignment="1">
      <alignment horizontal="centerContinuous"/>
    </xf>
    <xf numFmtId="37" fontId="3" fillId="0" borderId="35" xfId="0" applyFont="1" applyBorder="1" applyAlignment="1">
      <alignment horizontal="center"/>
    </xf>
    <xf numFmtId="37" fontId="5" fillId="0" borderId="7" xfId="0" applyFont="1" applyBorder="1"/>
    <xf numFmtId="37" fontId="3" fillId="0" borderId="23" xfId="0" applyFont="1" applyBorder="1" applyAlignment="1">
      <alignment horizontal="center"/>
    </xf>
    <xf numFmtId="37" fontId="3" fillId="6" borderId="23" xfId="0" applyFont="1" applyFill="1" applyBorder="1" applyAlignment="1">
      <alignment horizontal="center"/>
    </xf>
    <xf numFmtId="37" fontId="3" fillId="6" borderId="8" xfId="0" applyFont="1" applyFill="1" applyBorder="1" applyAlignment="1">
      <alignment horizontal="center"/>
    </xf>
    <xf numFmtId="49" fontId="5" fillId="0" borderId="0" xfId="0" applyNumberFormat="1" applyFont="1" applyBorder="1" applyAlignment="1">
      <alignment horizontal="left"/>
    </xf>
    <xf numFmtId="37" fontId="5" fillId="0" borderId="0" xfId="0" applyFont="1" applyBorder="1" applyAlignment="1"/>
    <xf numFmtId="37" fontId="5" fillId="3" borderId="0" xfId="0" applyFont="1" applyFill="1" applyBorder="1" applyAlignment="1">
      <alignment horizontal="right"/>
    </xf>
    <xf numFmtId="37" fontId="3" fillId="3" borderId="35" xfId="0" applyFont="1" applyFill="1" applyBorder="1" applyAlignment="1">
      <alignment horizontal="centerContinuous" vertical="center"/>
    </xf>
    <xf numFmtId="37" fontId="3" fillId="0" borderId="8" xfId="0" applyFont="1" applyBorder="1" applyAlignment="1">
      <alignment horizontal="center"/>
    </xf>
    <xf numFmtId="37" fontId="5" fillId="0" borderId="0" xfId="0" applyFont="1" applyBorder="1" applyAlignment="1">
      <alignment horizontal="left"/>
    </xf>
    <xf numFmtId="165" fontId="5" fillId="0" borderId="17" xfId="0" applyNumberFormat="1" applyFont="1" applyBorder="1" applyProtection="1"/>
    <xf numFmtId="37" fontId="5" fillId="0" borderId="17" xfId="0" applyFont="1" applyBorder="1" applyAlignment="1">
      <alignment horizontal="centerContinuous" vertical="center"/>
    </xf>
    <xf numFmtId="165" fontId="5" fillId="0" borderId="0" xfId="0" applyNumberFormat="1" applyFont="1" applyAlignment="1" applyProtection="1">
      <alignment horizontal="centerContinuous"/>
    </xf>
    <xf numFmtId="37" fontId="3" fillId="0" borderId="20" xfId="0" applyFont="1" applyBorder="1" applyAlignment="1">
      <alignment horizontal="centerContinuous" vertical="center"/>
    </xf>
    <xf numFmtId="37" fontId="3" fillId="0" borderId="6" xfId="0" applyFont="1" applyBorder="1" applyAlignment="1">
      <alignment horizontal="center"/>
    </xf>
    <xf numFmtId="37" fontId="6" fillId="0" borderId="17" xfId="0" applyFont="1" applyBorder="1" applyAlignment="1" applyProtection="1">
      <alignment horizontal="centerContinuous" vertical="center"/>
      <protection locked="0"/>
    </xf>
    <xf numFmtId="49" fontId="7" fillId="0" borderId="10" xfId="0" applyNumberFormat="1" applyFont="1" applyBorder="1" applyAlignment="1">
      <alignment horizontal="center"/>
    </xf>
    <xf numFmtId="0" fontId="5" fillId="0" borderId="0" xfId="2" applyNumberFormat="1" applyFont="1" applyAlignment="1"/>
    <xf numFmtId="164" fontId="5" fillId="0" borderId="0" xfId="2" applyFont="1" applyAlignment="1"/>
    <xf numFmtId="37" fontId="5" fillId="0" borderId="0" xfId="0" quotePrefix="1" applyFont="1" applyAlignment="1"/>
    <xf numFmtId="37" fontId="3" fillId="0" borderId="30" xfId="0" applyFont="1" applyBorder="1" applyAlignment="1">
      <alignment horizontal="centerContinuous" vertical="center"/>
    </xf>
    <xf numFmtId="37" fontId="5" fillId="0" borderId="30" xfId="0" applyFont="1" applyBorder="1" applyAlignment="1">
      <alignment horizontal="centerContinuous" vertical="center"/>
    </xf>
    <xf numFmtId="37" fontId="6" fillId="0" borderId="17" xfId="0" applyFont="1" applyBorder="1" applyAlignment="1" applyProtection="1">
      <alignment vertical="center"/>
      <protection locked="0"/>
    </xf>
    <xf numFmtId="37" fontId="3" fillId="0" borderId="1" xfId="0" applyFont="1" applyBorder="1"/>
    <xf numFmtId="37" fontId="5" fillId="0" borderId="10" xfId="0" applyFont="1" applyBorder="1" applyAlignment="1">
      <alignment horizontal="centerContinuous"/>
    </xf>
    <xf numFmtId="49" fontId="5" fillId="0" borderId="0" xfId="0" applyNumberFormat="1" applyFont="1" applyBorder="1" applyAlignment="1">
      <alignment vertical="center"/>
    </xf>
    <xf numFmtId="170" fontId="5" fillId="0" borderId="0" xfId="0" applyNumberFormat="1" applyFont="1" applyBorder="1"/>
    <xf numFmtId="165" fontId="5" fillId="0" borderId="27" xfId="0" applyNumberFormat="1" applyFont="1" applyBorder="1" applyAlignment="1" applyProtection="1">
      <alignment vertical="center"/>
    </xf>
    <xf numFmtId="37" fontId="3" fillId="0" borderId="27" xfId="0" applyFont="1" applyBorder="1" applyAlignment="1">
      <alignment horizontal="centerContinuous" vertical="center"/>
    </xf>
    <xf numFmtId="165" fontId="5" fillId="0" borderId="11" xfId="0" applyNumberFormat="1" applyFont="1" applyBorder="1" applyAlignment="1" applyProtection="1">
      <alignment vertical="center"/>
    </xf>
    <xf numFmtId="37" fontId="5" fillId="0" borderId="11" xfId="0" applyFont="1" applyBorder="1" applyAlignment="1"/>
    <xf numFmtId="37" fontId="5" fillId="0" borderId="36" xfId="0" applyFont="1" applyBorder="1"/>
    <xf numFmtId="166" fontId="5" fillId="0" borderId="0" xfId="6" applyNumberFormat="1" applyFont="1" applyBorder="1"/>
    <xf numFmtId="0" fontId="5" fillId="0" borderId="0" xfId="0" applyNumberFormat="1" applyFont="1"/>
    <xf numFmtId="37" fontId="5" fillId="0" borderId="0" xfId="0" applyNumberFormat="1" applyFont="1"/>
    <xf numFmtId="170" fontId="5" fillId="0" borderId="1" xfId="0" applyNumberFormat="1" applyFont="1" applyBorder="1" applyAlignment="1">
      <alignment horizontal="right"/>
    </xf>
    <xf numFmtId="37" fontId="3" fillId="0" borderId="37" xfId="0" applyFont="1" applyBorder="1"/>
    <xf numFmtId="37" fontId="3" fillId="0" borderId="38" xfId="0" applyFont="1" applyBorder="1"/>
    <xf numFmtId="37" fontId="3" fillId="0" borderId="7" xfId="0" applyFont="1" applyFill="1" applyBorder="1" applyAlignment="1">
      <alignment horizontal="centerContinuous" vertical="center"/>
    </xf>
    <xf numFmtId="37" fontId="3" fillId="0" borderId="23" xfId="0" applyFont="1" applyFill="1" applyBorder="1" applyAlignment="1">
      <alignment horizontal="centerContinuous"/>
    </xf>
    <xf numFmtId="37" fontId="3" fillId="0" borderId="8" xfId="0" applyFont="1" applyFill="1" applyBorder="1" applyAlignment="1">
      <alignment horizontal="centerContinuous"/>
    </xf>
    <xf numFmtId="37" fontId="3" fillId="0" borderId="7" xfId="0" applyFont="1" applyFill="1" applyBorder="1" applyAlignment="1">
      <alignment vertical="center"/>
    </xf>
    <xf numFmtId="37" fontId="3" fillId="0" borderId="23" xfId="0" applyFont="1" applyFill="1" applyBorder="1" applyAlignment="1"/>
    <xf numFmtId="37" fontId="3" fillId="0" borderId="23" xfId="0" applyFont="1" applyFill="1" applyBorder="1" applyAlignment="1">
      <alignment horizontal="center"/>
    </xf>
    <xf numFmtId="37" fontId="12" fillId="3" borderId="0" xfId="0" applyFont="1" applyFill="1" applyAlignment="1">
      <alignment horizontal="centerContinuous"/>
    </xf>
    <xf numFmtId="49" fontId="8" fillId="0" borderId="0" xfId="0" applyNumberFormat="1" applyFont="1" applyAlignment="1">
      <alignment horizontal="right"/>
    </xf>
    <xf numFmtId="37" fontId="12" fillId="0" borderId="0" xfId="0" applyFont="1" applyAlignment="1">
      <alignment horizontal="centerContinuous"/>
    </xf>
    <xf numFmtId="37" fontId="13" fillId="0" borderId="19" xfId="0" applyFont="1" applyBorder="1" applyAlignment="1">
      <alignment horizontal="right" vertical="top" textRotation="180"/>
    </xf>
    <xf numFmtId="168" fontId="5" fillId="3" borderId="23" xfId="0" applyNumberFormat="1" applyFont="1" applyFill="1" applyBorder="1" applyProtection="1"/>
    <xf numFmtId="168" fontId="5" fillId="0" borderId="23" xfId="0" applyNumberFormat="1" applyFont="1" applyBorder="1" applyProtection="1"/>
    <xf numFmtId="168" fontId="5" fillId="0" borderId="8" xfId="0" applyNumberFormat="1" applyFont="1" applyBorder="1" applyProtection="1"/>
    <xf numFmtId="168" fontId="5" fillId="3" borderId="7" xfId="0" applyNumberFormat="1" applyFont="1" applyFill="1" applyBorder="1" applyProtection="1"/>
    <xf numFmtId="168" fontId="3" fillId="0" borderId="26" xfId="6" applyNumberFormat="1" applyFont="1" applyFill="1" applyBorder="1"/>
    <xf numFmtId="168" fontId="3" fillId="0" borderId="7" xfId="6" applyNumberFormat="1" applyFont="1" applyFill="1" applyBorder="1"/>
    <xf numFmtId="168" fontId="5" fillId="0" borderId="0" xfId="0" applyNumberFormat="1" applyFont="1" applyProtection="1"/>
    <xf numFmtId="168" fontId="5" fillId="0" borderId="0" xfId="6" applyNumberFormat="1" applyFont="1"/>
    <xf numFmtId="168" fontId="5" fillId="0" borderId="1" xfId="6" applyNumberFormat="1" applyFont="1" applyBorder="1"/>
    <xf numFmtId="37" fontId="3" fillId="7" borderId="18" xfId="0" applyFont="1" applyFill="1" applyBorder="1" applyAlignment="1">
      <alignment horizontal="centerContinuous"/>
    </xf>
    <xf numFmtId="37" fontId="3" fillId="7" borderId="2" xfId="0" applyFont="1" applyFill="1" applyBorder="1" applyAlignment="1">
      <alignment horizontal="centerContinuous"/>
    </xf>
    <xf numFmtId="37" fontId="3" fillId="7" borderId="5" xfId="0" applyFont="1" applyFill="1" applyBorder="1" applyAlignment="1">
      <alignment horizontal="centerContinuous"/>
    </xf>
    <xf numFmtId="37" fontId="3" fillId="7" borderId="12" xfId="0" applyFont="1" applyFill="1" applyBorder="1" applyAlignment="1">
      <alignment horizontal="centerContinuous"/>
    </xf>
    <xf numFmtId="37" fontId="3" fillId="7" borderId="3" xfId="0" applyFont="1" applyFill="1" applyBorder="1" applyAlignment="1">
      <alignment horizontal="centerContinuous"/>
    </xf>
    <xf numFmtId="37" fontId="3" fillId="7" borderId="10" xfId="0" applyFont="1" applyFill="1" applyBorder="1" applyAlignment="1">
      <alignment horizontal="centerContinuous"/>
    </xf>
    <xf numFmtId="49" fontId="5" fillId="7" borderId="1" xfId="0" applyNumberFormat="1" applyFont="1" applyFill="1" applyBorder="1" applyAlignment="1">
      <alignment vertical="center"/>
    </xf>
    <xf numFmtId="170" fontId="5" fillId="7" borderId="1" xfId="0" applyNumberFormat="1" applyFont="1" applyFill="1" applyBorder="1" applyAlignment="1">
      <alignment vertical="center"/>
    </xf>
    <xf numFmtId="168" fontId="5" fillId="7" borderId="1" xfId="6" applyNumberFormat="1" applyFont="1" applyFill="1" applyBorder="1"/>
    <xf numFmtId="49" fontId="3" fillId="7" borderId="22" xfId="2" applyNumberFormat="1" applyFont="1" applyFill="1" applyBorder="1" applyAlignment="1">
      <alignment vertical="center"/>
    </xf>
    <xf numFmtId="170" fontId="3" fillId="7" borderId="22" xfId="0" applyNumberFormat="1" applyFont="1" applyFill="1" applyBorder="1" applyAlignment="1">
      <alignment vertical="center"/>
    </xf>
    <xf numFmtId="168" fontId="3" fillId="7" borderId="22" xfId="6" applyNumberFormat="1" applyFont="1" applyFill="1" applyBorder="1"/>
    <xf numFmtId="37" fontId="5" fillId="7" borderId="18" xfId="0" applyFont="1" applyFill="1" applyBorder="1"/>
    <xf numFmtId="37" fontId="3" fillId="7" borderId="2" xfId="0" applyFont="1" applyFill="1" applyBorder="1"/>
    <xf numFmtId="37" fontId="5" fillId="7" borderId="5" xfId="0" applyFont="1" applyFill="1" applyBorder="1" applyAlignment="1">
      <alignment horizontal="centerContinuous"/>
    </xf>
    <xf numFmtId="37" fontId="5" fillId="7" borderId="2" xfId="0" applyFont="1" applyFill="1" applyBorder="1" applyAlignment="1">
      <alignment horizontal="centerContinuous"/>
    </xf>
    <xf numFmtId="37" fontId="5" fillId="7" borderId="10" xfId="0" applyFont="1" applyFill="1" applyBorder="1" applyAlignment="1">
      <alignment horizontal="centerContinuous"/>
    </xf>
    <xf numFmtId="37" fontId="3" fillId="8" borderId="26" xfId="0" applyFont="1" applyFill="1" applyBorder="1"/>
    <xf numFmtId="37" fontId="3" fillId="8" borderId="39" xfId="0" applyFont="1" applyFill="1" applyBorder="1"/>
    <xf numFmtId="37" fontId="3" fillId="7" borderId="20" xfId="0" applyFont="1" applyFill="1" applyBorder="1" applyAlignment="1">
      <alignment horizontal="centerContinuous"/>
    </xf>
    <xf numFmtId="37" fontId="5" fillId="7" borderId="17" xfId="0" applyFont="1" applyFill="1" applyBorder="1" applyAlignment="1">
      <alignment horizontal="centerContinuous"/>
    </xf>
    <xf numFmtId="37" fontId="5" fillId="7" borderId="21" xfId="0" applyFont="1" applyFill="1" applyBorder="1" applyAlignment="1">
      <alignment horizontal="centerContinuous"/>
    </xf>
    <xf numFmtId="37" fontId="3" fillId="7" borderId="4" xfId="0" applyFont="1" applyFill="1" applyBorder="1" applyAlignment="1">
      <alignment horizontal="centerContinuous"/>
    </xf>
    <xf numFmtId="37" fontId="3" fillId="7" borderId="5" xfId="0" applyFont="1" applyFill="1" applyBorder="1" applyAlignment="1">
      <alignment horizontal="center"/>
    </xf>
    <xf numFmtId="37" fontId="3" fillId="7" borderId="2" xfId="0" applyFont="1" applyFill="1" applyBorder="1" applyAlignment="1">
      <alignment horizontal="center"/>
    </xf>
    <xf numFmtId="37" fontId="3" fillId="7" borderId="9" xfId="0" applyFont="1" applyFill="1" applyBorder="1" applyAlignment="1">
      <alignment horizontal="centerContinuous"/>
    </xf>
    <xf numFmtId="37" fontId="5" fillId="7" borderId="3" xfId="0" applyFont="1" applyFill="1" applyBorder="1" applyAlignment="1">
      <alignment horizontal="centerContinuous"/>
    </xf>
    <xf numFmtId="37" fontId="3" fillId="7" borderId="34" xfId="0" applyFont="1" applyFill="1" applyBorder="1" applyAlignment="1">
      <alignment horizontal="centerContinuous"/>
    </xf>
    <xf numFmtId="37" fontId="3" fillId="7" borderId="30" xfId="0" applyFont="1" applyFill="1" applyBorder="1" applyAlignment="1">
      <alignment horizontal="centerContinuous"/>
    </xf>
    <xf numFmtId="37" fontId="3" fillId="7" borderId="31" xfId="0" applyFont="1" applyFill="1" applyBorder="1" applyAlignment="1">
      <alignment horizontal="centerContinuous"/>
    </xf>
    <xf numFmtId="37" fontId="3" fillId="7" borderId="40" xfId="0" applyFont="1" applyFill="1" applyBorder="1" applyAlignment="1">
      <alignment horizontal="center"/>
    </xf>
    <xf numFmtId="37" fontId="3" fillId="7" borderId="21" xfId="0" applyFont="1" applyFill="1" applyBorder="1" applyAlignment="1">
      <alignment horizontal="center"/>
    </xf>
    <xf numFmtId="37" fontId="3" fillId="7" borderId="22" xfId="0" applyFont="1" applyFill="1" applyBorder="1" applyAlignment="1">
      <alignment horizontal="center"/>
    </xf>
    <xf numFmtId="173" fontId="5" fillId="7" borderId="1" xfId="0" applyNumberFormat="1" applyFont="1" applyFill="1" applyBorder="1" applyAlignment="1">
      <alignment vertical="center"/>
    </xf>
    <xf numFmtId="173" fontId="3" fillId="7" borderId="22" xfId="0" applyNumberFormat="1" applyFont="1" applyFill="1" applyBorder="1" applyAlignment="1">
      <alignment vertical="center"/>
    </xf>
    <xf numFmtId="37" fontId="3" fillId="7" borderId="20" xfId="0" applyFont="1" applyFill="1" applyBorder="1" applyAlignment="1">
      <alignment horizontal="centerContinuous" vertical="center"/>
    </xf>
    <xf numFmtId="37" fontId="3" fillId="7" borderId="21" xfId="0" applyFont="1" applyFill="1" applyBorder="1" applyAlignment="1">
      <alignment horizontal="centerContinuous"/>
    </xf>
    <xf numFmtId="37" fontId="3" fillId="7" borderId="20" xfId="0" applyFont="1" applyFill="1" applyBorder="1" applyAlignment="1" applyProtection="1">
      <alignment horizontal="centerContinuous"/>
    </xf>
    <xf numFmtId="37" fontId="3" fillId="7" borderId="17" xfId="0" applyFont="1" applyFill="1" applyBorder="1" applyAlignment="1" applyProtection="1">
      <alignment horizontal="centerContinuous"/>
    </xf>
    <xf numFmtId="37" fontId="3" fillId="7" borderId="20" xfId="0" applyFont="1" applyFill="1" applyBorder="1" applyAlignment="1" applyProtection="1">
      <alignment horizontal="centerContinuous" vertical="center"/>
    </xf>
    <xf numFmtId="37" fontId="3" fillId="7" borderId="21" xfId="0" applyFont="1" applyFill="1" applyBorder="1" applyAlignment="1" applyProtection="1">
      <alignment horizontal="centerContinuous"/>
    </xf>
    <xf numFmtId="173" fontId="5" fillId="7" borderId="16" xfId="0" applyNumberFormat="1" applyFont="1" applyFill="1" applyBorder="1" applyAlignment="1">
      <alignment vertical="center"/>
    </xf>
    <xf numFmtId="173" fontId="5" fillId="7" borderId="6" xfId="0" applyNumberFormat="1" applyFont="1" applyFill="1" applyBorder="1" applyAlignment="1">
      <alignment vertical="center"/>
    </xf>
    <xf numFmtId="37" fontId="3" fillId="7" borderId="21" xfId="0" applyFont="1" applyFill="1" applyBorder="1" applyAlignment="1">
      <alignment horizontal="centerContinuous" vertical="center"/>
    </xf>
    <xf numFmtId="37" fontId="5" fillId="7" borderId="14" xfId="0" applyFont="1" applyFill="1" applyBorder="1" applyProtection="1"/>
    <xf numFmtId="37" fontId="5" fillId="7" borderId="0" xfId="0" applyFont="1" applyFill="1" applyProtection="1"/>
    <xf numFmtId="37" fontId="5" fillId="7" borderId="6" xfId="0" applyFont="1" applyFill="1" applyBorder="1" applyProtection="1"/>
    <xf numFmtId="37" fontId="3" fillId="7" borderId="18" xfId="0" applyFont="1" applyFill="1" applyBorder="1" applyAlignment="1" applyProtection="1">
      <alignment horizontal="centerContinuous"/>
    </xf>
    <xf numFmtId="37" fontId="5" fillId="7" borderId="2" xfId="0" applyFont="1" applyFill="1" applyBorder="1" applyAlignment="1" applyProtection="1">
      <alignment horizontal="centerContinuous"/>
    </xf>
    <xf numFmtId="37" fontId="5" fillId="7" borderId="5" xfId="0" applyFont="1" applyFill="1" applyBorder="1" applyAlignment="1" applyProtection="1">
      <alignment horizontal="centerContinuous"/>
    </xf>
    <xf numFmtId="37" fontId="3" fillId="7" borderId="12" xfId="0" applyFont="1" applyFill="1" applyBorder="1" applyAlignment="1" applyProtection="1">
      <alignment horizontal="centerContinuous"/>
    </xf>
    <xf numFmtId="37" fontId="3" fillId="7" borderId="3" xfId="0" applyFont="1" applyFill="1" applyBorder="1" applyAlignment="1" applyProtection="1">
      <alignment horizontal="centerContinuous"/>
    </xf>
    <xf numFmtId="37" fontId="3" fillId="7" borderId="10" xfId="0" applyFont="1" applyFill="1" applyBorder="1" applyAlignment="1" applyProtection="1">
      <alignment horizontal="centerContinuous"/>
    </xf>
    <xf numFmtId="37" fontId="3" fillId="7" borderId="41" xfId="0" applyFont="1" applyFill="1" applyBorder="1" applyAlignment="1" applyProtection="1">
      <alignment horizontal="centerContinuous"/>
    </xf>
    <xf numFmtId="37" fontId="5" fillId="7" borderId="0" xfId="0" applyFont="1" applyFill="1" applyAlignment="1" applyProtection="1">
      <alignment horizontal="centerContinuous"/>
    </xf>
    <xf numFmtId="37" fontId="5" fillId="7" borderId="6" xfId="0" applyFont="1" applyFill="1" applyBorder="1" applyAlignment="1" applyProtection="1">
      <alignment horizontal="centerContinuous"/>
    </xf>
    <xf numFmtId="37" fontId="3" fillId="7" borderId="14" xfId="0" applyFont="1" applyFill="1" applyBorder="1" applyAlignment="1" applyProtection="1">
      <alignment horizontal="centerContinuous"/>
    </xf>
    <xf numFmtId="170" fontId="5" fillId="7" borderId="14" xfId="0" applyNumberFormat="1" applyFont="1" applyFill="1" applyBorder="1" applyAlignment="1">
      <alignment vertical="center"/>
    </xf>
    <xf numFmtId="174" fontId="5" fillId="7" borderId="28" xfId="0" applyNumberFormat="1" applyFont="1" applyFill="1" applyBorder="1" applyAlignment="1">
      <alignment vertical="center"/>
    </xf>
    <xf numFmtId="168" fontId="3" fillId="7" borderId="21" xfId="6" applyNumberFormat="1" applyFont="1" applyFill="1" applyBorder="1"/>
    <xf numFmtId="37" fontId="3" fillId="7" borderId="18" xfId="0" applyFont="1" applyFill="1" applyBorder="1" applyAlignment="1"/>
    <xf numFmtId="37" fontId="3" fillId="7" borderId="2" xfId="0" applyFont="1" applyFill="1" applyBorder="1" applyAlignment="1"/>
    <xf numFmtId="37" fontId="3" fillId="7" borderId="5" xfId="0" applyFont="1" applyFill="1" applyBorder="1" applyAlignment="1"/>
    <xf numFmtId="170" fontId="5" fillId="7" borderId="1" xfId="0" applyNumberFormat="1" applyFont="1" applyFill="1" applyBorder="1"/>
    <xf numFmtId="39" fontId="5" fillId="7" borderId="1" xfId="0" applyNumberFormat="1" applyFont="1" applyFill="1" applyBorder="1"/>
    <xf numFmtId="170" fontId="3" fillId="7" borderId="22" xfId="0" applyNumberFormat="1" applyFont="1" applyFill="1" applyBorder="1"/>
    <xf numFmtId="39" fontId="3" fillId="7" borderId="22" xfId="0" applyNumberFormat="1" applyFont="1" applyFill="1" applyBorder="1"/>
    <xf numFmtId="170" fontId="5" fillId="7" borderId="1" xfId="0" applyNumberFormat="1" applyFont="1" applyFill="1" applyBorder="1" applyAlignment="1">
      <alignment horizontal="right"/>
    </xf>
    <xf numFmtId="39" fontId="5" fillId="7" borderId="1" xfId="0" applyNumberFormat="1" applyFont="1" applyFill="1" applyBorder="1" applyAlignment="1">
      <alignment horizontal="right"/>
    </xf>
    <xf numFmtId="37" fontId="5" fillId="7" borderId="2" xfId="0" applyFont="1" applyFill="1" applyBorder="1"/>
    <xf numFmtId="37" fontId="3" fillId="7" borderId="37" xfId="0" applyFont="1" applyFill="1" applyBorder="1" applyAlignment="1">
      <alignment horizontal="centerContinuous"/>
    </xf>
    <xf numFmtId="37" fontId="3" fillId="7" borderId="27" xfId="0" applyFont="1" applyFill="1" applyBorder="1" applyAlignment="1">
      <alignment horizontal="centerContinuous"/>
    </xf>
    <xf numFmtId="37" fontId="3" fillId="7" borderId="42" xfId="0" applyFont="1" applyFill="1" applyBorder="1" applyAlignment="1">
      <alignment horizontal="centerContinuous"/>
    </xf>
    <xf numFmtId="37" fontId="3" fillId="7" borderId="37" xfId="0" applyFont="1" applyFill="1" applyBorder="1" applyAlignment="1">
      <alignment horizontal="left"/>
    </xf>
    <xf numFmtId="37" fontId="3" fillId="7" borderId="27" xfId="0" applyFont="1" applyFill="1" applyBorder="1" applyAlignment="1">
      <alignment horizontal="left"/>
    </xf>
    <xf numFmtId="37" fontId="3" fillId="7" borderId="42" xfId="0" applyFont="1" applyFill="1" applyBorder="1" applyAlignment="1">
      <alignment horizontal="left"/>
    </xf>
    <xf numFmtId="37" fontId="3" fillId="7" borderId="38" xfId="0" applyFont="1" applyFill="1" applyBorder="1" applyAlignment="1">
      <alignment horizontal="centerContinuous"/>
    </xf>
    <xf numFmtId="37" fontId="3" fillId="7" borderId="11" xfId="0" applyFont="1" applyFill="1" applyBorder="1" applyAlignment="1">
      <alignment horizontal="centerContinuous"/>
    </xf>
    <xf numFmtId="37" fontId="3" fillId="7" borderId="43" xfId="0" applyFont="1" applyFill="1" applyBorder="1" applyAlignment="1">
      <alignment horizontal="centerContinuous"/>
    </xf>
    <xf numFmtId="37" fontId="3" fillId="7" borderId="14" xfId="0" applyFont="1" applyFill="1" applyBorder="1" applyAlignment="1">
      <alignment horizontal="centerContinuous"/>
    </xf>
    <xf numFmtId="37" fontId="5" fillId="7" borderId="0" xfId="0" applyFont="1" applyFill="1" applyAlignment="1">
      <alignment horizontal="centerContinuous"/>
    </xf>
    <xf numFmtId="37" fontId="3" fillId="7" borderId="1" xfId="0" applyFont="1" applyFill="1" applyBorder="1" applyAlignment="1">
      <alignment horizontal="centerContinuous"/>
    </xf>
    <xf numFmtId="37" fontId="3" fillId="7" borderId="17" xfId="0" applyFont="1" applyFill="1" applyBorder="1" applyAlignment="1">
      <alignment horizontal="centerContinuous" vertical="center"/>
    </xf>
    <xf numFmtId="37" fontId="5" fillId="7" borderId="17" xfId="0" applyFont="1" applyFill="1" applyBorder="1" applyAlignment="1">
      <alignment horizontal="centerContinuous" vertical="center"/>
    </xf>
    <xf numFmtId="37" fontId="5" fillId="7" borderId="21" xfId="0" applyFont="1" applyFill="1" applyBorder="1" applyAlignment="1">
      <alignment horizontal="centerContinuous" vertical="center"/>
    </xf>
    <xf numFmtId="37" fontId="3" fillId="7" borderId="18" xfId="0" applyFont="1" applyFill="1" applyBorder="1" applyAlignment="1">
      <alignment horizontal="centerContinuous" vertical="center"/>
    </xf>
    <xf numFmtId="37" fontId="3" fillId="7" borderId="17" xfId="0" applyFont="1" applyFill="1" applyBorder="1" applyAlignment="1">
      <alignment horizontal="centerContinuous"/>
    </xf>
    <xf numFmtId="37" fontId="3" fillId="7" borderId="18" xfId="0" applyFont="1" applyFill="1" applyBorder="1"/>
    <xf numFmtId="37" fontId="3" fillId="7" borderId="6" xfId="0" applyFont="1" applyFill="1" applyBorder="1" applyAlignment="1">
      <alignment horizontal="centerContinuous"/>
    </xf>
    <xf numFmtId="37" fontId="3" fillId="7" borderId="0" xfId="0" applyFont="1" applyFill="1"/>
    <xf numFmtId="37" fontId="3" fillId="7" borderId="4" xfId="0" applyFont="1" applyFill="1" applyBorder="1" applyAlignment="1">
      <alignment horizontal="center"/>
    </xf>
    <xf numFmtId="37" fontId="3" fillId="7" borderId="1" xfId="0" applyFont="1" applyFill="1" applyBorder="1" applyAlignment="1">
      <alignment horizontal="center"/>
    </xf>
    <xf numFmtId="37" fontId="3" fillId="7" borderId="9" xfId="0" applyFont="1" applyFill="1" applyBorder="1" applyAlignment="1">
      <alignment horizontal="center"/>
    </xf>
    <xf numFmtId="37" fontId="3" fillId="7" borderId="4" xfId="0" applyFont="1" applyFill="1" applyBorder="1"/>
    <xf numFmtId="37" fontId="3" fillId="7" borderId="0" xfId="0" applyFont="1" applyFill="1" applyBorder="1" applyAlignment="1">
      <alignment horizontal="centerContinuous"/>
    </xf>
    <xf numFmtId="37" fontId="3" fillId="7" borderId="4" xfId="0" applyNumberFormat="1" applyFont="1" applyFill="1" applyBorder="1" applyAlignment="1" applyProtection="1">
      <alignment horizontal="centerContinuous"/>
    </xf>
    <xf numFmtId="37" fontId="3" fillId="7" borderId="4" xfId="0" applyNumberFormat="1" applyFont="1" applyFill="1" applyBorder="1" applyAlignment="1" applyProtection="1">
      <alignment horizontal="center"/>
    </xf>
    <xf numFmtId="37" fontId="3" fillId="7" borderId="1" xfId="0" applyNumberFormat="1" applyFont="1" applyFill="1" applyBorder="1" applyAlignment="1" applyProtection="1">
      <alignment horizontal="center"/>
    </xf>
    <xf numFmtId="37" fontId="3" fillId="7" borderId="9" xfId="0" applyNumberFormat="1" applyFont="1" applyFill="1" applyBorder="1" applyAlignment="1" applyProtection="1">
      <alignment horizontal="centerContinuous"/>
    </xf>
    <xf numFmtId="37" fontId="3" fillId="7" borderId="1" xfId="0" applyNumberFormat="1" applyFont="1" applyFill="1" applyBorder="1" applyAlignment="1" applyProtection="1">
      <alignment horizontal="centerContinuous"/>
    </xf>
    <xf numFmtId="37" fontId="3" fillId="7" borderId="1" xfId="0" applyNumberFormat="1" applyFont="1" applyFill="1" applyBorder="1" applyAlignment="1" applyProtection="1"/>
    <xf numFmtId="37" fontId="3" fillId="7" borderId="1" xfId="0" applyFont="1" applyFill="1" applyBorder="1" applyAlignment="1"/>
    <xf numFmtId="37" fontId="3" fillId="9" borderId="4" xfId="0" applyFont="1" applyFill="1" applyBorder="1" applyAlignment="1">
      <alignment horizontal="centerContinuous"/>
    </xf>
    <xf numFmtId="37" fontId="3" fillId="9" borderId="4" xfId="0" applyFont="1" applyFill="1" applyBorder="1" applyAlignment="1">
      <alignment horizontal="center"/>
    </xf>
    <xf numFmtId="37" fontId="3" fillId="9" borderId="6" xfId="0" applyFont="1" applyFill="1" applyBorder="1" applyAlignment="1">
      <alignment horizontal="centerContinuous"/>
    </xf>
    <xf numFmtId="37" fontId="3" fillId="9" borderId="1" xfId="0" applyFont="1" applyFill="1" applyBorder="1" applyAlignment="1">
      <alignment horizontal="center"/>
    </xf>
    <xf numFmtId="37" fontId="3" fillId="9" borderId="10" xfId="0" applyFont="1" applyFill="1" applyBorder="1" applyAlignment="1">
      <alignment horizontal="centerContinuous"/>
    </xf>
    <xf numFmtId="37" fontId="3" fillId="9" borderId="9" xfId="0" applyFont="1" applyFill="1" applyBorder="1" applyAlignment="1">
      <alignment horizontal="centerContinuous"/>
    </xf>
    <xf numFmtId="37" fontId="3" fillId="7" borderId="14" xfId="0" applyFont="1" applyFill="1" applyBorder="1" applyAlignment="1">
      <alignment horizontal="centerContinuous" vertical="center"/>
    </xf>
    <xf numFmtId="37" fontId="3" fillId="8" borderId="18" xfId="0" applyFont="1" applyFill="1" applyBorder="1" applyAlignment="1">
      <alignment horizontal="centerContinuous"/>
    </xf>
    <xf numFmtId="37" fontId="3" fillId="8" borderId="5" xfId="0" applyFont="1" applyFill="1" applyBorder="1" applyAlignment="1">
      <alignment horizontal="centerContinuous"/>
    </xf>
    <xf numFmtId="37" fontId="3" fillId="8" borderId="18" xfId="0" applyFont="1" applyFill="1" applyBorder="1" applyAlignment="1"/>
    <xf numFmtId="37" fontId="3" fillId="8" borderId="5" xfId="0" applyFont="1" applyFill="1" applyBorder="1" applyAlignment="1"/>
    <xf numFmtId="37" fontId="3" fillId="8" borderId="14" xfId="0" applyFont="1" applyFill="1" applyBorder="1" applyAlignment="1">
      <alignment horizontal="centerContinuous"/>
    </xf>
    <xf numFmtId="37" fontId="3" fillId="8" borderId="6" xfId="0" applyFont="1" applyFill="1" applyBorder="1" applyAlignment="1">
      <alignment horizontal="centerContinuous"/>
    </xf>
    <xf numFmtId="37" fontId="3" fillId="8" borderId="12" xfId="0" applyFont="1" applyFill="1" applyBorder="1" applyAlignment="1">
      <alignment horizontal="centerContinuous"/>
    </xf>
    <xf numFmtId="37" fontId="3" fillId="8" borderId="10" xfId="0" applyFont="1" applyFill="1" applyBorder="1" applyAlignment="1">
      <alignment horizontal="centerContinuous"/>
    </xf>
    <xf numFmtId="37" fontId="5" fillId="7" borderId="6" xfId="0" applyFont="1" applyFill="1" applyBorder="1" applyAlignment="1">
      <alignment horizontal="centerContinuous"/>
    </xf>
    <xf numFmtId="37" fontId="3" fillId="7" borderId="2" xfId="0" applyFont="1" applyFill="1" applyBorder="1" applyAlignment="1">
      <alignment horizontal="centerContinuous" vertical="center"/>
    </xf>
    <xf numFmtId="37" fontId="3" fillId="7" borderId="0" xfId="0" applyFont="1" applyFill="1" applyBorder="1" applyAlignment="1">
      <alignment horizontal="centerContinuous" vertical="center"/>
    </xf>
    <xf numFmtId="170" fontId="5" fillId="5" borderId="1" xfId="0" applyNumberFormat="1" applyFont="1" applyFill="1" applyBorder="1"/>
    <xf numFmtId="170" fontId="5" fillId="4" borderId="1" xfId="0" applyNumberFormat="1" applyFont="1" applyFill="1" applyBorder="1"/>
    <xf numFmtId="37" fontId="5" fillId="4" borderId="0" xfId="0" applyFont="1" applyFill="1"/>
    <xf numFmtId="170" fontId="3" fillId="5" borderId="22" xfId="0" applyNumberFormat="1" applyFont="1" applyFill="1" applyBorder="1"/>
    <xf numFmtId="170" fontId="5" fillId="4" borderId="0" xfId="0" applyNumberFormat="1" applyFont="1" applyFill="1"/>
    <xf numFmtId="37" fontId="3" fillId="7" borderId="34" xfId="6" applyNumberFormat="1" applyFont="1" applyFill="1" applyBorder="1" applyAlignment="1">
      <alignment horizontal="centerContinuous" vertical="center"/>
    </xf>
    <xf numFmtId="37" fontId="5" fillId="7" borderId="30" xfId="6" applyNumberFormat="1" applyFont="1" applyFill="1" applyBorder="1" applyAlignment="1">
      <alignment horizontal="centerContinuous"/>
    </xf>
    <xf numFmtId="37" fontId="5" fillId="7" borderId="33" xfId="6" applyNumberFormat="1" applyFont="1" applyFill="1" applyBorder="1" applyAlignment="1">
      <alignment horizontal="centerContinuous"/>
    </xf>
    <xf numFmtId="49" fontId="7" fillId="0" borderId="8" xfId="0" applyNumberFormat="1" applyFont="1" applyBorder="1" applyAlignment="1">
      <alignment horizontal="center" vertical="top"/>
    </xf>
    <xf numFmtId="168" fontId="5" fillId="0" borderId="1" xfId="6" applyNumberFormat="1" applyFont="1" applyBorder="1" applyAlignment="1">
      <alignment horizontal="right"/>
    </xf>
    <xf numFmtId="168" fontId="5" fillId="7" borderId="1" xfId="6" applyNumberFormat="1" applyFont="1" applyFill="1" applyBorder="1" applyAlignment="1">
      <alignment horizontal="right"/>
    </xf>
    <xf numFmtId="173" fontId="3" fillId="7" borderId="26" xfId="0" applyNumberFormat="1" applyFont="1" applyFill="1" applyBorder="1"/>
    <xf numFmtId="168" fontId="5" fillId="0" borderId="0" xfId="6" applyNumberFormat="1" applyFont="1" applyBorder="1"/>
    <xf numFmtId="166" fontId="5" fillId="5" borderId="1" xfId="6" applyNumberFormat="1" applyFont="1" applyFill="1" applyBorder="1"/>
    <xf numFmtId="166" fontId="5" fillId="4" borderId="1" xfId="6" applyNumberFormat="1" applyFont="1" applyFill="1" applyBorder="1"/>
    <xf numFmtId="166" fontId="5" fillId="4" borderId="1" xfId="6" quotePrefix="1" applyNumberFormat="1" applyFont="1" applyFill="1" applyBorder="1" applyAlignment="1">
      <alignment horizontal="right"/>
    </xf>
    <xf numFmtId="166" fontId="5" fillId="4" borderId="0" xfId="6" applyNumberFormat="1" applyFont="1" applyFill="1"/>
    <xf numFmtId="166" fontId="3" fillId="5" borderId="26" xfId="6" applyNumberFormat="1" applyFont="1" applyFill="1" applyBorder="1"/>
    <xf numFmtId="170" fontId="5" fillId="5" borderId="22" xfId="0" applyNumberFormat="1" applyFont="1" applyFill="1" applyBorder="1"/>
    <xf numFmtId="170" fontId="3" fillId="8" borderId="26" xfId="0" applyNumberFormat="1" applyFont="1" applyFill="1" applyBorder="1"/>
    <xf numFmtId="168" fontId="3" fillId="8" borderId="26" xfId="6" applyNumberFormat="1" applyFont="1" applyFill="1" applyBorder="1"/>
    <xf numFmtId="37" fontId="3" fillId="7" borderId="0" xfId="0" applyFont="1" applyFill="1" applyAlignment="1" applyProtection="1">
      <alignment horizontal="centerContinuous"/>
    </xf>
    <xf numFmtId="37" fontId="3" fillId="7" borderId="6" xfId="0" applyFont="1" applyFill="1" applyBorder="1" applyAlignment="1" applyProtection="1">
      <alignment horizontal="centerContinuous"/>
    </xf>
    <xf numFmtId="37" fontId="3" fillId="7" borderId="18" xfId="0" applyFont="1" applyFill="1" applyBorder="1" applyAlignment="1" applyProtection="1"/>
    <xf numFmtId="37" fontId="5" fillId="7" borderId="2" xfId="0" applyFont="1" applyFill="1" applyBorder="1" applyAlignment="1" applyProtection="1"/>
    <xf numFmtId="37" fontId="5" fillId="7" borderId="5" xfId="0" applyFont="1" applyFill="1" applyBorder="1" applyAlignment="1" applyProtection="1"/>
    <xf numFmtId="170" fontId="5" fillId="7" borderId="1" xfId="0" applyNumberFormat="1" applyFont="1" applyFill="1" applyBorder="1" applyAlignment="1"/>
    <xf numFmtId="49" fontId="3" fillId="7" borderId="20" xfId="2" applyNumberFormat="1" applyFont="1" applyFill="1" applyBorder="1" applyAlignment="1">
      <alignment vertical="center"/>
    </xf>
    <xf numFmtId="173" fontId="3" fillId="7" borderId="44" xfId="0" applyNumberFormat="1" applyFont="1" applyFill="1" applyBorder="1" applyAlignment="1">
      <alignment vertical="center"/>
    </xf>
    <xf numFmtId="173" fontId="3" fillId="7" borderId="40" xfId="0" applyNumberFormat="1" applyFont="1" applyFill="1" applyBorder="1" applyAlignment="1">
      <alignment vertical="center"/>
    </xf>
    <xf numFmtId="170" fontId="5" fillId="7" borderId="1" xfId="0" applyNumberFormat="1" applyFont="1" applyFill="1" applyBorder="1" applyAlignment="1">
      <alignment horizontal="right" vertical="center"/>
    </xf>
    <xf numFmtId="37" fontId="3" fillId="7" borderId="45" xfId="0" applyFont="1" applyFill="1" applyBorder="1" applyAlignment="1" applyProtection="1">
      <alignment horizontal="center"/>
    </xf>
    <xf numFmtId="37" fontId="3" fillId="0" borderId="23" xfId="0" applyFont="1" applyFill="1" applyBorder="1"/>
    <xf numFmtId="168" fontId="3" fillId="0" borderId="23" xfId="6" applyNumberFormat="1" applyFont="1" applyFill="1" applyBorder="1"/>
    <xf numFmtId="49" fontId="5" fillId="0" borderId="0" xfId="0" quotePrefix="1" applyNumberFormat="1" applyFont="1" applyAlignment="1">
      <alignment horizontal="left"/>
    </xf>
    <xf numFmtId="173" fontId="3" fillId="7" borderId="21" xfId="0" applyNumberFormat="1" applyFont="1" applyFill="1" applyBorder="1" applyAlignment="1">
      <alignment vertical="center"/>
    </xf>
    <xf numFmtId="173" fontId="3" fillId="7" borderId="46" xfId="0" applyNumberFormat="1" applyFont="1" applyFill="1" applyBorder="1" applyAlignment="1">
      <alignment vertical="center"/>
    </xf>
    <xf numFmtId="37" fontId="3" fillId="0" borderId="9" xfId="0" quotePrefix="1" applyFont="1" applyBorder="1" applyAlignment="1">
      <alignment horizontal="center"/>
    </xf>
    <xf numFmtId="37" fontId="3" fillId="7" borderId="47" xfId="0" quotePrefix="1" applyFont="1" applyFill="1" applyBorder="1" applyAlignment="1" applyProtection="1">
      <alignment horizontal="center"/>
    </xf>
    <xf numFmtId="37" fontId="5" fillId="0" borderId="0" xfId="0" quotePrefix="1" applyFont="1" applyAlignment="1">
      <alignment horizontal="right"/>
    </xf>
    <xf numFmtId="49" fontId="5" fillId="7" borderId="1" xfId="0" quotePrefix="1" applyNumberFormat="1" applyFont="1" applyFill="1" applyBorder="1" applyAlignment="1">
      <alignment horizontal="left" vertical="center"/>
    </xf>
    <xf numFmtId="170" fontId="5" fillId="0" borderId="1" xfId="0" quotePrefix="1" applyNumberFormat="1" applyFont="1" applyBorder="1" applyAlignment="1">
      <alignment horizontal="right"/>
    </xf>
    <xf numFmtId="37" fontId="5" fillId="0" borderId="23" xfId="0" quotePrefix="1" applyNumberFormat="1" applyFont="1" applyBorder="1" applyAlignment="1" applyProtection="1">
      <alignment horizontal="left"/>
    </xf>
    <xf numFmtId="37" fontId="5" fillId="3" borderId="17" xfId="0" applyFont="1" applyFill="1" applyBorder="1" applyAlignment="1">
      <alignment horizontal="centerContinuous" vertical="center"/>
    </xf>
    <xf numFmtId="37" fontId="5" fillId="3" borderId="17" xfId="0" applyFont="1" applyFill="1" applyBorder="1" applyAlignment="1">
      <alignment horizontal="right" vertical="center"/>
    </xf>
    <xf numFmtId="37" fontId="5" fillId="3" borderId="17" xfId="0" quotePrefix="1" applyFont="1" applyFill="1" applyBorder="1" applyAlignment="1">
      <alignment horizontal="right" vertical="center"/>
    </xf>
    <xf numFmtId="37" fontId="3" fillId="3" borderId="20" xfId="0" quotePrefix="1" applyFont="1" applyFill="1" applyBorder="1" applyAlignment="1">
      <alignment horizontal="left"/>
    </xf>
    <xf numFmtId="37" fontId="3" fillId="0" borderId="0" xfId="0" quotePrefix="1" applyFont="1" applyAlignment="1">
      <alignment horizontal="left" wrapText="1"/>
    </xf>
    <xf numFmtId="37" fontId="3" fillId="3" borderId="20" xfId="0" quotePrefix="1" applyFont="1" applyFill="1" applyBorder="1" applyAlignment="1" applyProtection="1">
      <alignment horizontal="left"/>
    </xf>
    <xf numFmtId="37" fontId="3" fillId="7" borderId="7" xfId="0" applyFont="1" applyFill="1" applyBorder="1" applyAlignment="1">
      <alignment horizontal="centerContinuous"/>
    </xf>
    <xf numFmtId="37" fontId="3" fillId="7" borderId="8" xfId="0" applyFont="1" applyFill="1" applyBorder="1" applyAlignment="1">
      <alignment horizontal="centerContinuous"/>
    </xf>
    <xf numFmtId="170" fontId="5" fillId="7" borderId="1" xfId="0" applyNumberFormat="1" applyFont="1" applyFill="1" applyBorder="1" applyAlignment="1">
      <alignment horizontal="right" indent="1"/>
    </xf>
    <xf numFmtId="170" fontId="5" fillId="0" borderId="1" xfId="0" applyNumberFormat="1" applyFont="1" applyBorder="1" applyAlignment="1">
      <alignment horizontal="right" indent="1"/>
    </xf>
    <xf numFmtId="37" fontId="0" fillId="0" borderId="0" xfId="0" applyAlignment="1">
      <alignment horizontal="right" indent="1"/>
    </xf>
    <xf numFmtId="170" fontId="3" fillId="7" borderId="22" xfId="0" applyNumberFormat="1" applyFont="1" applyFill="1" applyBorder="1" applyAlignment="1">
      <alignment horizontal="right" indent="1"/>
    </xf>
    <xf numFmtId="171" fontId="5" fillId="0" borderId="0" xfId="0" applyNumberFormat="1" applyFont="1" applyAlignment="1">
      <alignment horizontal="right" indent="1"/>
    </xf>
    <xf numFmtId="37" fontId="0" fillId="0" borderId="11" xfId="0" applyBorder="1"/>
    <xf numFmtId="37" fontId="3" fillId="0" borderId="5" xfId="0" applyFont="1" applyFill="1" applyBorder="1" applyAlignment="1">
      <alignment horizontal="center"/>
    </xf>
    <xf numFmtId="37" fontId="3" fillId="0" borderId="4" xfId="0" applyFont="1" applyFill="1" applyBorder="1" applyAlignment="1">
      <alignment horizontal="center"/>
    </xf>
    <xf numFmtId="37" fontId="3" fillId="0" borderId="10" xfId="0" applyFont="1" applyFill="1" applyBorder="1" applyAlignment="1">
      <alignment horizontal="centerContinuous" vertical="center"/>
    </xf>
    <xf numFmtId="37" fontId="3" fillId="0" borderId="9" xfId="0" applyFont="1" applyFill="1" applyBorder="1" applyAlignment="1">
      <alignment horizontal="centerContinuous" vertical="center"/>
    </xf>
    <xf numFmtId="37" fontId="3" fillId="7" borderId="4" xfId="0" quotePrefix="1" applyFont="1" applyFill="1" applyBorder="1" applyAlignment="1">
      <alignment horizontal="center"/>
    </xf>
    <xf numFmtId="49" fontId="5" fillId="0" borderId="11" xfId="0" applyNumberFormat="1" applyFont="1" applyBorder="1"/>
    <xf numFmtId="37" fontId="5" fillId="0" borderId="0" xfId="0" applyFont="1" applyFill="1"/>
    <xf numFmtId="170" fontId="5" fillId="0" borderId="1" xfId="0" applyNumberFormat="1" applyFont="1" applyFill="1" applyBorder="1" applyAlignment="1">
      <alignment vertical="center"/>
    </xf>
    <xf numFmtId="168" fontId="5" fillId="0" borderId="1" xfId="6" applyNumberFormat="1" applyFont="1" applyFill="1" applyBorder="1"/>
    <xf numFmtId="37" fontId="5" fillId="0" borderId="0" xfId="0" applyFont="1" applyFill="1" applyAlignment="1">
      <alignment horizontal="right"/>
    </xf>
    <xf numFmtId="175" fontId="5" fillId="0" borderId="0" xfId="5" applyNumberFormat="1" applyFont="1" applyBorder="1" applyProtection="1"/>
    <xf numFmtId="37" fontId="22" fillId="0" borderId="0" xfId="5" applyNumberFormat="1" applyFont="1" applyBorder="1" applyAlignment="1" applyProtection="1">
      <alignment horizontal="centerContinuous"/>
    </xf>
    <xf numFmtId="39" fontId="5" fillId="0" borderId="0" xfId="5" applyFont="1"/>
    <xf numFmtId="165" fontId="5" fillId="0" borderId="2" xfId="5" applyNumberFormat="1" applyFont="1" applyBorder="1" applyAlignment="1" applyProtection="1">
      <alignment horizontal="left"/>
    </xf>
    <xf numFmtId="39" fontId="5" fillId="0" borderId="0" xfId="5" applyFont="1" applyAlignment="1">
      <alignment horizontal="left"/>
    </xf>
    <xf numFmtId="165" fontId="5" fillId="0" borderId="3" xfId="5" applyNumberFormat="1" applyFont="1" applyBorder="1" applyAlignment="1" applyProtection="1">
      <alignment horizontal="left"/>
    </xf>
    <xf numFmtId="37" fontId="5" fillId="0" borderId="0" xfId="5" applyNumberFormat="1" applyFont="1" applyProtection="1"/>
    <xf numFmtId="39" fontId="3" fillId="0" borderId="18" xfId="5" applyFont="1" applyBorder="1" applyProtection="1"/>
    <xf numFmtId="39" fontId="3" fillId="3" borderId="12" xfId="5" applyFont="1" applyFill="1" applyBorder="1" applyProtection="1"/>
    <xf numFmtId="39" fontId="5" fillId="3" borderId="0" xfId="5" applyFont="1" applyFill="1" applyProtection="1"/>
    <xf numFmtId="39" fontId="5" fillId="7" borderId="1" xfId="5" applyFont="1" applyFill="1" applyBorder="1" applyProtection="1"/>
    <xf numFmtId="167" fontId="5" fillId="7" borderId="1" xfId="5" applyNumberFormat="1" applyFont="1" applyFill="1" applyBorder="1"/>
    <xf numFmtId="39" fontId="5" fillId="0" borderId="1" xfId="5" applyFont="1" applyBorder="1" applyProtection="1"/>
    <xf numFmtId="167" fontId="5" fillId="3" borderId="1" xfId="5" applyNumberFormat="1" applyFont="1" applyFill="1" applyBorder="1"/>
    <xf numFmtId="39" fontId="3" fillId="7" borderId="22" xfId="5" applyFont="1" applyFill="1" applyBorder="1" applyProtection="1"/>
    <xf numFmtId="167" fontId="3" fillId="7" borderId="22" xfId="5" applyNumberFormat="1" applyFont="1" applyFill="1" applyBorder="1"/>
    <xf numFmtId="167" fontId="5" fillId="0" borderId="0" xfId="5" applyNumberFormat="1" applyFont="1"/>
    <xf numFmtId="39" fontId="5" fillId="0" borderId="3" xfId="5" applyFont="1" applyBorder="1"/>
    <xf numFmtId="174" fontId="8" fillId="0" borderId="3" xfId="5" applyNumberFormat="1" applyFont="1" applyBorder="1" applyProtection="1"/>
    <xf numFmtId="37" fontId="5" fillId="0" borderId="0" xfId="5" applyNumberFormat="1" applyFont="1"/>
    <xf numFmtId="37" fontId="23" fillId="0" borderId="0" xfId="0" applyFont="1"/>
    <xf numFmtId="37" fontId="3" fillId="0" borderId="6" xfId="0" quotePrefix="1" applyFont="1" applyBorder="1" applyAlignment="1">
      <alignment horizontal="center"/>
    </xf>
    <xf numFmtId="37" fontId="3" fillId="0" borderId="10" xfId="0" quotePrefix="1" applyFont="1" applyBorder="1" applyAlignment="1">
      <alignment horizontal="center"/>
    </xf>
    <xf numFmtId="165" fontId="5" fillId="0" borderId="0" xfId="4" applyNumberFormat="1" applyFont="1" applyProtection="1"/>
    <xf numFmtId="0" fontId="5" fillId="3" borderId="0" xfId="4" applyFont="1" applyFill="1"/>
    <xf numFmtId="0" fontId="5" fillId="0" borderId="0" xfId="4" applyFont="1"/>
    <xf numFmtId="0" fontId="3" fillId="0" borderId="2" xfId="4" applyFont="1" applyFill="1" applyBorder="1" applyAlignment="1">
      <alignment horizontal="centerContinuous"/>
    </xf>
    <xf numFmtId="0" fontId="5" fillId="3" borderId="2" xfId="4" applyFont="1" applyFill="1" applyBorder="1" applyAlignment="1">
      <alignment horizontal="centerContinuous"/>
    </xf>
    <xf numFmtId="0" fontId="5" fillId="3" borderId="3" xfId="4" applyFont="1" applyFill="1" applyBorder="1" applyAlignment="1">
      <alignment horizontal="centerContinuous"/>
    </xf>
    <xf numFmtId="0" fontId="3" fillId="8" borderId="18" xfId="4" applyFont="1" applyFill="1" applyBorder="1" applyAlignment="1">
      <alignment horizontal="centerContinuous"/>
    </xf>
    <xf numFmtId="0" fontId="3" fillId="8" borderId="2" xfId="4" applyFont="1" applyFill="1" applyBorder="1" applyAlignment="1">
      <alignment horizontal="centerContinuous"/>
    </xf>
    <xf numFmtId="0" fontId="3" fillId="8" borderId="5" xfId="4" applyFont="1" applyFill="1" applyBorder="1" applyAlignment="1">
      <alignment horizontal="centerContinuous"/>
    </xf>
    <xf numFmtId="0" fontId="3" fillId="8" borderId="14" xfId="4" applyFont="1" applyFill="1" applyBorder="1" applyAlignment="1">
      <alignment horizontal="centerContinuous"/>
    </xf>
    <xf numFmtId="0" fontId="3" fillId="8" borderId="0" xfId="4" applyFont="1" applyFill="1" applyBorder="1" applyAlignment="1">
      <alignment horizontal="centerContinuous"/>
    </xf>
    <xf numFmtId="0" fontId="3" fillId="8" borderId="6" xfId="4" applyFont="1" applyFill="1" applyBorder="1" applyAlignment="1">
      <alignment horizontal="centerContinuous"/>
    </xf>
    <xf numFmtId="0" fontId="3" fillId="0" borderId="7" xfId="4" applyFont="1" applyBorder="1"/>
    <xf numFmtId="0" fontId="3" fillId="8" borderId="12" xfId="4" applyFont="1" applyFill="1" applyBorder="1" applyAlignment="1">
      <alignment horizontal="centerContinuous"/>
    </xf>
    <xf numFmtId="0" fontId="3" fillId="8" borderId="3" xfId="4" applyFont="1" applyFill="1" applyBorder="1" applyAlignment="1">
      <alignment horizontal="centerContinuous"/>
    </xf>
    <xf numFmtId="0" fontId="3" fillId="8" borderId="10" xfId="4" applyFont="1" applyFill="1" applyBorder="1" applyAlignment="1">
      <alignment horizontal="centerContinuous"/>
    </xf>
    <xf numFmtId="0" fontId="3" fillId="0" borderId="8" xfId="4" applyFont="1" applyBorder="1"/>
    <xf numFmtId="49" fontId="3" fillId="5" borderId="22" xfId="4" applyNumberFormat="1" applyFont="1" applyFill="1" applyBorder="1" applyAlignment="1">
      <alignment horizontal="center"/>
    </xf>
    <xf numFmtId="0" fontId="3" fillId="0" borderId="0" xfId="4" applyFont="1"/>
    <xf numFmtId="165" fontId="6" fillId="0" borderId="0" xfId="4" applyNumberFormat="1" applyFont="1" applyProtection="1">
      <protection locked="0"/>
    </xf>
    <xf numFmtId="49" fontId="5" fillId="7" borderId="1" xfId="4" applyNumberFormat="1" applyFont="1" applyFill="1" applyBorder="1" applyAlignment="1">
      <alignment vertical="center"/>
    </xf>
    <xf numFmtId="170" fontId="5" fillId="7" borderId="1" xfId="4" applyNumberFormat="1" applyFont="1" applyFill="1" applyBorder="1" applyAlignment="1">
      <alignment vertical="center"/>
    </xf>
    <xf numFmtId="173" fontId="5" fillId="7" borderId="1" xfId="4" applyNumberFormat="1" applyFont="1" applyFill="1" applyBorder="1" applyAlignment="1">
      <alignment vertical="center"/>
    </xf>
    <xf numFmtId="49" fontId="5" fillId="0" borderId="1" xfId="4" applyNumberFormat="1" applyFont="1" applyBorder="1" applyAlignment="1">
      <alignment vertical="center"/>
    </xf>
    <xf numFmtId="170" fontId="5" fillId="0" borderId="1" xfId="4" applyNumberFormat="1" applyFont="1" applyBorder="1" applyAlignment="1">
      <alignment vertical="center"/>
    </xf>
    <xf numFmtId="173" fontId="5" fillId="0" borderId="1" xfId="4" applyNumberFormat="1" applyFont="1" applyBorder="1" applyAlignment="1">
      <alignment vertical="center"/>
    </xf>
    <xf numFmtId="170" fontId="5" fillId="0" borderId="0" xfId="4" applyNumberFormat="1" applyFont="1"/>
    <xf numFmtId="49" fontId="3" fillId="7" borderId="22" xfId="3" applyNumberFormat="1" applyFont="1" applyFill="1" applyBorder="1" applyAlignment="1">
      <alignment vertical="center"/>
    </xf>
    <xf numFmtId="170" fontId="3" fillId="7" borderId="26" xfId="4" applyNumberFormat="1" applyFont="1" applyFill="1" applyBorder="1"/>
    <xf numFmtId="173" fontId="3" fillId="7" borderId="26" xfId="4" applyNumberFormat="1" applyFont="1" applyFill="1" applyBorder="1"/>
    <xf numFmtId="0" fontId="5" fillId="0" borderId="0" xfId="4" applyFont="1" applyAlignment="1"/>
    <xf numFmtId="37" fontId="3" fillId="3" borderId="3" xfId="4" quotePrefix="1" applyNumberFormat="1" applyFont="1" applyFill="1" applyBorder="1" applyAlignment="1" applyProtection="1">
      <alignment horizontal="centerContinuous" vertical="center"/>
    </xf>
    <xf numFmtId="0" fontId="3" fillId="5" borderId="22" xfId="4" applyNumberFormat="1" applyFont="1" applyFill="1" applyBorder="1" applyAlignment="1">
      <alignment horizontal="center" wrapText="1"/>
    </xf>
    <xf numFmtId="0" fontId="5" fillId="0" borderId="11" xfId="4" applyFont="1" applyBorder="1"/>
    <xf numFmtId="170" fontId="5" fillId="0" borderId="11" xfId="4" applyNumberFormat="1" applyFont="1" applyBorder="1"/>
    <xf numFmtId="0" fontId="25" fillId="0" borderId="0" xfId="4" applyFont="1"/>
    <xf numFmtId="170" fontId="25" fillId="0" borderId="0" xfId="4" applyNumberFormat="1" applyFont="1"/>
    <xf numFmtId="165" fontId="5" fillId="0" borderId="0" xfId="0" applyNumberFormat="1" applyFont="1" applyFill="1"/>
    <xf numFmtId="37" fontId="26" fillId="0" borderId="0" xfId="0" applyFont="1"/>
    <xf numFmtId="37" fontId="5" fillId="0" borderId="26" xfId="0" applyFont="1" applyBorder="1"/>
    <xf numFmtId="37" fontId="26" fillId="0" borderId="26" xfId="0" applyFont="1" applyBorder="1"/>
    <xf numFmtId="37" fontId="3" fillId="8" borderId="9" xfId="0" applyFont="1" applyFill="1" applyBorder="1" applyAlignment="1">
      <alignment horizontal="center" wrapText="1"/>
    </xf>
    <xf numFmtId="49" fontId="5" fillId="0" borderId="0" xfId="0" quotePrefix="1" applyNumberFormat="1" applyFont="1" applyAlignment="1"/>
    <xf numFmtId="37" fontId="20" fillId="0" borderId="0" xfId="0" applyFont="1"/>
    <xf numFmtId="37" fontId="20" fillId="0" borderId="11" xfId="0" applyFont="1" applyBorder="1"/>
    <xf numFmtId="37" fontId="3" fillId="8" borderId="50" xfId="0" applyFont="1" applyFill="1" applyBorder="1" applyAlignment="1">
      <alignment horizontal="centerContinuous" vertical="center" wrapText="1"/>
    </xf>
    <xf numFmtId="37" fontId="3" fillId="8" borderId="51" xfId="0" applyFont="1" applyFill="1" applyBorder="1" applyAlignment="1">
      <alignment horizontal="centerContinuous" vertical="center" wrapText="1"/>
    </xf>
    <xf numFmtId="37" fontId="5" fillId="10" borderId="26" xfId="0" applyNumberFormat="1" applyFont="1" applyFill="1" applyBorder="1" applyProtection="1"/>
    <xf numFmtId="37" fontId="27" fillId="0" borderId="0" xfId="0" applyNumberFormat="1" applyFont="1"/>
    <xf numFmtId="37" fontId="5" fillId="0" borderId="0" xfId="0" applyNumberFormat="1" applyFont="1" applyAlignment="1">
      <alignment horizontal="right"/>
    </xf>
    <xf numFmtId="176" fontId="0" fillId="0" borderId="0" xfId="0" quotePrefix="1" applyNumberFormat="1" applyBorder="1" applyAlignment="1" applyProtection="1">
      <alignment horizontal="right"/>
    </xf>
    <xf numFmtId="176" fontId="0" fillId="0" borderId="0" xfId="0" applyNumberFormat="1" applyBorder="1" applyAlignment="1" applyProtection="1">
      <alignment horizontal="right"/>
    </xf>
    <xf numFmtId="176" fontId="0" fillId="0" borderId="3" xfId="0" quotePrefix="1" applyNumberFormat="1" applyBorder="1" applyAlignment="1" applyProtection="1">
      <alignment horizontal="right"/>
    </xf>
    <xf numFmtId="37" fontId="0" fillId="0" borderId="0" xfId="0" applyNumberFormat="1" applyProtection="1"/>
    <xf numFmtId="176" fontId="0" fillId="0" borderId="0" xfId="0" applyNumberFormat="1" applyAlignment="1" applyProtection="1">
      <alignment horizontal="right"/>
    </xf>
    <xf numFmtId="176" fontId="20" fillId="0" borderId="0" xfId="0" quotePrefix="1" applyNumberFormat="1" applyFont="1" applyBorder="1" applyAlignment="1" applyProtection="1">
      <alignment horizontal="right"/>
    </xf>
    <xf numFmtId="49" fontId="5" fillId="0" borderId="0" xfId="0" applyNumberFormat="1" applyFont="1" applyFill="1" applyAlignment="1"/>
    <xf numFmtId="37" fontId="5" fillId="0" borderId="0" xfId="0" applyFont="1" applyFill="1" applyAlignment="1"/>
    <xf numFmtId="37" fontId="5" fillId="0" borderId="0" xfId="0" applyFont="1" applyFill="1" applyAlignment="1">
      <alignment wrapText="1"/>
    </xf>
    <xf numFmtId="168" fontId="3" fillId="7" borderId="20" xfId="6" applyNumberFormat="1" applyFont="1" applyFill="1" applyBorder="1"/>
    <xf numFmtId="170" fontId="3" fillId="7" borderId="34" xfId="0" applyNumberFormat="1" applyFont="1" applyFill="1" applyBorder="1" applyAlignment="1">
      <alignment vertical="center"/>
    </xf>
    <xf numFmtId="174" fontId="3" fillId="7" borderId="52" xfId="0" applyNumberFormat="1" applyFont="1" applyFill="1" applyBorder="1" applyAlignment="1">
      <alignment vertical="center"/>
    </xf>
    <xf numFmtId="37" fontId="29" fillId="0" borderId="0" xfId="0" applyFont="1"/>
    <xf numFmtId="0" fontId="5" fillId="0" borderId="0" xfId="0" applyNumberFormat="1" applyFont="1" applyAlignment="1">
      <alignment horizontal="left"/>
    </xf>
    <xf numFmtId="37" fontId="28" fillId="0" borderId="26" xfId="0" quotePrefix="1" applyNumberFormat="1" applyFont="1" applyBorder="1" applyAlignment="1">
      <alignment horizontal="left"/>
    </xf>
    <xf numFmtId="0" fontId="26" fillId="0" borderId="0" xfId="0" applyNumberFormat="1" applyFont="1" applyAlignment="1">
      <alignment horizontal="center"/>
    </xf>
    <xf numFmtId="37" fontId="5" fillId="11" borderId="0" xfId="0" applyFont="1" applyFill="1"/>
    <xf numFmtId="49" fontId="3" fillId="5" borderId="22" xfId="0" quotePrefix="1" applyNumberFormat="1" applyFont="1" applyFill="1" applyBorder="1" applyAlignment="1">
      <alignment horizontal="center"/>
    </xf>
    <xf numFmtId="0" fontId="3" fillId="5" borderId="22" xfId="0" quotePrefix="1" applyNumberFormat="1" applyFont="1" applyFill="1" applyBorder="1" applyAlignment="1">
      <alignment horizontal="center"/>
    </xf>
    <xf numFmtId="49" fontId="3" fillId="0" borderId="25" xfId="0" quotePrefix="1" applyNumberFormat="1" applyFont="1" applyBorder="1" applyAlignment="1">
      <alignment horizontal="center" vertical="center"/>
    </xf>
    <xf numFmtId="49" fontId="8" fillId="0" borderId="0" xfId="0" quotePrefix="1" applyNumberFormat="1" applyFont="1" applyAlignment="1">
      <alignment horizontal="left"/>
    </xf>
    <xf numFmtId="37" fontId="5" fillId="0" borderId="0" xfId="7" quotePrefix="1" applyFont="1" applyAlignment="1">
      <alignment horizontal="left"/>
    </xf>
    <xf numFmtId="37" fontId="5" fillId="0" borderId="0" xfId="7" applyFont="1" applyAlignment="1">
      <alignment horizontal="left"/>
    </xf>
    <xf numFmtId="37" fontId="30" fillId="0" borderId="0" xfId="0" applyFont="1"/>
    <xf numFmtId="169" fontId="5" fillId="0" borderId="0" xfId="6" applyNumberFormat="1" applyFont="1"/>
    <xf numFmtId="169" fontId="5" fillId="0" borderId="0" xfId="0" applyNumberFormat="1" applyFont="1"/>
    <xf numFmtId="37" fontId="17" fillId="12" borderId="0" xfId="7" applyFont="1" applyFill="1"/>
    <xf numFmtId="37" fontId="17" fillId="0" borderId="0" xfId="7" applyFont="1"/>
    <xf numFmtId="37" fontId="31" fillId="12" borderId="53" xfId="7" quotePrefix="1" applyFont="1" applyFill="1" applyBorder="1" applyAlignment="1">
      <alignment horizontal="center"/>
    </xf>
    <xf numFmtId="37" fontId="18" fillId="12" borderId="0" xfId="7" applyFont="1" applyFill="1"/>
    <xf numFmtId="37" fontId="32" fillId="12" borderId="0" xfId="7" applyFont="1" applyFill="1" applyAlignment="1"/>
    <xf numFmtId="37" fontId="17" fillId="12" borderId="0" xfId="7" applyFont="1" applyFill="1" applyAlignment="1"/>
    <xf numFmtId="37" fontId="32" fillId="12" borderId="0" xfId="7" applyFont="1" applyFill="1" applyAlignment="1">
      <alignment wrapText="1"/>
    </xf>
    <xf numFmtId="37" fontId="34" fillId="12" borderId="0" xfId="8" applyNumberFormat="1" applyFont="1" applyFill="1" applyAlignment="1" applyProtection="1">
      <alignment horizontal="center" wrapText="1"/>
    </xf>
    <xf numFmtId="37" fontId="32" fillId="12" borderId="0" xfId="7" applyFont="1" applyFill="1" applyAlignment="1">
      <alignment wrapText="1"/>
    </xf>
    <xf numFmtId="37" fontId="32" fillId="12" borderId="0" xfId="7" quotePrefix="1" applyFont="1" applyFill="1" applyAlignment="1">
      <alignment horizontal="left" wrapText="1"/>
    </xf>
    <xf numFmtId="37" fontId="3" fillId="3" borderId="27" xfId="0" applyFont="1" applyFill="1" applyBorder="1" applyAlignment="1">
      <alignment horizontal="center" vertical="center"/>
    </xf>
    <xf numFmtId="37" fontId="3" fillId="3" borderId="11" xfId="0" applyFont="1" applyFill="1" applyBorder="1" applyAlignment="1">
      <alignment horizontal="center" vertical="center"/>
    </xf>
    <xf numFmtId="37" fontId="3" fillId="7" borderId="4" xfId="0" applyFont="1" applyFill="1" applyBorder="1" applyAlignment="1" applyProtection="1">
      <alignment horizontal="center"/>
    </xf>
    <xf numFmtId="37" fontId="3" fillId="7" borderId="9" xfId="0" applyFont="1" applyFill="1" applyBorder="1" applyAlignment="1" applyProtection="1">
      <alignment horizontal="center"/>
    </xf>
    <xf numFmtId="37" fontId="3" fillId="7" borderId="37" xfId="0" applyFont="1" applyFill="1" applyBorder="1" applyAlignment="1" applyProtection="1">
      <alignment horizontal="center"/>
    </xf>
    <xf numFmtId="37" fontId="3" fillId="7" borderId="42" xfId="0" applyFont="1" applyFill="1" applyBorder="1" applyAlignment="1" applyProtection="1">
      <alignment horizontal="center"/>
    </xf>
    <xf numFmtId="37" fontId="3" fillId="7" borderId="38" xfId="0" applyFont="1" applyFill="1" applyBorder="1" applyAlignment="1" applyProtection="1">
      <alignment horizontal="center"/>
    </xf>
    <xf numFmtId="37" fontId="3" fillId="7" borderId="43" xfId="0" applyFont="1" applyFill="1" applyBorder="1" applyAlignment="1" applyProtection="1">
      <alignment horizontal="center"/>
    </xf>
    <xf numFmtId="49" fontId="3" fillId="0" borderId="19" xfId="0" applyNumberFormat="1" applyFont="1" applyBorder="1" applyAlignment="1">
      <alignment horizontal="center"/>
    </xf>
    <xf numFmtId="49" fontId="3" fillId="0" borderId="0" xfId="0" applyNumberFormat="1" applyFont="1" applyBorder="1" applyAlignment="1">
      <alignment horizontal="center"/>
    </xf>
    <xf numFmtId="49" fontId="3" fillId="0" borderId="35" xfId="0" applyNumberFormat="1" applyFont="1" applyBorder="1" applyAlignment="1">
      <alignment horizontal="center"/>
    </xf>
    <xf numFmtId="49" fontId="3" fillId="0" borderId="48" xfId="0" quotePrefix="1"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9" xfId="0" applyNumberFormat="1" applyFont="1" applyBorder="1" applyAlignment="1">
      <alignment horizontal="center" vertical="center"/>
    </xf>
    <xf numFmtId="49" fontId="10" fillId="0" borderId="14" xfId="0" applyNumberFormat="1" applyFont="1" applyBorder="1" applyAlignment="1">
      <alignment horizontal="right" vertical="center" textRotation="180"/>
    </xf>
    <xf numFmtId="37" fontId="3" fillId="0" borderId="12" xfId="0" applyFont="1" applyBorder="1" applyAlignment="1">
      <alignment horizontal="center"/>
    </xf>
    <xf numFmtId="37" fontId="3" fillId="0" borderId="10" xfId="0" applyFont="1" applyBorder="1" applyAlignment="1">
      <alignment horizontal="center"/>
    </xf>
    <xf numFmtId="49" fontId="10" fillId="0" borderId="19" xfId="0" applyNumberFormat="1" applyFont="1" applyBorder="1" applyAlignment="1">
      <alignment horizontal="right" vertical="center" textRotation="180"/>
    </xf>
    <xf numFmtId="37" fontId="0" fillId="0" borderId="19" xfId="0" applyBorder="1" applyAlignment="1">
      <alignment horizontal="right" vertical="center" textRotation="180"/>
    </xf>
    <xf numFmtId="37" fontId="3" fillId="0" borderId="27" xfId="0" applyFont="1" applyBorder="1" applyAlignment="1">
      <alignment horizontal="center" vertical="center"/>
    </xf>
    <xf numFmtId="37" fontId="3" fillId="0" borderId="11" xfId="0" applyFont="1" applyBorder="1" applyAlignment="1">
      <alignment horizontal="center" vertical="center"/>
    </xf>
    <xf numFmtId="37" fontId="3" fillId="8" borderId="4" xfId="0" applyFont="1" applyFill="1" applyBorder="1" applyAlignment="1">
      <alignment horizontal="center" wrapText="1"/>
    </xf>
    <xf numFmtId="37" fontId="3" fillId="8" borderId="9" xfId="0" applyFont="1" applyFill="1" applyBorder="1" applyAlignment="1">
      <alignment horizontal="center" wrapText="1"/>
    </xf>
    <xf numFmtId="49" fontId="3" fillId="0" borderId="0" xfId="5" applyNumberFormat="1" applyFont="1" applyFill="1" applyBorder="1" applyAlignment="1" applyProtection="1">
      <alignment horizontal="center"/>
    </xf>
    <xf numFmtId="39" fontId="3" fillId="0" borderId="2" xfId="5" applyFont="1" applyBorder="1" applyAlignment="1">
      <alignment horizontal="center" vertical="center"/>
    </xf>
    <xf numFmtId="0" fontId="3" fillId="0" borderId="3" xfId="5" quotePrefix="1" applyNumberFormat="1" applyFont="1" applyBorder="1" applyAlignment="1">
      <alignment horizontal="center" vertical="center"/>
    </xf>
    <xf numFmtId="0" fontId="3" fillId="0" borderId="3" xfId="5" applyNumberFormat="1" applyFont="1" applyBorder="1" applyAlignment="1">
      <alignment horizontal="center" vertical="center"/>
    </xf>
    <xf numFmtId="37" fontId="3" fillId="8" borderId="18" xfId="0" applyFont="1" applyFill="1" applyBorder="1" applyAlignment="1">
      <alignment horizontal="center" wrapText="1"/>
    </xf>
    <xf numFmtId="37" fontId="3" fillId="8" borderId="5" xfId="0" applyFont="1" applyFill="1" applyBorder="1" applyAlignment="1">
      <alignment horizontal="center" wrapText="1"/>
    </xf>
  </cellXfs>
  <cellStyles count="9">
    <cellStyle name="BODY" xfId="1"/>
    <cellStyle name="Comma" xfId="2" builtinId="3"/>
    <cellStyle name="Comma_Direct Support" xfId="3"/>
    <cellStyle name="Hyperlink" xfId="8" builtinId="8"/>
    <cellStyle name="Normal" xfId="0" builtinId="0"/>
    <cellStyle name="Normal 2" xfId="7"/>
    <cellStyle name="Normal_Direct Support" xfId="4"/>
    <cellStyle name="Normal_Draft Personnel_ 10B" xfId="5"/>
    <cellStyle name="Percent" xfId="6"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dusfb/Age%20and%20Area/Age%20and%20Area%202006-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dusfb/Internet%20Projects/Forms/_Web%20Site/FB115A_Fe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08-09%20FRAME%20Budge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apital-D"/>
      <sheetName val="Data"/>
      <sheetName val="Form"/>
      <sheetName val="WI"/>
      <sheetName val="List"/>
      <sheetName val="Decades"/>
      <sheetName val="TU's"/>
      <sheetName val="Summary"/>
      <sheetName val="Summary (2)"/>
      <sheetName val="Colony Form"/>
      <sheetName val="Rented Space"/>
    </sheetNames>
    <sheetDataSet>
      <sheetData sheetId="0"/>
      <sheetData sheetId="1">
        <row r="9">
          <cell r="A9" t="str">
            <v>BE</v>
          </cell>
        </row>
        <row r="10">
          <cell r="A10" t="str">
            <v>BE</v>
          </cell>
        </row>
        <row r="11">
          <cell r="A11" t="str">
            <v>BE</v>
          </cell>
        </row>
        <row r="12">
          <cell r="A12" t="str">
            <v>BE</v>
          </cell>
        </row>
        <row r="13">
          <cell r="A13" t="str">
            <v>BE</v>
          </cell>
        </row>
        <row r="14">
          <cell r="A14" t="str">
            <v>BE</v>
          </cell>
        </row>
        <row r="15">
          <cell r="A15" t="str">
            <v>BE</v>
          </cell>
        </row>
        <row r="16">
          <cell r="A16" t="str">
            <v>BE</v>
          </cell>
        </row>
        <row r="17">
          <cell r="A17" t="str">
            <v>BE</v>
          </cell>
        </row>
        <row r="18">
          <cell r="A18" t="str">
            <v>BE</v>
          </cell>
        </row>
        <row r="19">
          <cell r="A19" t="str">
            <v>BE</v>
          </cell>
        </row>
        <row r="20">
          <cell r="A20" t="str">
            <v>BE</v>
          </cell>
        </row>
        <row r="21">
          <cell r="A21" t="str">
            <v>BE</v>
          </cell>
        </row>
        <row r="22">
          <cell r="A22" t="str">
            <v>BE</v>
          </cell>
        </row>
        <row r="23">
          <cell r="A23" t="str">
            <v>BO</v>
          </cell>
        </row>
        <row r="24">
          <cell r="A24" t="str">
            <v>BO</v>
          </cell>
        </row>
        <row r="25">
          <cell r="A25" t="str">
            <v>BO</v>
          </cell>
        </row>
        <row r="26">
          <cell r="A26" t="str">
            <v>BO</v>
          </cell>
        </row>
        <row r="27">
          <cell r="A27" t="str">
            <v>BO</v>
          </cell>
        </row>
        <row r="28">
          <cell r="A28" t="str">
            <v>BO</v>
          </cell>
        </row>
        <row r="29">
          <cell r="A29" t="str">
            <v>BO</v>
          </cell>
        </row>
        <row r="30">
          <cell r="A30" t="str">
            <v>BO</v>
          </cell>
        </row>
        <row r="31">
          <cell r="A31" t="str">
            <v>BO</v>
          </cell>
        </row>
        <row r="32">
          <cell r="A32" t="str">
            <v>BO</v>
          </cell>
        </row>
        <row r="33">
          <cell r="A33" t="str">
            <v>BO</v>
          </cell>
        </row>
        <row r="34">
          <cell r="A34" t="str">
            <v>BO</v>
          </cell>
        </row>
        <row r="35">
          <cell r="A35" t="str">
            <v>BO</v>
          </cell>
        </row>
        <row r="36">
          <cell r="A36" t="str">
            <v>BO</v>
          </cell>
        </row>
        <row r="37">
          <cell r="A37" t="str">
            <v>BO</v>
          </cell>
        </row>
        <row r="38">
          <cell r="A38" t="str">
            <v>BR</v>
          </cell>
        </row>
        <row r="39">
          <cell r="A39" t="str">
            <v>BR</v>
          </cell>
        </row>
        <row r="40">
          <cell r="A40" t="str">
            <v>BR</v>
          </cell>
        </row>
        <row r="41">
          <cell r="A41" t="str">
            <v>BR</v>
          </cell>
        </row>
        <row r="42">
          <cell r="A42" t="str">
            <v>BR</v>
          </cell>
        </row>
        <row r="43">
          <cell r="A43" t="str">
            <v>BR</v>
          </cell>
        </row>
        <row r="44">
          <cell r="A44" t="str">
            <v>BR</v>
          </cell>
        </row>
        <row r="45">
          <cell r="A45" t="str">
            <v>BR</v>
          </cell>
        </row>
        <row r="46">
          <cell r="A46" t="str">
            <v>BR</v>
          </cell>
        </row>
        <row r="47">
          <cell r="A47" t="str">
            <v>BR</v>
          </cell>
        </row>
        <row r="48">
          <cell r="A48" t="str">
            <v>BR</v>
          </cell>
        </row>
        <row r="49">
          <cell r="A49" t="str">
            <v>BR</v>
          </cell>
        </row>
        <row r="50">
          <cell r="A50" t="str">
            <v>BR</v>
          </cell>
        </row>
        <row r="51">
          <cell r="A51" t="str">
            <v>BR</v>
          </cell>
        </row>
        <row r="52">
          <cell r="A52" t="str">
            <v>BR</v>
          </cell>
        </row>
        <row r="53">
          <cell r="A53" t="str">
            <v>BR</v>
          </cell>
        </row>
        <row r="54">
          <cell r="A54" t="str">
            <v>BR</v>
          </cell>
        </row>
        <row r="55">
          <cell r="A55" t="str">
            <v>BR</v>
          </cell>
        </row>
        <row r="56">
          <cell r="A56" t="str">
            <v>BR</v>
          </cell>
        </row>
        <row r="57">
          <cell r="A57" t="str">
            <v>BR</v>
          </cell>
        </row>
        <row r="58">
          <cell r="A58" t="str">
            <v>BR</v>
          </cell>
        </row>
        <row r="59">
          <cell r="A59" t="str">
            <v>BR</v>
          </cell>
        </row>
        <row r="60">
          <cell r="A60" t="str">
            <v>DI</v>
          </cell>
        </row>
        <row r="61">
          <cell r="A61" t="str">
            <v>DI</v>
          </cell>
        </row>
        <row r="62">
          <cell r="A62" t="str">
            <v>DI</v>
          </cell>
        </row>
        <row r="63">
          <cell r="A63" t="str">
            <v>DI</v>
          </cell>
        </row>
        <row r="64">
          <cell r="A64" t="str">
            <v>DI</v>
          </cell>
        </row>
        <row r="65">
          <cell r="A65" t="str">
            <v>DI</v>
          </cell>
        </row>
        <row r="66">
          <cell r="A66" t="str">
            <v>DI</v>
          </cell>
        </row>
        <row r="67">
          <cell r="A67" t="str">
            <v>DI</v>
          </cell>
        </row>
        <row r="68">
          <cell r="A68" t="str">
            <v>DI</v>
          </cell>
        </row>
        <row r="69">
          <cell r="A69" t="str">
            <v>DI</v>
          </cell>
        </row>
        <row r="70">
          <cell r="A70" t="str">
            <v>DI</v>
          </cell>
        </row>
        <row r="71">
          <cell r="A71" t="str">
            <v>DI</v>
          </cell>
        </row>
        <row r="72">
          <cell r="A72" t="str">
            <v>DI</v>
          </cell>
        </row>
        <row r="73">
          <cell r="A73" t="str">
            <v>DI</v>
          </cell>
        </row>
        <row r="74">
          <cell r="A74" t="str">
            <v>DI</v>
          </cell>
        </row>
        <row r="75">
          <cell r="A75" t="str">
            <v>DI</v>
          </cell>
        </row>
        <row r="76">
          <cell r="A76" t="str">
            <v>DI</v>
          </cell>
        </row>
        <row r="77">
          <cell r="A77" t="str">
            <v>DI</v>
          </cell>
        </row>
        <row r="78">
          <cell r="A78" t="str">
            <v>DI</v>
          </cell>
        </row>
        <row r="79">
          <cell r="A79" t="str">
            <v>DI</v>
          </cell>
        </row>
        <row r="80">
          <cell r="A80" t="str">
            <v>DI</v>
          </cell>
        </row>
        <row r="81">
          <cell r="A81" t="str">
            <v>DI</v>
          </cell>
        </row>
        <row r="82">
          <cell r="A82" t="str">
            <v>EV</v>
          </cell>
        </row>
        <row r="83">
          <cell r="A83" t="str">
            <v>EV</v>
          </cell>
        </row>
        <row r="84">
          <cell r="A84" t="str">
            <v>EV</v>
          </cell>
        </row>
        <row r="85">
          <cell r="A85" t="str">
            <v>EV</v>
          </cell>
        </row>
        <row r="86">
          <cell r="A86" t="str">
            <v>EV</v>
          </cell>
        </row>
        <row r="87">
          <cell r="A87" t="str">
            <v>EV</v>
          </cell>
        </row>
        <row r="88">
          <cell r="A88" t="str">
            <v>EV</v>
          </cell>
        </row>
        <row r="89">
          <cell r="A89" t="str">
            <v>EV</v>
          </cell>
        </row>
        <row r="90">
          <cell r="A90" t="str">
            <v>FL</v>
          </cell>
        </row>
        <row r="91">
          <cell r="A91" t="str">
            <v>FL</v>
          </cell>
        </row>
        <row r="92">
          <cell r="A92" t="str">
            <v>FL</v>
          </cell>
        </row>
        <row r="93">
          <cell r="A93" t="str">
            <v>FL</v>
          </cell>
        </row>
        <row r="94">
          <cell r="A94" t="str">
            <v>FO</v>
          </cell>
        </row>
        <row r="95">
          <cell r="A95" t="str">
            <v>FO</v>
          </cell>
        </row>
        <row r="96">
          <cell r="A96" t="str">
            <v>FO</v>
          </cell>
        </row>
        <row r="97">
          <cell r="A97" t="str">
            <v>FO</v>
          </cell>
        </row>
        <row r="98">
          <cell r="A98" t="str">
            <v>FO</v>
          </cell>
        </row>
        <row r="99">
          <cell r="A99" t="str">
            <v>FO</v>
          </cell>
        </row>
        <row r="100">
          <cell r="A100" t="str">
            <v>FO</v>
          </cell>
        </row>
        <row r="101">
          <cell r="A101" t="str">
            <v>FO</v>
          </cell>
        </row>
        <row r="102">
          <cell r="A102" t="str">
            <v>FO</v>
          </cell>
        </row>
        <row r="103">
          <cell r="A103" t="str">
            <v>FO</v>
          </cell>
        </row>
        <row r="104">
          <cell r="A104" t="str">
            <v>FO</v>
          </cell>
        </row>
        <row r="105">
          <cell r="A105" t="str">
            <v>FR</v>
          </cell>
        </row>
        <row r="106">
          <cell r="A106" t="str">
            <v>FR</v>
          </cell>
        </row>
        <row r="107">
          <cell r="A107" t="str">
            <v>FR</v>
          </cell>
        </row>
        <row r="108">
          <cell r="A108" t="str">
            <v>FR</v>
          </cell>
        </row>
        <row r="109">
          <cell r="A109" t="str">
            <v>FR</v>
          </cell>
        </row>
        <row r="110">
          <cell r="A110" t="str">
            <v>FR</v>
          </cell>
        </row>
        <row r="111">
          <cell r="A111" t="str">
            <v>FR</v>
          </cell>
        </row>
        <row r="112">
          <cell r="A112" t="str">
            <v>FR</v>
          </cell>
        </row>
        <row r="113">
          <cell r="A113" t="str">
            <v>FR</v>
          </cell>
        </row>
        <row r="114">
          <cell r="A114" t="str">
            <v>FR</v>
          </cell>
        </row>
        <row r="115">
          <cell r="A115" t="str">
            <v>FR</v>
          </cell>
        </row>
        <row r="116">
          <cell r="A116" t="str">
            <v>FR</v>
          </cell>
        </row>
        <row r="117">
          <cell r="A117" t="str">
            <v>FR</v>
          </cell>
        </row>
        <row r="118">
          <cell r="A118" t="str">
            <v>FR</v>
          </cell>
        </row>
        <row r="119">
          <cell r="A119" t="str">
            <v>FR</v>
          </cell>
        </row>
        <row r="120">
          <cell r="A120" t="str">
            <v>FR</v>
          </cell>
        </row>
        <row r="121">
          <cell r="A121" t="str">
            <v>FR</v>
          </cell>
        </row>
        <row r="122">
          <cell r="A122" t="str">
            <v>FR</v>
          </cell>
        </row>
        <row r="123">
          <cell r="A123" t="str">
            <v>FR</v>
          </cell>
        </row>
        <row r="124">
          <cell r="A124" t="str">
            <v>FR</v>
          </cell>
        </row>
        <row r="125">
          <cell r="A125" t="str">
            <v>FR</v>
          </cell>
        </row>
        <row r="126">
          <cell r="A126" t="str">
            <v>FR</v>
          </cell>
        </row>
        <row r="127">
          <cell r="A127" t="str">
            <v>FR</v>
          </cell>
        </row>
        <row r="128">
          <cell r="A128" t="str">
            <v>FR</v>
          </cell>
        </row>
        <row r="129">
          <cell r="A129" t="str">
            <v>FR</v>
          </cell>
        </row>
        <row r="130">
          <cell r="A130" t="str">
            <v>FR</v>
          </cell>
        </row>
        <row r="131">
          <cell r="A131" t="str">
            <v>FR</v>
          </cell>
        </row>
        <row r="132">
          <cell r="A132" t="str">
            <v>FR</v>
          </cell>
        </row>
        <row r="133">
          <cell r="A133" t="str">
            <v>FR</v>
          </cell>
        </row>
        <row r="134">
          <cell r="A134" t="str">
            <v>FR</v>
          </cell>
        </row>
        <row r="135">
          <cell r="A135" t="str">
            <v>FR</v>
          </cell>
        </row>
        <row r="136">
          <cell r="A136" t="str">
            <v>FR</v>
          </cell>
        </row>
        <row r="137">
          <cell r="A137" t="str">
            <v>FR</v>
          </cell>
        </row>
        <row r="138">
          <cell r="A138" t="str">
            <v>FR</v>
          </cell>
        </row>
        <row r="139">
          <cell r="A139" t="str">
            <v>FR</v>
          </cell>
        </row>
        <row r="140">
          <cell r="A140" t="str">
            <v>FR</v>
          </cell>
        </row>
        <row r="141">
          <cell r="A141" t="str">
            <v>FR</v>
          </cell>
        </row>
        <row r="142">
          <cell r="A142" t="str">
            <v>FR</v>
          </cell>
        </row>
        <row r="143">
          <cell r="A143" t="str">
            <v>FR</v>
          </cell>
        </row>
        <row r="144">
          <cell r="A144" t="str">
            <v>GA</v>
          </cell>
        </row>
        <row r="145">
          <cell r="A145" t="str">
            <v>GA</v>
          </cell>
        </row>
        <row r="146">
          <cell r="A146" t="str">
            <v>GA</v>
          </cell>
        </row>
        <row r="147">
          <cell r="A147" t="str">
            <v>GA</v>
          </cell>
        </row>
        <row r="148">
          <cell r="A148" t="str">
            <v>GA</v>
          </cell>
        </row>
        <row r="149">
          <cell r="A149" t="str">
            <v>GA</v>
          </cell>
        </row>
        <row r="150">
          <cell r="A150" t="str">
            <v>GA</v>
          </cell>
        </row>
        <row r="151">
          <cell r="A151" t="str">
            <v>GA</v>
          </cell>
        </row>
        <row r="152">
          <cell r="A152" t="str">
            <v>GA</v>
          </cell>
        </row>
        <row r="153">
          <cell r="A153" t="str">
            <v>GA</v>
          </cell>
        </row>
        <row r="154">
          <cell r="A154" t="str">
            <v>HA</v>
          </cell>
        </row>
        <row r="155">
          <cell r="A155" t="str">
            <v>HA</v>
          </cell>
        </row>
        <row r="156">
          <cell r="A156" t="str">
            <v>HA</v>
          </cell>
        </row>
        <row r="157">
          <cell r="A157" t="str">
            <v>HA</v>
          </cell>
        </row>
        <row r="158">
          <cell r="A158" t="str">
            <v>HA</v>
          </cell>
        </row>
        <row r="159">
          <cell r="A159" t="str">
            <v>HA</v>
          </cell>
        </row>
        <row r="160">
          <cell r="A160" t="str">
            <v>HA</v>
          </cell>
        </row>
        <row r="161">
          <cell r="A161" t="str">
            <v>HA</v>
          </cell>
        </row>
        <row r="162">
          <cell r="A162" t="str">
            <v>HA</v>
          </cell>
        </row>
        <row r="163">
          <cell r="A163" t="str">
            <v>HA</v>
          </cell>
        </row>
        <row r="164">
          <cell r="A164" t="str">
            <v>HA</v>
          </cell>
        </row>
        <row r="165">
          <cell r="A165" t="str">
            <v>HA</v>
          </cell>
        </row>
        <row r="166">
          <cell r="A166" t="str">
            <v>HA</v>
          </cell>
        </row>
        <row r="167">
          <cell r="A167" t="str">
            <v>HA</v>
          </cell>
        </row>
        <row r="168">
          <cell r="A168" t="str">
            <v>HA</v>
          </cell>
        </row>
        <row r="169">
          <cell r="A169" t="str">
            <v>HA</v>
          </cell>
        </row>
        <row r="170">
          <cell r="A170" t="str">
            <v>HA</v>
          </cell>
        </row>
        <row r="171">
          <cell r="A171" t="str">
            <v>IN</v>
          </cell>
        </row>
        <row r="172">
          <cell r="A172" t="str">
            <v>IN</v>
          </cell>
        </row>
        <row r="173">
          <cell r="A173" t="str">
            <v>IN</v>
          </cell>
        </row>
        <row r="174">
          <cell r="A174" t="str">
            <v>IN</v>
          </cell>
        </row>
        <row r="175">
          <cell r="A175" t="str">
            <v>IN</v>
          </cell>
        </row>
        <row r="176">
          <cell r="A176" t="str">
            <v>IN</v>
          </cell>
        </row>
        <row r="177">
          <cell r="A177" t="str">
            <v>IN</v>
          </cell>
        </row>
        <row r="178">
          <cell r="A178" t="str">
            <v>IN</v>
          </cell>
        </row>
        <row r="179">
          <cell r="A179" t="str">
            <v>IN</v>
          </cell>
        </row>
        <row r="180">
          <cell r="A180" t="str">
            <v>IN</v>
          </cell>
        </row>
        <row r="181">
          <cell r="A181" t="str">
            <v>IN</v>
          </cell>
        </row>
        <row r="182">
          <cell r="A182" t="str">
            <v>IN</v>
          </cell>
        </row>
        <row r="183">
          <cell r="A183" t="str">
            <v>IN</v>
          </cell>
        </row>
        <row r="184">
          <cell r="A184" t="str">
            <v>IN</v>
          </cell>
        </row>
        <row r="185">
          <cell r="A185" t="str">
            <v>IN</v>
          </cell>
        </row>
        <row r="186">
          <cell r="A186" t="str">
            <v>IN</v>
          </cell>
        </row>
        <row r="187">
          <cell r="A187" t="str">
            <v>IN</v>
          </cell>
        </row>
        <row r="188">
          <cell r="A188" t="str">
            <v>IN</v>
          </cell>
        </row>
        <row r="189">
          <cell r="A189" t="str">
            <v>IN</v>
          </cell>
        </row>
        <row r="190">
          <cell r="A190" t="str">
            <v>IN</v>
          </cell>
        </row>
        <row r="191">
          <cell r="A191" t="str">
            <v>IN</v>
          </cell>
        </row>
        <row r="192">
          <cell r="A192" t="str">
            <v>KE</v>
          </cell>
        </row>
        <row r="193">
          <cell r="A193" t="str">
            <v>KE</v>
          </cell>
        </row>
        <row r="194">
          <cell r="A194" t="str">
            <v>KE</v>
          </cell>
        </row>
        <row r="195">
          <cell r="A195" t="str">
            <v>KE</v>
          </cell>
        </row>
        <row r="196">
          <cell r="A196" t="str">
            <v>KE</v>
          </cell>
        </row>
        <row r="197">
          <cell r="A197" t="str">
            <v>LA</v>
          </cell>
        </row>
        <row r="198">
          <cell r="A198" t="str">
            <v>LA</v>
          </cell>
        </row>
        <row r="199">
          <cell r="A199" t="str">
            <v>LA</v>
          </cell>
        </row>
        <row r="200">
          <cell r="A200" t="str">
            <v>LA</v>
          </cell>
        </row>
        <row r="201">
          <cell r="A201" t="str">
            <v>LA</v>
          </cell>
        </row>
        <row r="202">
          <cell r="A202" t="str">
            <v>LA</v>
          </cell>
        </row>
        <row r="203">
          <cell r="A203" t="str">
            <v>LA</v>
          </cell>
        </row>
        <row r="204">
          <cell r="A204" t="str">
            <v>LA</v>
          </cell>
        </row>
        <row r="205">
          <cell r="A205" t="str">
            <v>LA</v>
          </cell>
        </row>
        <row r="206">
          <cell r="A206" t="str">
            <v>LA</v>
          </cell>
        </row>
        <row r="207">
          <cell r="A207" t="str">
            <v>LO</v>
          </cell>
        </row>
        <row r="208">
          <cell r="A208" t="str">
            <v>LO</v>
          </cell>
        </row>
        <row r="209">
          <cell r="A209" t="str">
            <v>LO</v>
          </cell>
        </row>
        <row r="210">
          <cell r="A210" t="str">
            <v>LO</v>
          </cell>
        </row>
        <row r="211">
          <cell r="A211" t="str">
            <v>LO</v>
          </cell>
        </row>
        <row r="212">
          <cell r="A212" t="str">
            <v>LO</v>
          </cell>
        </row>
        <row r="213">
          <cell r="A213" t="str">
            <v>LO</v>
          </cell>
        </row>
        <row r="214">
          <cell r="A214" t="str">
            <v>LO</v>
          </cell>
        </row>
        <row r="215">
          <cell r="A215" t="str">
            <v>LO</v>
          </cell>
        </row>
        <row r="216">
          <cell r="A216" t="str">
            <v>LO</v>
          </cell>
        </row>
        <row r="217">
          <cell r="A217" t="str">
            <v>LO</v>
          </cell>
        </row>
        <row r="218">
          <cell r="A218" t="str">
            <v>LO</v>
          </cell>
        </row>
        <row r="219">
          <cell r="A219" t="str">
            <v>LO</v>
          </cell>
        </row>
        <row r="220">
          <cell r="A220" t="str">
            <v>LO</v>
          </cell>
        </row>
        <row r="221">
          <cell r="A221" t="str">
            <v>LR</v>
          </cell>
        </row>
        <row r="222">
          <cell r="A222" t="str">
            <v>LR</v>
          </cell>
        </row>
        <row r="223">
          <cell r="A223" t="str">
            <v>LR</v>
          </cell>
        </row>
        <row r="224">
          <cell r="A224" t="str">
            <v>LR</v>
          </cell>
        </row>
        <row r="225">
          <cell r="A225" t="str">
            <v>LR</v>
          </cell>
        </row>
        <row r="226">
          <cell r="A226" t="str">
            <v>LR</v>
          </cell>
        </row>
        <row r="227">
          <cell r="A227" t="str">
            <v>LR</v>
          </cell>
        </row>
        <row r="228">
          <cell r="A228" t="str">
            <v>LR</v>
          </cell>
        </row>
        <row r="229">
          <cell r="A229" t="str">
            <v>LR</v>
          </cell>
        </row>
        <row r="230">
          <cell r="A230" t="str">
            <v>LR</v>
          </cell>
        </row>
        <row r="231">
          <cell r="A231" t="str">
            <v>LR</v>
          </cell>
        </row>
        <row r="232">
          <cell r="A232" t="str">
            <v>LR</v>
          </cell>
        </row>
        <row r="233">
          <cell r="A233" t="str">
            <v>LR</v>
          </cell>
        </row>
        <row r="234">
          <cell r="A234" t="str">
            <v>LR</v>
          </cell>
        </row>
        <row r="235">
          <cell r="A235" t="str">
            <v>LR</v>
          </cell>
        </row>
        <row r="236">
          <cell r="A236" t="str">
            <v>LR</v>
          </cell>
        </row>
        <row r="237">
          <cell r="A237" t="str">
            <v>LR</v>
          </cell>
        </row>
        <row r="238">
          <cell r="A238" t="str">
            <v>LR</v>
          </cell>
        </row>
        <row r="239">
          <cell r="A239" t="str">
            <v>LR</v>
          </cell>
        </row>
        <row r="240">
          <cell r="A240" t="str">
            <v>LR</v>
          </cell>
        </row>
        <row r="241">
          <cell r="A241" t="str">
            <v>LR</v>
          </cell>
        </row>
        <row r="242">
          <cell r="A242" t="str">
            <v>LR</v>
          </cell>
        </row>
        <row r="243">
          <cell r="A243" t="str">
            <v>LR</v>
          </cell>
        </row>
        <row r="244">
          <cell r="A244" t="str">
            <v>LR</v>
          </cell>
        </row>
        <row r="245">
          <cell r="A245" t="str">
            <v>LR</v>
          </cell>
        </row>
        <row r="246">
          <cell r="A246" t="str">
            <v>LR</v>
          </cell>
        </row>
        <row r="247">
          <cell r="A247" t="str">
            <v>LR</v>
          </cell>
        </row>
        <row r="248">
          <cell r="A248" t="str">
            <v>LR</v>
          </cell>
        </row>
        <row r="249">
          <cell r="A249" t="str">
            <v>LR</v>
          </cell>
        </row>
        <row r="250">
          <cell r="A250" t="str">
            <v>LR</v>
          </cell>
        </row>
        <row r="251">
          <cell r="A251" t="str">
            <v>LR</v>
          </cell>
        </row>
        <row r="252">
          <cell r="A252" t="str">
            <v>LR</v>
          </cell>
        </row>
        <row r="253">
          <cell r="A253" t="str">
            <v>LR</v>
          </cell>
        </row>
        <row r="254">
          <cell r="A254" t="str">
            <v>LR</v>
          </cell>
        </row>
        <row r="255">
          <cell r="A255" t="str">
            <v>LR</v>
          </cell>
        </row>
        <row r="256">
          <cell r="A256" t="str">
            <v>LR</v>
          </cell>
        </row>
        <row r="257">
          <cell r="A257" t="str">
            <v>LR</v>
          </cell>
        </row>
        <row r="258">
          <cell r="A258" t="str">
            <v>LR</v>
          </cell>
        </row>
        <row r="259">
          <cell r="A259" t="str">
            <v>LR</v>
          </cell>
        </row>
        <row r="260">
          <cell r="A260" t="str">
            <v>MO</v>
          </cell>
        </row>
        <row r="261">
          <cell r="A261" t="str">
            <v>MO</v>
          </cell>
        </row>
        <row r="262">
          <cell r="A262" t="str">
            <v>MO</v>
          </cell>
        </row>
        <row r="263">
          <cell r="A263" t="str">
            <v>MO</v>
          </cell>
        </row>
        <row r="264">
          <cell r="A264" t="str">
            <v>MO</v>
          </cell>
        </row>
        <row r="265">
          <cell r="A265" t="str">
            <v>MO</v>
          </cell>
        </row>
        <row r="266">
          <cell r="A266" t="str">
            <v>MO</v>
          </cell>
        </row>
        <row r="267">
          <cell r="A267" t="str">
            <v>MO</v>
          </cell>
        </row>
        <row r="268">
          <cell r="A268" t="str">
            <v>MO</v>
          </cell>
        </row>
        <row r="269">
          <cell r="A269" t="str">
            <v>MO</v>
          </cell>
        </row>
        <row r="270">
          <cell r="A270" t="str">
            <v>MO</v>
          </cell>
        </row>
        <row r="271">
          <cell r="A271" t="str">
            <v>MO</v>
          </cell>
        </row>
        <row r="272">
          <cell r="A272" t="str">
            <v>MO</v>
          </cell>
        </row>
        <row r="273">
          <cell r="A273" t="str">
            <v>MO</v>
          </cell>
        </row>
        <row r="274">
          <cell r="A274" t="str">
            <v>MO</v>
          </cell>
        </row>
        <row r="275">
          <cell r="A275" t="str">
            <v>MO</v>
          </cell>
        </row>
        <row r="276">
          <cell r="A276" t="str">
            <v>MY</v>
          </cell>
        </row>
        <row r="277">
          <cell r="A277" t="str">
            <v>MY</v>
          </cell>
        </row>
        <row r="278">
          <cell r="A278" t="str">
            <v>MY</v>
          </cell>
        </row>
        <row r="279">
          <cell r="A279" t="str">
            <v>MY</v>
          </cell>
        </row>
        <row r="280">
          <cell r="A280" t="str">
            <v>MY</v>
          </cell>
        </row>
        <row r="281">
          <cell r="A281" t="str">
            <v>MY</v>
          </cell>
        </row>
        <row r="282">
          <cell r="A282" t="str">
            <v>MY</v>
          </cell>
        </row>
        <row r="283">
          <cell r="A283" t="str">
            <v>PA</v>
          </cell>
        </row>
        <row r="284">
          <cell r="A284" t="str">
            <v>PA</v>
          </cell>
        </row>
        <row r="285">
          <cell r="A285" t="str">
            <v>PA</v>
          </cell>
        </row>
        <row r="286">
          <cell r="A286" t="str">
            <v>PA</v>
          </cell>
        </row>
        <row r="287">
          <cell r="A287" t="str">
            <v>PA</v>
          </cell>
        </row>
        <row r="288">
          <cell r="A288" t="str">
            <v>PA</v>
          </cell>
        </row>
        <row r="289">
          <cell r="A289" t="str">
            <v>PA</v>
          </cell>
        </row>
        <row r="290">
          <cell r="A290" t="str">
            <v>PA</v>
          </cell>
        </row>
        <row r="291">
          <cell r="A291" t="str">
            <v>PA</v>
          </cell>
        </row>
        <row r="292">
          <cell r="A292" t="str">
            <v>PA</v>
          </cell>
        </row>
        <row r="293">
          <cell r="A293" t="str">
            <v>PA</v>
          </cell>
        </row>
        <row r="294">
          <cell r="A294" t="str">
            <v>PA</v>
          </cell>
        </row>
        <row r="295">
          <cell r="A295" t="str">
            <v>PA</v>
          </cell>
        </row>
        <row r="296">
          <cell r="A296" t="str">
            <v>PA</v>
          </cell>
        </row>
        <row r="297">
          <cell r="A297" t="str">
            <v>PE</v>
          </cell>
        </row>
        <row r="298">
          <cell r="A298" t="str">
            <v>PE</v>
          </cell>
        </row>
        <row r="299">
          <cell r="A299" t="str">
            <v>PE</v>
          </cell>
        </row>
        <row r="300">
          <cell r="A300" t="str">
            <v>PE</v>
          </cell>
        </row>
        <row r="301">
          <cell r="A301" t="str">
            <v>PE</v>
          </cell>
        </row>
        <row r="302">
          <cell r="A302" t="str">
            <v>PE</v>
          </cell>
        </row>
        <row r="303">
          <cell r="A303" t="str">
            <v>PE</v>
          </cell>
        </row>
        <row r="304">
          <cell r="A304" t="str">
            <v>PE</v>
          </cell>
        </row>
        <row r="305">
          <cell r="A305" t="str">
            <v>PE</v>
          </cell>
        </row>
        <row r="306">
          <cell r="A306" t="str">
            <v>PE</v>
          </cell>
        </row>
        <row r="307">
          <cell r="A307" t="str">
            <v>PE</v>
          </cell>
        </row>
        <row r="308">
          <cell r="A308" t="str">
            <v>PE</v>
          </cell>
        </row>
        <row r="309">
          <cell r="A309" t="str">
            <v>PE</v>
          </cell>
        </row>
        <row r="310">
          <cell r="A310" t="str">
            <v>PE</v>
          </cell>
        </row>
        <row r="311">
          <cell r="A311" t="str">
            <v>PE</v>
          </cell>
        </row>
        <row r="312">
          <cell r="A312" t="str">
            <v>PE</v>
          </cell>
        </row>
        <row r="313">
          <cell r="A313" t="str">
            <v>PE</v>
          </cell>
        </row>
        <row r="314">
          <cell r="A314" t="str">
            <v>PE</v>
          </cell>
        </row>
        <row r="315">
          <cell r="A315" t="str">
            <v>PE</v>
          </cell>
        </row>
        <row r="316">
          <cell r="A316" t="str">
            <v>PE</v>
          </cell>
        </row>
        <row r="317">
          <cell r="A317" t="str">
            <v>PE</v>
          </cell>
        </row>
        <row r="318">
          <cell r="A318" t="str">
            <v>PE</v>
          </cell>
        </row>
        <row r="319">
          <cell r="A319" t="str">
            <v>PE</v>
          </cell>
        </row>
        <row r="320">
          <cell r="A320" t="str">
            <v>PE</v>
          </cell>
        </row>
        <row r="321">
          <cell r="A321" t="str">
            <v>PE</v>
          </cell>
        </row>
        <row r="322">
          <cell r="A322" t="str">
            <v>PE</v>
          </cell>
        </row>
        <row r="323">
          <cell r="A323" t="str">
            <v>PE</v>
          </cell>
        </row>
        <row r="324">
          <cell r="A324" t="str">
            <v>PE</v>
          </cell>
        </row>
        <row r="325">
          <cell r="A325" t="str">
            <v>PE</v>
          </cell>
        </row>
        <row r="326">
          <cell r="A326" t="str">
            <v>PE</v>
          </cell>
        </row>
        <row r="327">
          <cell r="A327" t="str">
            <v>PE</v>
          </cell>
        </row>
        <row r="328">
          <cell r="A328" t="str">
            <v>PE</v>
          </cell>
        </row>
        <row r="329">
          <cell r="A329" t="str">
            <v>PE</v>
          </cell>
        </row>
        <row r="330">
          <cell r="A330" t="str">
            <v>PI</v>
          </cell>
        </row>
        <row r="331">
          <cell r="A331" t="str">
            <v>PI</v>
          </cell>
        </row>
        <row r="332">
          <cell r="A332" t="str">
            <v>PI</v>
          </cell>
        </row>
        <row r="333">
          <cell r="A333" t="str">
            <v>PI</v>
          </cell>
        </row>
        <row r="334">
          <cell r="A334" t="str">
            <v>PI</v>
          </cell>
        </row>
        <row r="335">
          <cell r="A335" t="str">
            <v>PI</v>
          </cell>
        </row>
        <row r="336">
          <cell r="A336" t="str">
            <v>PI</v>
          </cell>
        </row>
        <row r="337">
          <cell r="A337" t="str">
            <v>PI</v>
          </cell>
        </row>
        <row r="338">
          <cell r="A338" t="str">
            <v>PI</v>
          </cell>
        </row>
        <row r="339">
          <cell r="A339" t="str">
            <v>PI</v>
          </cell>
        </row>
        <row r="340">
          <cell r="A340" t="str">
            <v>PI</v>
          </cell>
        </row>
        <row r="341">
          <cell r="A341" t="str">
            <v>PI</v>
          </cell>
        </row>
        <row r="342">
          <cell r="A342" t="str">
            <v>PI</v>
          </cell>
        </row>
        <row r="343">
          <cell r="A343" t="str">
            <v>PO</v>
          </cell>
        </row>
        <row r="344">
          <cell r="A344" t="str">
            <v>PO</v>
          </cell>
        </row>
        <row r="345">
          <cell r="A345" t="str">
            <v>PO</v>
          </cell>
        </row>
        <row r="346">
          <cell r="A346" t="str">
            <v>PO</v>
          </cell>
        </row>
        <row r="347">
          <cell r="A347" t="str">
            <v>PO</v>
          </cell>
        </row>
        <row r="348">
          <cell r="A348" t="str">
            <v>PO</v>
          </cell>
        </row>
        <row r="349">
          <cell r="A349" t="str">
            <v>PO</v>
          </cell>
        </row>
        <row r="350">
          <cell r="A350" t="str">
            <v>PO</v>
          </cell>
        </row>
        <row r="351">
          <cell r="A351" t="str">
            <v>PO</v>
          </cell>
        </row>
        <row r="352">
          <cell r="A352" t="str">
            <v>PO</v>
          </cell>
        </row>
        <row r="353">
          <cell r="A353" t="str">
            <v>PO</v>
          </cell>
        </row>
        <row r="354">
          <cell r="A354" t="str">
            <v>PO</v>
          </cell>
        </row>
        <row r="355">
          <cell r="A355" t="str">
            <v>PO</v>
          </cell>
        </row>
        <row r="356">
          <cell r="A356" t="str">
            <v>PO</v>
          </cell>
        </row>
        <row r="357">
          <cell r="A357" t="str">
            <v>PO</v>
          </cell>
        </row>
        <row r="358">
          <cell r="A358" t="str">
            <v>PO</v>
          </cell>
        </row>
        <row r="359">
          <cell r="A359" t="str">
            <v>PO</v>
          </cell>
        </row>
        <row r="360">
          <cell r="A360" t="str">
            <v>PO</v>
          </cell>
        </row>
        <row r="361">
          <cell r="A361" t="str">
            <v>PO</v>
          </cell>
        </row>
        <row r="362">
          <cell r="A362" t="str">
            <v>PO</v>
          </cell>
        </row>
        <row r="363">
          <cell r="A363" t="str">
            <v>PR</v>
          </cell>
        </row>
        <row r="364">
          <cell r="A364" t="str">
            <v>PR</v>
          </cell>
        </row>
        <row r="365">
          <cell r="A365" t="str">
            <v>PR</v>
          </cell>
        </row>
        <row r="366">
          <cell r="A366" t="str">
            <v>PR</v>
          </cell>
        </row>
        <row r="367">
          <cell r="A367" t="str">
            <v>PR</v>
          </cell>
        </row>
        <row r="368">
          <cell r="A368" t="str">
            <v>PR</v>
          </cell>
        </row>
        <row r="369">
          <cell r="A369" t="str">
            <v>PR</v>
          </cell>
        </row>
        <row r="370">
          <cell r="A370" t="str">
            <v>PR</v>
          </cell>
        </row>
        <row r="371">
          <cell r="A371" t="str">
            <v>PR</v>
          </cell>
        </row>
        <row r="372">
          <cell r="A372" t="str">
            <v>PR</v>
          </cell>
        </row>
        <row r="373">
          <cell r="A373" t="str">
            <v>PR</v>
          </cell>
        </row>
        <row r="374">
          <cell r="A374" t="str">
            <v>PR</v>
          </cell>
        </row>
        <row r="375">
          <cell r="A375" t="str">
            <v>PR</v>
          </cell>
        </row>
        <row r="376">
          <cell r="A376" t="str">
            <v>PR</v>
          </cell>
        </row>
        <row r="377">
          <cell r="A377" t="str">
            <v>PR</v>
          </cell>
        </row>
        <row r="378">
          <cell r="A378" t="str">
            <v>PR</v>
          </cell>
        </row>
        <row r="379">
          <cell r="A379" t="str">
            <v>PR</v>
          </cell>
        </row>
        <row r="380">
          <cell r="A380" t="str">
            <v>PR</v>
          </cell>
        </row>
        <row r="381">
          <cell r="A381" t="str">
            <v>PR</v>
          </cell>
        </row>
        <row r="382">
          <cell r="A382" t="str">
            <v>PR</v>
          </cell>
        </row>
        <row r="383">
          <cell r="A383" t="str">
            <v>PR</v>
          </cell>
        </row>
        <row r="384">
          <cell r="A384" t="str">
            <v>PR</v>
          </cell>
        </row>
        <row r="385">
          <cell r="A385" t="str">
            <v>PR</v>
          </cell>
        </row>
        <row r="386">
          <cell r="A386" t="str">
            <v>PR</v>
          </cell>
        </row>
        <row r="387">
          <cell r="A387" t="str">
            <v>PR</v>
          </cell>
        </row>
        <row r="388">
          <cell r="A388" t="str">
            <v>PS</v>
          </cell>
        </row>
        <row r="389">
          <cell r="A389" t="str">
            <v>PS</v>
          </cell>
        </row>
        <row r="390">
          <cell r="A390" t="str">
            <v>PS</v>
          </cell>
        </row>
        <row r="391">
          <cell r="A391" t="str">
            <v>PS</v>
          </cell>
        </row>
        <row r="392">
          <cell r="A392" t="str">
            <v>PS</v>
          </cell>
        </row>
        <row r="393">
          <cell r="A393" t="str">
            <v>PS</v>
          </cell>
        </row>
        <row r="394">
          <cell r="A394" t="str">
            <v>PS</v>
          </cell>
        </row>
        <row r="395">
          <cell r="A395" t="str">
            <v>PS</v>
          </cell>
        </row>
        <row r="396">
          <cell r="A396" t="str">
            <v>PS</v>
          </cell>
        </row>
        <row r="397">
          <cell r="A397" t="str">
            <v>PS</v>
          </cell>
        </row>
        <row r="398">
          <cell r="A398" t="str">
            <v>PS</v>
          </cell>
        </row>
        <row r="399">
          <cell r="A399" t="str">
            <v>PS</v>
          </cell>
        </row>
        <row r="400">
          <cell r="A400" t="str">
            <v>PS</v>
          </cell>
        </row>
        <row r="401">
          <cell r="A401" t="str">
            <v>PS</v>
          </cell>
        </row>
        <row r="402">
          <cell r="A402" t="str">
            <v>PS</v>
          </cell>
        </row>
        <row r="403">
          <cell r="A403" t="str">
            <v>PS</v>
          </cell>
        </row>
        <row r="404">
          <cell r="A404" t="str">
            <v>PS</v>
          </cell>
        </row>
        <row r="405">
          <cell r="A405" t="str">
            <v>PS</v>
          </cell>
        </row>
        <row r="406">
          <cell r="A406" t="str">
            <v>PS</v>
          </cell>
        </row>
        <row r="407">
          <cell r="A407" t="str">
            <v>PS</v>
          </cell>
        </row>
        <row r="408">
          <cell r="A408" t="str">
            <v>PS</v>
          </cell>
        </row>
        <row r="409">
          <cell r="A409" t="str">
            <v>PS</v>
          </cell>
        </row>
        <row r="410">
          <cell r="A410" t="str">
            <v>PS</v>
          </cell>
        </row>
        <row r="411">
          <cell r="A411" t="str">
            <v>PS</v>
          </cell>
        </row>
        <row r="412">
          <cell r="A412" t="str">
            <v>PS</v>
          </cell>
        </row>
        <row r="413">
          <cell r="A413" t="str">
            <v>PS</v>
          </cell>
        </row>
        <row r="414">
          <cell r="A414" t="str">
            <v>PS</v>
          </cell>
        </row>
        <row r="415">
          <cell r="A415" t="str">
            <v>PS</v>
          </cell>
        </row>
        <row r="416">
          <cell r="A416" t="str">
            <v>PS</v>
          </cell>
        </row>
        <row r="417">
          <cell r="A417" t="str">
            <v>RE</v>
          </cell>
        </row>
        <row r="418">
          <cell r="A418" t="str">
            <v>RE</v>
          </cell>
        </row>
        <row r="419">
          <cell r="A419" t="str">
            <v>RE</v>
          </cell>
        </row>
        <row r="420">
          <cell r="A420" t="str">
            <v>RE</v>
          </cell>
        </row>
        <row r="421">
          <cell r="A421" t="str">
            <v>RE</v>
          </cell>
        </row>
        <row r="422">
          <cell r="A422" t="str">
            <v>RE</v>
          </cell>
        </row>
        <row r="423">
          <cell r="A423" t="str">
            <v>RE</v>
          </cell>
        </row>
        <row r="424">
          <cell r="A424" t="str">
            <v>RE</v>
          </cell>
        </row>
        <row r="425">
          <cell r="A425" t="str">
            <v>RE</v>
          </cell>
        </row>
        <row r="426">
          <cell r="A426" t="str">
            <v>RE</v>
          </cell>
        </row>
        <row r="427">
          <cell r="A427" t="str">
            <v>RE</v>
          </cell>
        </row>
        <row r="428">
          <cell r="A428" t="str">
            <v>RE</v>
          </cell>
        </row>
        <row r="429">
          <cell r="A429" t="str">
            <v>RE</v>
          </cell>
        </row>
        <row r="430">
          <cell r="A430" t="str">
            <v>RE</v>
          </cell>
        </row>
        <row r="431">
          <cell r="A431" t="str">
            <v>RE</v>
          </cell>
        </row>
        <row r="432">
          <cell r="A432" t="str">
            <v>RI</v>
          </cell>
        </row>
        <row r="433">
          <cell r="A433" t="str">
            <v>RI</v>
          </cell>
        </row>
        <row r="434">
          <cell r="A434" t="str">
            <v>RI</v>
          </cell>
        </row>
        <row r="435">
          <cell r="A435" t="str">
            <v>RI</v>
          </cell>
        </row>
        <row r="436">
          <cell r="A436" t="str">
            <v>RI</v>
          </cell>
        </row>
        <row r="437">
          <cell r="A437" t="str">
            <v>RI</v>
          </cell>
        </row>
        <row r="438">
          <cell r="A438" t="str">
            <v>RI</v>
          </cell>
        </row>
        <row r="439">
          <cell r="A439" t="str">
            <v>RI</v>
          </cell>
        </row>
        <row r="440">
          <cell r="A440" t="str">
            <v>RI</v>
          </cell>
        </row>
        <row r="441">
          <cell r="A441" t="str">
            <v>RI</v>
          </cell>
        </row>
        <row r="442">
          <cell r="A442" t="str">
            <v>RI</v>
          </cell>
        </row>
        <row r="443">
          <cell r="A443" t="str">
            <v>RI</v>
          </cell>
        </row>
        <row r="444">
          <cell r="A444" t="str">
            <v>RI</v>
          </cell>
        </row>
        <row r="445">
          <cell r="A445" t="str">
            <v>RI</v>
          </cell>
        </row>
        <row r="446">
          <cell r="A446" t="str">
            <v>RI</v>
          </cell>
        </row>
        <row r="447">
          <cell r="A447" t="str">
            <v>RI</v>
          </cell>
        </row>
        <row r="448">
          <cell r="A448" t="str">
            <v>RI</v>
          </cell>
        </row>
        <row r="449">
          <cell r="A449" t="str">
            <v>RI</v>
          </cell>
        </row>
        <row r="450">
          <cell r="A450" t="str">
            <v>RI</v>
          </cell>
        </row>
        <row r="451">
          <cell r="A451" t="str">
            <v>RI</v>
          </cell>
        </row>
        <row r="452">
          <cell r="A452" t="str">
            <v>RI</v>
          </cell>
        </row>
        <row r="453">
          <cell r="A453" t="str">
            <v>RI</v>
          </cell>
        </row>
        <row r="454">
          <cell r="A454" t="str">
            <v>RI</v>
          </cell>
        </row>
        <row r="455">
          <cell r="A455" t="str">
            <v>RI</v>
          </cell>
        </row>
        <row r="456">
          <cell r="A456" t="str">
            <v>RI</v>
          </cell>
        </row>
        <row r="457">
          <cell r="A457" t="str">
            <v>RI</v>
          </cell>
        </row>
        <row r="458">
          <cell r="A458" t="str">
            <v>RI</v>
          </cell>
        </row>
        <row r="459">
          <cell r="A459" t="str">
            <v>RI</v>
          </cell>
        </row>
        <row r="460">
          <cell r="A460" t="str">
            <v>RI</v>
          </cell>
        </row>
        <row r="461">
          <cell r="A461" t="str">
            <v>RI</v>
          </cell>
        </row>
        <row r="462">
          <cell r="A462" t="str">
            <v>RI</v>
          </cell>
        </row>
        <row r="463">
          <cell r="A463" t="str">
            <v>RI</v>
          </cell>
        </row>
        <row r="464">
          <cell r="A464" t="str">
            <v>RI</v>
          </cell>
        </row>
        <row r="465">
          <cell r="A465" t="str">
            <v>RI</v>
          </cell>
        </row>
        <row r="466">
          <cell r="A466" t="str">
            <v>RI</v>
          </cell>
        </row>
        <row r="467">
          <cell r="A467" t="str">
            <v>RI</v>
          </cell>
        </row>
        <row r="468">
          <cell r="A468" t="str">
            <v>RI</v>
          </cell>
        </row>
        <row r="469">
          <cell r="A469" t="str">
            <v>RI</v>
          </cell>
        </row>
        <row r="470">
          <cell r="A470" t="str">
            <v>RI</v>
          </cell>
        </row>
        <row r="471">
          <cell r="A471" t="str">
            <v>RI</v>
          </cell>
        </row>
        <row r="472">
          <cell r="A472" t="str">
            <v>RI</v>
          </cell>
        </row>
        <row r="473">
          <cell r="A473" t="str">
            <v>RI</v>
          </cell>
        </row>
        <row r="474">
          <cell r="A474" t="str">
            <v>RO</v>
          </cell>
        </row>
        <row r="475">
          <cell r="A475" t="str">
            <v>RO</v>
          </cell>
        </row>
        <row r="476">
          <cell r="A476" t="str">
            <v>RO</v>
          </cell>
        </row>
        <row r="477">
          <cell r="A477" t="str">
            <v>RO</v>
          </cell>
        </row>
        <row r="478">
          <cell r="A478" t="str">
            <v>RO</v>
          </cell>
        </row>
        <row r="479">
          <cell r="A479" t="str">
            <v>RO</v>
          </cell>
        </row>
        <row r="480">
          <cell r="A480" t="str">
            <v>RO</v>
          </cell>
        </row>
        <row r="481">
          <cell r="A481" t="str">
            <v>RO</v>
          </cell>
        </row>
        <row r="482">
          <cell r="A482" t="str">
            <v>RO</v>
          </cell>
        </row>
        <row r="483">
          <cell r="A483" t="str">
            <v>RO</v>
          </cell>
        </row>
        <row r="484">
          <cell r="A484" t="str">
            <v>RO</v>
          </cell>
        </row>
        <row r="485">
          <cell r="A485" t="str">
            <v>RO</v>
          </cell>
        </row>
        <row r="486">
          <cell r="A486" t="str">
            <v>RO</v>
          </cell>
        </row>
        <row r="487">
          <cell r="A487" t="str">
            <v>RO</v>
          </cell>
        </row>
        <row r="488">
          <cell r="A488" t="str">
            <v>RO</v>
          </cell>
        </row>
        <row r="489">
          <cell r="A489" t="str">
            <v>RO</v>
          </cell>
        </row>
        <row r="490">
          <cell r="A490" t="str">
            <v>SE</v>
          </cell>
        </row>
        <row r="491">
          <cell r="A491" t="str">
            <v>SE</v>
          </cell>
        </row>
        <row r="492">
          <cell r="A492" t="str">
            <v>SE</v>
          </cell>
        </row>
        <row r="493">
          <cell r="A493" t="str">
            <v>SE</v>
          </cell>
        </row>
        <row r="494">
          <cell r="A494" t="str">
            <v>SE</v>
          </cell>
        </row>
        <row r="495">
          <cell r="A495" t="str">
            <v>SE</v>
          </cell>
        </row>
        <row r="496">
          <cell r="A496" t="str">
            <v>SE</v>
          </cell>
        </row>
        <row r="497">
          <cell r="A497" t="str">
            <v>SE</v>
          </cell>
        </row>
        <row r="498">
          <cell r="A498" t="str">
            <v>SE</v>
          </cell>
        </row>
        <row r="499">
          <cell r="A499" t="str">
            <v>SE</v>
          </cell>
        </row>
        <row r="500">
          <cell r="A500" t="str">
            <v>SE</v>
          </cell>
        </row>
        <row r="501">
          <cell r="A501" t="str">
            <v>SE</v>
          </cell>
        </row>
        <row r="502">
          <cell r="A502" t="str">
            <v>SE</v>
          </cell>
        </row>
        <row r="503">
          <cell r="A503" t="str">
            <v>SE</v>
          </cell>
        </row>
        <row r="504">
          <cell r="A504" t="str">
            <v>SE</v>
          </cell>
        </row>
        <row r="505">
          <cell r="A505" t="str">
            <v>SO</v>
          </cell>
        </row>
        <row r="506">
          <cell r="A506" t="str">
            <v>SO</v>
          </cell>
        </row>
        <row r="507">
          <cell r="A507" t="str">
            <v>SO</v>
          </cell>
        </row>
        <row r="508">
          <cell r="A508" t="str">
            <v>SO</v>
          </cell>
        </row>
        <row r="509">
          <cell r="A509" t="str">
            <v>SO</v>
          </cell>
        </row>
        <row r="510">
          <cell r="A510" t="str">
            <v>SO</v>
          </cell>
        </row>
        <row r="511">
          <cell r="A511" t="str">
            <v>SO</v>
          </cell>
        </row>
        <row r="512">
          <cell r="A512" t="str">
            <v>SO</v>
          </cell>
        </row>
        <row r="513">
          <cell r="A513" t="str">
            <v>SO</v>
          </cell>
        </row>
        <row r="514">
          <cell r="A514" t="str">
            <v>SO</v>
          </cell>
        </row>
        <row r="515">
          <cell r="A515" t="str">
            <v>SO</v>
          </cell>
        </row>
        <row r="516">
          <cell r="A516" t="str">
            <v>SO</v>
          </cell>
        </row>
        <row r="517">
          <cell r="A517" t="str">
            <v>SO</v>
          </cell>
        </row>
        <row r="518">
          <cell r="A518" t="str">
            <v>SO</v>
          </cell>
        </row>
        <row r="519">
          <cell r="A519" t="str">
            <v>SO</v>
          </cell>
        </row>
        <row r="520">
          <cell r="A520" t="str">
            <v>SO</v>
          </cell>
        </row>
        <row r="521">
          <cell r="A521" t="str">
            <v>SO</v>
          </cell>
        </row>
        <row r="522">
          <cell r="A522" t="str">
            <v>SO</v>
          </cell>
        </row>
        <row r="523">
          <cell r="A523" t="str">
            <v>SO</v>
          </cell>
        </row>
        <row r="524">
          <cell r="A524" t="str">
            <v>SO</v>
          </cell>
        </row>
        <row r="525">
          <cell r="A525" t="str">
            <v>SR</v>
          </cell>
        </row>
        <row r="526">
          <cell r="A526" t="str">
            <v>SR</v>
          </cell>
        </row>
        <row r="527">
          <cell r="A527" t="str">
            <v>SR</v>
          </cell>
        </row>
        <row r="528">
          <cell r="A528" t="str">
            <v>SR</v>
          </cell>
        </row>
        <row r="529">
          <cell r="A529" t="str">
            <v>SR</v>
          </cell>
        </row>
        <row r="530">
          <cell r="A530" t="str">
            <v>SR</v>
          </cell>
        </row>
        <row r="531">
          <cell r="A531" t="str">
            <v>SR</v>
          </cell>
        </row>
        <row r="532">
          <cell r="A532" t="str">
            <v>SR</v>
          </cell>
        </row>
        <row r="533">
          <cell r="A533" t="str">
            <v>SR</v>
          </cell>
        </row>
        <row r="534">
          <cell r="A534" t="str">
            <v>SR</v>
          </cell>
        </row>
        <row r="535">
          <cell r="A535" t="str">
            <v>SR</v>
          </cell>
        </row>
        <row r="536">
          <cell r="A536" t="str">
            <v>SR</v>
          </cell>
        </row>
        <row r="537">
          <cell r="A537" t="str">
            <v>SR</v>
          </cell>
        </row>
        <row r="538">
          <cell r="A538" t="str">
            <v>ST</v>
          </cell>
        </row>
        <row r="539">
          <cell r="A539" t="str">
            <v>ST</v>
          </cell>
        </row>
        <row r="540">
          <cell r="A540" t="str">
            <v>ST</v>
          </cell>
        </row>
        <row r="541">
          <cell r="A541" t="str">
            <v>ST</v>
          </cell>
        </row>
        <row r="542">
          <cell r="A542" t="str">
            <v>ST</v>
          </cell>
        </row>
        <row r="543">
          <cell r="A543" t="str">
            <v>ST</v>
          </cell>
        </row>
        <row r="544">
          <cell r="A544" t="str">
            <v>ST</v>
          </cell>
        </row>
        <row r="545">
          <cell r="A545" t="str">
            <v>ST</v>
          </cell>
        </row>
        <row r="546">
          <cell r="A546" t="str">
            <v>ST</v>
          </cell>
        </row>
        <row r="547">
          <cell r="A547" t="str">
            <v>ST</v>
          </cell>
        </row>
        <row r="548">
          <cell r="A548" t="str">
            <v>ST</v>
          </cell>
        </row>
        <row r="549">
          <cell r="A549" t="str">
            <v>ST</v>
          </cell>
        </row>
        <row r="550">
          <cell r="A550" t="str">
            <v>ST</v>
          </cell>
        </row>
        <row r="551">
          <cell r="A551" t="str">
            <v>ST</v>
          </cell>
        </row>
        <row r="552">
          <cell r="A552" t="str">
            <v>ST</v>
          </cell>
        </row>
        <row r="553">
          <cell r="A553" t="str">
            <v>ST</v>
          </cell>
        </row>
        <row r="554">
          <cell r="A554" t="str">
            <v>ST</v>
          </cell>
        </row>
        <row r="555">
          <cell r="A555" t="str">
            <v>ST</v>
          </cell>
        </row>
        <row r="556">
          <cell r="A556" t="str">
            <v>ST</v>
          </cell>
        </row>
        <row r="557">
          <cell r="A557" t="str">
            <v>ST</v>
          </cell>
        </row>
        <row r="558">
          <cell r="A558" t="str">
            <v>ST</v>
          </cell>
        </row>
        <row r="559">
          <cell r="A559" t="str">
            <v>ST</v>
          </cell>
        </row>
        <row r="560">
          <cell r="A560" t="str">
            <v>ST</v>
          </cell>
        </row>
        <row r="561">
          <cell r="A561" t="str">
            <v>ST</v>
          </cell>
        </row>
        <row r="562">
          <cell r="A562" t="str">
            <v>ST</v>
          </cell>
        </row>
        <row r="563">
          <cell r="A563" t="str">
            <v>ST</v>
          </cell>
        </row>
        <row r="564">
          <cell r="A564" t="str">
            <v>SU</v>
          </cell>
        </row>
        <row r="565">
          <cell r="A565" t="str">
            <v>SU</v>
          </cell>
        </row>
        <row r="566">
          <cell r="A566" t="str">
            <v>SU</v>
          </cell>
        </row>
        <row r="567">
          <cell r="A567" t="str">
            <v>SU</v>
          </cell>
        </row>
        <row r="568">
          <cell r="A568" t="str">
            <v>SU</v>
          </cell>
        </row>
        <row r="569">
          <cell r="A569" t="str">
            <v>SU</v>
          </cell>
        </row>
        <row r="570">
          <cell r="A570" t="str">
            <v>SU</v>
          </cell>
        </row>
        <row r="571">
          <cell r="A571" t="str">
            <v>SU</v>
          </cell>
        </row>
        <row r="572">
          <cell r="A572" t="str">
            <v>SU</v>
          </cell>
        </row>
        <row r="573">
          <cell r="A573" t="str">
            <v>SU</v>
          </cell>
        </row>
        <row r="574">
          <cell r="A574" t="str">
            <v>SU</v>
          </cell>
        </row>
        <row r="575">
          <cell r="A575" t="str">
            <v>SU</v>
          </cell>
        </row>
        <row r="576">
          <cell r="A576" t="str">
            <v>SU</v>
          </cell>
        </row>
        <row r="577">
          <cell r="A577" t="str">
            <v>SU</v>
          </cell>
        </row>
        <row r="578">
          <cell r="A578" t="str">
            <v>SU</v>
          </cell>
        </row>
        <row r="579">
          <cell r="A579" t="str">
            <v>SU</v>
          </cell>
        </row>
        <row r="580">
          <cell r="A580" t="str">
            <v>SU</v>
          </cell>
        </row>
        <row r="581">
          <cell r="A581" t="str">
            <v>SU</v>
          </cell>
        </row>
        <row r="582">
          <cell r="A582" t="str">
            <v>SU</v>
          </cell>
        </row>
        <row r="583">
          <cell r="A583" t="str">
            <v>SU</v>
          </cell>
        </row>
        <row r="584">
          <cell r="A584" t="str">
            <v>SU</v>
          </cell>
        </row>
        <row r="585">
          <cell r="A585" t="str">
            <v>SW</v>
          </cell>
        </row>
        <row r="586">
          <cell r="A586" t="str">
            <v>SW</v>
          </cell>
        </row>
        <row r="587">
          <cell r="A587" t="str">
            <v>SW</v>
          </cell>
        </row>
        <row r="588">
          <cell r="A588" t="str">
            <v>SW</v>
          </cell>
        </row>
        <row r="589">
          <cell r="A589" t="str">
            <v>SW</v>
          </cell>
        </row>
        <row r="590">
          <cell r="A590" t="str">
            <v>SW</v>
          </cell>
        </row>
        <row r="591">
          <cell r="A591" t="str">
            <v>SW</v>
          </cell>
        </row>
        <row r="592">
          <cell r="A592" t="str">
            <v>SW</v>
          </cell>
        </row>
        <row r="593">
          <cell r="A593" t="str">
            <v>SW</v>
          </cell>
        </row>
        <row r="594">
          <cell r="A594" t="str">
            <v>TM</v>
          </cell>
        </row>
        <row r="595">
          <cell r="A595" t="str">
            <v>TM</v>
          </cell>
        </row>
        <row r="596">
          <cell r="A596" t="str">
            <v>TM</v>
          </cell>
        </row>
        <row r="597">
          <cell r="A597" t="str">
            <v>TM</v>
          </cell>
        </row>
        <row r="598">
          <cell r="A598" t="str">
            <v>TM</v>
          </cell>
        </row>
        <row r="599">
          <cell r="A599" t="str">
            <v>TM</v>
          </cell>
        </row>
        <row r="600">
          <cell r="A600" t="str">
            <v>TM</v>
          </cell>
        </row>
        <row r="601">
          <cell r="A601" t="str">
            <v>TM</v>
          </cell>
        </row>
        <row r="602">
          <cell r="A602" t="str">
            <v>TR</v>
          </cell>
        </row>
        <row r="603">
          <cell r="A603" t="str">
            <v>TR</v>
          </cell>
        </row>
        <row r="604">
          <cell r="A604" t="str">
            <v>TR</v>
          </cell>
        </row>
        <row r="605">
          <cell r="A605" t="str">
            <v>TR</v>
          </cell>
        </row>
        <row r="606">
          <cell r="A606" t="str">
            <v>TR</v>
          </cell>
        </row>
        <row r="607">
          <cell r="A607" t="str">
            <v>TR</v>
          </cell>
        </row>
        <row r="608">
          <cell r="A608" t="str">
            <v>TR</v>
          </cell>
        </row>
        <row r="609">
          <cell r="A609" t="str">
            <v>WE</v>
          </cell>
        </row>
        <row r="610">
          <cell r="A610" t="str">
            <v>WE</v>
          </cell>
        </row>
        <row r="611">
          <cell r="A611" t="str">
            <v>WE</v>
          </cell>
        </row>
        <row r="612">
          <cell r="A612" t="str">
            <v>WE</v>
          </cell>
        </row>
        <row r="613">
          <cell r="A613" t="str">
            <v>WI</v>
          </cell>
        </row>
        <row r="614">
          <cell r="A614" t="str">
            <v>WI</v>
          </cell>
        </row>
        <row r="615">
          <cell r="A615" t="str">
            <v>WI</v>
          </cell>
        </row>
        <row r="616">
          <cell r="A616" t="str">
            <v>WI</v>
          </cell>
        </row>
        <row r="617">
          <cell r="A617" t="str">
            <v>WI</v>
          </cell>
        </row>
        <row r="618">
          <cell r="A618" t="str">
            <v>WI</v>
          </cell>
        </row>
        <row r="619">
          <cell r="A619" t="str">
            <v>WI</v>
          </cell>
        </row>
        <row r="620">
          <cell r="A620" t="str">
            <v>WI</v>
          </cell>
        </row>
        <row r="621">
          <cell r="A621" t="str">
            <v>WI</v>
          </cell>
        </row>
        <row r="622">
          <cell r="A622" t="str">
            <v>WI</v>
          </cell>
        </row>
        <row r="623">
          <cell r="A623" t="str">
            <v>WI</v>
          </cell>
        </row>
        <row r="624">
          <cell r="A624" t="str">
            <v>WI</v>
          </cell>
        </row>
        <row r="625">
          <cell r="A625" t="str">
            <v>WI</v>
          </cell>
        </row>
        <row r="626">
          <cell r="A626" t="str">
            <v>WI</v>
          </cell>
        </row>
        <row r="627">
          <cell r="A627" t="str">
            <v>WI</v>
          </cell>
        </row>
        <row r="628">
          <cell r="A628" t="str">
            <v>WI</v>
          </cell>
        </row>
        <row r="629">
          <cell r="A629" t="str">
            <v>WI</v>
          </cell>
        </row>
        <row r="630">
          <cell r="A630" t="str">
            <v>WI</v>
          </cell>
        </row>
        <row r="631">
          <cell r="A631" t="str">
            <v>WI</v>
          </cell>
        </row>
        <row r="632">
          <cell r="A632" t="str">
            <v>WI</v>
          </cell>
        </row>
        <row r="633">
          <cell r="A633" t="str">
            <v>WI</v>
          </cell>
        </row>
        <row r="634">
          <cell r="A634" t="str">
            <v>WI</v>
          </cell>
        </row>
        <row r="635">
          <cell r="A635" t="str">
            <v>WI</v>
          </cell>
        </row>
        <row r="636">
          <cell r="A636" t="str">
            <v>WI</v>
          </cell>
        </row>
        <row r="637">
          <cell r="A637" t="str">
            <v>WI</v>
          </cell>
        </row>
        <row r="638">
          <cell r="A638" t="str">
            <v>WI</v>
          </cell>
        </row>
        <row r="639">
          <cell r="A639" t="str">
            <v>WI</v>
          </cell>
        </row>
        <row r="640">
          <cell r="A640" t="str">
            <v>WI</v>
          </cell>
        </row>
        <row r="641">
          <cell r="A641" t="str">
            <v>WI</v>
          </cell>
        </row>
        <row r="642">
          <cell r="A642" t="str">
            <v>WI</v>
          </cell>
        </row>
        <row r="643">
          <cell r="A643" t="str">
            <v>WI</v>
          </cell>
        </row>
        <row r="644">
          <cell r="A644" t="str">
            <v>WI</v>
          </cell>
        </row>
        <row r="645">
          <cell r="A645" t="str">
            <v>WI</v>
          </cell>
        </row>
        <row r="646">
          <cell r="A646" t="str">
            <v>WI</v>
          </cell>
        </row>
        <row r="647">
          <cell r="A647" t="str">
            <v>WI</v>
          </cell>
        </row>
        <row r="648">
          <cell r="A648" t="str">
            <v>WI</v>
          </cell>
        </row>
        <row r="649">
          <cell r="A649" t="str">
            <v>WI</v>
          </cell>
        </row>
        <row r="650">
          <cell r="A650" t="str">
            <v>WI</v>
          </cell>
        </row>
        <row r="651">
          <cell r="A651" t="str">
            <v>WI</v>
          </cell>
        </row>
        <row r="652">
          <cell r="A652" t="str">
            <v>WI</v>
          </cell>
        </row>
        <row r="653">
          <cell r="A653" t="str">
            <v>WI</v>
          </cell>
        </row>
        <row r="654">
          <cell r="A654" t="str">
            <v>WI</v>
          </cell>
        </row>
        <row r="655">
          <cell r="A655" t="str">
            <v>WI</v>
          </cell>
        </row>
        <row r="656">
          <cell r="A656" t="str">
            <v>WI</v>
          </cell>
        </row>
        <row r="657">
          <cell r="A657" t="str">
            <v>WI</v>
          </cell>
        </row>
        <row r="658">
          <cell r="A658" t="str">
            <v>WI</v>
          </cell>
        </row>
        <row r="659">
          <cell r="A659" t="str">
            <v>WI</v>
          </cell>
        </row>
        <row r="660">
          <cell r="A660" t="str">
            <v>WI</v>
          </cell>
        </row>
        <row r="661">
          <cell r="A661" t="str">
            <v>WI</v>
          </cell>
        </row>
        <row r="662">
          <cell r="A662" t="str">
            <v>WI</v>
          </cell>
        </row>
        <row r="663">
          <cell r="A663" t="str">
            <v>WI</v>
          </cell>
        </row>
        <row r="664">
          <cell r="A664" t="str">
            <v>WI</v>
          </cell>
        </row>
        <row r="665">
          <cell r="A665" t="str">
            <v>WI</v>
          </cell>
        </row>
        <row r="666">
          <cell r="A666" t="str">
            <v>WI</v>
          </cell>
        </row>
        <row r="667">
          <cell r="A667" t="str">
            <v>WI</v>
          </cell>
        </row>
        <row r="668">
          <cell r="A668" t="str">
            <v>WI</v>
          </cell>
        </row>
        <row r="669">
          <cell r="A669" t="str">
            <v>WI</v>
          </cell>
        </row>
        <row r="670">
          <cell r="A670" t="str">
            <v>WI</v>
          </cell>
        </row>
        <row r="671">
          <cell r="A671" t="str">
            <v>WI</v>
          </cell>
        </row>
        <row r="672">
          <cell r="A672" t="str">
            <v>WI</v>
          </cell>
        </row>
        <row r="673">
          <cell r="A673" t="str">
            <v>WI</v>
          </cell>
        </row>
        <row r="674">
          <cell r="A674" t="str">
            <v>WI</v>
          </cell>
        </row>
        <row r="675">
          <cell r="A675" t="str">
            <v>WI</v>
          </cell>
        </row>
        <row r="676">
          <cell r="A676" t="str">
            <v>WI</v>
          </cell>
        </row>
        <row r="677">
          <cell r="A677" t="str">
            <v>WI</v>
          </cell>
        </row>
        <row r="678">
          <cell r="A678" t="str">
            <v>WI</v>
          </cell>
        </row>
        <row r="679">
          <cell r="A679" t="str">
            <v>WI</v>
          </cell>
        </row>
        <row r="680">
          <cell r="A680" t="str">
            <v>WI</v>
          </cell>
        </row>
        <row r="681">
          <cell r="A681" t="str">
            <v>WI</v>
          </cell>
        </row>
        <row r="682">
          <cell r="A682" t="str">
            <v>WI</v>
          </cell>
        </row>
        <row r="683">
          <cell r="A683" t="str">
            <v>WI</v>
          </cell>
        </row>
        <row r="684">
          <cell r="A684" t="str">
            <v>WI</v>
          </cell>
        </row>
        <row r="685">
          <cell r="A685" t="str">
            <v>WI</v>
          </cell>
        </row>
        <row r="686">
          <cell r="A686" t="str">
            <v>WI</v>
          </cell>
        </row>
        <row r="687">
          <cell r="A687" t="str">
            <v>WI</v>
          </cell>
        </row>
        <row r="688">
          <cell r="A688" t="str">
            <v>WI</v>
          </cell>
        </row>
        <row r="689">
          <cell r="A689" t="str">
            <v>WI</v>
          </cell>
        </row>
        <row r="690">
          <cell r="A690" t="str">
            <v>WI</v>
          </cell>
        </row>
        <row r="691">
          <cell r="A691" t="str">
            <v>WI</v>
          </cell>
        </row>
        <row r="692">
          <cell r="A692" t="str">
            <v>XW</v>
          </cell>
        </row>
        <row r="693">
          <cell r="A693" t="str">
            <v>XW</v>
          </cell>
        </row>
        <row r="694">
          <cell r="A694" t="str">
            <v>FR</v>
          </cell>
        </row>
        <row r="695">
          <cell r="A695" t="str">
            <v>WI</v>
          </cell>
        </row>
        <row r="696">
          <cell r="A696" t="str">
            <v>PS</v>
          </cell>
        </row>
      </sheetData>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ROL"/>
      <sheetName val="115A 2nd Semester"/>
      <sheetName val="DATA"/>
      <sheetName val="FB115A_Feb"/>
    </sheetNames>
    <sheetDataSet>
      <sheetData sheetId="0" refreshError="1"/>
      <sheetData sheetId="1" refreshError="1"/>
      <sheetData sheetId="2">
        <row r="1">
          <cell r="B1">
            <v>1</v>
          </cell>
          <cell r="D1" t="str">
            <v>Press arrow for your School Division Name -&gt;</v>
          </cell>
        </row>
        <row r="2">
          <cell r="D2" t="str">
            <v>BEAUTIFUL PLAINS</v>
          </cell>
        </row>
        <row r="3">
          <cell r="D3" t="str">
            <v>BORDER LAND</v>
          </cell>
        </row>
        <row r="4">
          <cell r="D4" t="str">
            <v>BRANDON</v>
          </cell>
        </row>
        <row r="5">
          <cell r="D5" t="str">
            <v>EVERGREEN</v>
          </cell>
        </row>
        <row r="6">
          <cell r="D6" t="str">
            <v>FLIN FLON</v>
          </cell>
        </row>
        <row r="7">
          <cell r="D7" t="str">
            <v>FORT LA BOSSE</v>
          </cell>
        </row>
        <row r="8">
          <cell r="D8" t="str">
            <v>FRONTIER</v>
          </cell>
        </row>
        <row r="9">
          <cell r="D9" t="str">
            <v>GARDEN VALLEY</v>
          </cell>
        </row>
        <row r="10">
          <cell r="D10" t="str">
            <v>HANOVER</v>
          </cell>
        </row>
        <row r="11">
          <cell r="D11" t="str">
            <v>INTERLAKE</v>
          </cell>
        </row>
        <row r="12">
          <cell r="D12" t="str">
            <v>KELSEY</v>
          </cell>
        </row>
        <row r="13">
          <cell r="D13" t="str">
            <v>LAKESHORE</v>
          </cell>
        </row>
        <row r="14">
          <cell r="D14" t="str">
            <v>LORD SELKIRK</v>
          </cell>
        </row>
        <row r="15">
          <cell r="D15" t="str">
            <v>LOUIS RIEL</v>
          </cell>
        </row>
        <row r="16">
          <cell r="D16" t="str">
            <v>MOUNTAIN VIEW</v>
          </cell>
        </row>
        <row r="17">
          <cell r="D17" t="str">
            <v>MYSTERY LAKE</v>
          </cell>
        </row>
        <row r="18">
          <cell r="D18" t="str">
            <v>PARK WEST</v>
          </cell>
        </row>
        <row r="19">
          <cell r="D19" t="str">
            <v>PEMBINA TRAILS</v>
          </cell>
        </row>
        <row r="20">
          <cell r="D20" t="str">
            <v>PINE CREEK</v>
          </cell>
        </row>
        <row r="21">
          <cell r="D21" t="str">
            <v>PINE FALLS</v>
          </cell>
        </row>
        <row r="22">
          <cell r="D22" t="str">
            <v>PORTAGE LA PRAIRIE</v>
          </cell>
        </row>
        <row r="23">
          <cell r="D23" t="str">
            <v>PRAIRIE ROSE</v>
          </cell>
        </row>
        <row r="24">
          <cell r="D24" t="str">
            <v>PRAIRIE SPIRIT</v>
          </cell>
        </row>
        <row r="25">
          <cell r="D25" t="str">
            <v>RED RIVER VALLEY</v>
          </cell>
        </row>
        <row r="26">
          <cell r="D26" t="str">
            <v>RIVER EAST TRANSCONA</v>
          </cell>
        </row>
        <row r="27">
          <cell r="D27" t="str">
            <v>ROLLING RIVER</v>
          </cell>
        </row>
        <row r="28">
          <cell r="D28" t="str">
            <v>SEINE RIVER</v>
          </cell>
        </row>
        <row r="29">
          <cell r="D29" t="str">
            <v>SEVEN OAKS</v>
          </cell>
        </row>
        <row r="30">
          <cell r="D30" t="str">
            <v>SOUTHWEST HORIZON</v>
          </cell>
        </row>
        <row r="31">
          <cell r="D31" t="str">
            <v>ST. JAMES-ASSINIBOIA</v>
          </cell>
        </row>
        <row r="32">
          <cell r="D32" t="str">
            <v>SUNRISE</v>
          </cell>
        </row>
        <row r="33">
          <cell r="D33" t="str">
            <v>SWAN VALLEY</v>
          </cell>
        </row>
        <row r="34">
          <cell r="D34" t="str">
            <v>TURTLE MOUNTAIN</v>
          </cell>
        </row>
        <row r="35">
          <cell r="D35" t="str">
            <v>TURTLE RIVER</v>
          </cell>
        </row>
        <row r="36">
          <cell r="D36" t="str">
            <v>WESTERN</v>
          </cell>
        </row>
        <row r="37">
          <cell r="D37" t="str">
            <v>WHITESHELL</v>
          </cell>
        </row>
        <row r="38">
          <cell r="D38" t="str">
            <v>WINNIPEG</v>
          </cell>
        </row>
        <row r="39">
          <cell r="D39" t="str">
            <v>WINNIPEG TECHNICAL COLLEGE</v>
          </cell>
        </row>
      </sheetData>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ADME"/>
      <sheetName val="- 3 -"/>
      <sheetName val="- 4 -"/>
      <sheetName val="- 6 -"/>
      <sheetName val="- 7 -"/>
      <sheetName val="- 8 -"/>
      <sheetName val="- 9 -"/>
      <sheetName val="- 10 -"/>
      <sheetName val="- 12 -"/>
      <sheetName val="- 13 -"/>
      <sheetName val="- 15 -"/>
      <sheetName val="- 16 -"/>
      <sheetName val="- 17 -"/>
      <sheetName val="- 18 -"/>
      <sheetName val="- 19 -"/>
      <sheetName val="- 20 -"/>
      <sheetName val="- 21 -"/>
      <sheetName val="- 22 -"/>
      <sheetName val="- 23 -"/>
      <sheetName val="- 24 -"/>
      <sheetName val="- 25 -"/>
      <sheetName val="- 26 -"/>
      <sheetName val="- 27 -"/>
      <sheetName val="- 28 -"/>
      <sheetName val="- 29 -"/>
      <sheetName val="- 30 -"/>
      <sheetName val="- 31 -"/>
      <sheetName val="- 32 -"/>
      <sheetName val="- 33 -"/>
      <sheetName val="- 34 -"/>
      <sheetName val="- 35 -"/>
      <sheetName val="- 36 -"/>
      <sheetName val="- 37 -"/>
      <sheetName val="- 38 -"/>
      <sheetName val="- 39 -"/>
      <sheetName val="- 41 -"/>
      <sheetName val="- 42 -"/>
      <sheetName val="- 43 -"/>
      <sheetName val="- 44 -"/>
      <sheetName val="- 45 -"/>
      <sheetName val="- 46 -"/>
      <sheetName val="- 48 -"/>
      <sheetName val="- 50 - "/>
      <sheetName val="- 51 -"/>
      <sheetName val="- 52 -"/>
      <sheetName val="- 53 -"/>
      <sheetName val="- 54 -"/>
      <sheetName val="- 55 -"/>
      <sheetName val="- 56 -"/>
      <sheetName val="- 57 -"/>
      <sheetName val="- 58 -"/>
      <sheetName val="- 59 -"/>
      <sheetName val="i"/>
      <sheetName val="- 1 -"/>
      <sheetName val="- 2 -"/>
      <sheetName val="- 5 -"/>
      <sheetName val="- 11 -"/>
      <sheetName val="- 14 -"/>
      <sheetName val="- 40 -"/>
      <sheetName val="- 47 -"/>
      <sheetName val="- 49 -"/>
      <sheetName val="Data"/>
    </sheetNames>
    <sheetDataSet>
      <sheetData sheetId="0"/>
      <sheetData sheetId="1">
        <row r="3">
          <cell r="A3" t="str">
            <v>OPERATING FUND 2008/2009 BUDGET</v>
          </cell>
        </row>
      </sheetData>
      <sheetData sheetId="2"/>
      <sheetData sheetId="3">
        <row r="3">
          <cell r="B3" t="str">
            <v>ESTIMATE SEPTEMBER 30,2008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
          <cell r="B1" t="str">
            <v xml:space="preserve"> ANALYSIS OF OPERATING FUND REVENUE: 2008/2009 BUDGET</v>
          </cell>
        </row>
      </sheetData>
      <sheetData sheetId="37"/>
      <sheetData sheetId="38"/>
      <sheetData sheetId="39"/>
      <sheetData sheetId="40">
        <row r="3">
          <cell r="B3" t="str">
            <v>FOR THE 2008 TAXATION YEAR</v>
          </cell>
        </row>
      </sheetData>
      <sheetData sheetId="41"/>
      <sheetData sheetId="42"/>
      <sheetData sheetId="43"/>
      <sheetData sheetId="44"/>
      <sheetData sheetId="45"/>
      <sheetData sheetId="46">
        <row r="3">
          <cell r="B3" t="str">
            <v>FOR THE 2008 TAXATION YEAR</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edu.gov.mb.ca/k12/finance/frame_report/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autoPageBreaks="0"/>
  </sheetPr>
  <dimension ref="A1:C25"/>
  <sheetViews>
    <sheetView showGridLines="0" showRowColHeaders="0" tabSelected="1" workbookViewId="0"/>
  </sheetViews>
  <sheetFormatPr defaultColWidth="0" defaultRowHeight="14.25" customHeight="1" zeroHeight="1"/>
  <cols>
    <col min="1" max="1" width="15.83203125" style="638" customWidth="1"/>
    <col min="2" max="2" width="120.83203125" style="638" customWidth="1"/>
    <col min="3" max="3" width="80.83203125" style="638" customWidth="1"/>
    <col min="4" max="16384" width="9.33203125" style="638" hidden="1"/>
  </cols>
  <sheetData>
    <row r="1" spans="1:3" ht="0.95" customHeight="1">
      <c r="A1" s="637"/>
      <c r="B1" s="637"/>
      <c r="C1" s="637"/>
    </row>
    <row r="2" spans="1:3" ht="24.95" customHeight="1" thickBot="1">
      <c r="A2" s="637"/>
      <c r="B2" s="637"/>
      <c r="C2" s="637"/>
    </row>
    <row r="3" spans="1:3" ht="17.25" thickTop="1" thickBot="1">
      <c r="A3" s="637"/>
      <c r="B3" s="639" t="s">
        <v>703</v>
      </c>
      <c r="C3" s="637"/>
    </row>
    <row r="4" spans="1:3" ht="15.75" thickTop="1">
      <c r="A4" s="637"/>
      <c r="B4" s="640"/>
      <c r="C4" s="637"/>
    </row>
    <row r="5" spans="1:3" ht="15">
      <c r="A5" s="637"/>
      <c r="B5" s="641" t="s">
        <v>697</v>
      </c>
      <c r="C5" s="642"/>
    </row>
    <row r="6" spans="1:3" ht="15">
      <c r="A6" s="637"/>
      <c r="B6" s="640"/>
      <c r="C6" s="637"/>
    </row>
    <row r="7" spans="1:3">
      <c r="A7" s="637"/>
      <c r="B7" s="645" t="s">
        <v>698</v>
      </c>
      <c r="C7" s="637"/>
    </row>
    <row r="8" spans="1:3">
      <c r="A8" s="637"/>
      <c r="B8" s="645"/>
      <c r="C8" s="637"/>
    </row>
    <row r="9" spans="1:3" ht="15">
      <c r="A9" s="637"/>
      <c r="B9" s="640"/>
      <c r="C9" s="637"/>
    </row>
    <row r="10" spans="1:3">
      <c r="A10" s="637"/>
      <c r="B10" s="645" t="s">
        <v>699</v>
      </c>
      <c r="C10" s="637"/>
    </row>
    <row r="11" spans="1:3">
      <c r="A11" s="637"/>
      <c r="B11" s="645"/>
      <c r="C11" s="637"/>
    </row>
    <row r="12" spans="1:3" ht="15">
      <c r="A12" s="637"/>
      <c r="B12" s="640"/>
      <c r="C12" s="637"/>
    </row>
    <row r="13" spans="1:3" ht="14.25" customHeight="1">
      <c r="A13" s="637"/>
      <c r="B13" s="646" t="s">
        <v>700</v>
      </c>
      <c r="C13" s="637"/>
    </row>
    <row r="14" spans="1:3">
      <c r="A14" s="637"/>
      <c r="B14" s="645"/>
      <c r="C14" s="637"/>
    </row>
    <row r="15" spans="1:3">
      <c r="A15" s="637"/>
      <c r="B15" s="645"/>
      <c r="C15" s="637"/>
    </row>
    <row r="16" spans="1:3" ht="15">
      <c r="A16" s="637"/>
      <c r="B16" s="643"/>
      <c r="C16" s="637"/>
    </row>
    <row r="17" spans="1:3">
      <c r="A17" s="637"/>
      <c r="B17" s="645" t="s">
        <v>701</v>
      </c>
      <c r="C17" s="637"/>
    </row>
    <row r="18" spans="1:3">
      <c r="A18" s="637"/>
      <c r="B18" s="645"/>
      <c r="C18" s="637"/>
    </row>
    <row r="19" spans="1:3" ht="15">
      <c r="A19" s="637"/>
      <c r="B19" s="643"/>
      <c r="C19" s="637"/>
    </row>
    <row r="20" spans="1:3" ht="15">
      <c r="A20" s="637"/>
      <c r="B20" s="644" t="s">
        <v>702</v>
      </c>
      <c r="C20" s="637"/>
    </row>
    <row r="21" spans="1:3" ht="15">
      <c r="A21" s="637"/>
      <c r="B21" s="643"/>
      <c r="C21" s="637"/>
    </row>
    <row r="22" spans="1:3" ht="15">
      <c r="A22" s="637"/>
      <c r="B22" s="643"/>
      <c r="C22" s="637"/>
    </row>
    <row r="23" spans="1:3" ht="15">
      <c r="A23" s="637"/>
      <c r="B23" s="643"/>
      <c r="C23" s="637"/>
    </row>
    <row r="24" spans="1:3">
      <c r="A24" s="637"/>
      <c r="B24" s="642"/>
      <c r="C24" s="637"/>
    </row>
    <row r="25" spans="1:3" ht="200.1" customHeight="1">
      <c r="A25" s="637"/>
      <c r="B25" s="642"/>
      <c r="C25" s="637"/>
    </row>
  </sheetData>
  <mergeCells count="4">
    <mergeCell ref="B7:B8"/>
    <mergeCell ref="B10:B11"/>
    <mergeCell ref="B13:B15"/>
    <mergeCell ref="B17:B18"/>
  </mergeCells>
  <hyperlinks>
    <hyperlink ref="B20" r:id="rId1"/>
  </hyperlink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sheetPr codeName="Sheet9">
    <pageSetUpPr fitToPage="1"/>
  </sheetPr>
  <dimension ref="A2:N55"/>
  <sheetViews>
    <sheetView showGridLines="0" showZeros="0" workbookViewId="0"/>
  </sheetViews>
  <sheetFormatPr defaultColWidth="14.83203125" defaultRowHeight="12"/>
  <cols>
    <col min="1" max="1" width="48.83203125" style="1" customWidth="1"/>
    <col min="2" max="2" width="21.83203125" style="1" customWidth="1"/>
    <col min="3" max="3" width="7.83203125" style="1" customWidth="1"/>
    <col min="4" max="4" width="16.83203125" style="1" customWidth="1"/>
    <col min="5" max="5" width="7.83203125" style="1" customWidth="1"/>
    <col min="6" max="6" width="16.83203125" style="1" customWidth="1"/>
    <col min="7" max="7" width="7.83203125" style="1" customWidth="1"/>
    <col min="8" max="8" width="12.83203125" style="1" customWidth="1"/>
    <col min="9" max="9" width="7.83203125" style="1" customWidth="1"/>
    <col min="10" max="10" width="16.83203125" style="1" customWidth="1"/>
    <col min="11" max="11" width="8.83203125" style="1" customWidth="1"/>
    <col min="12" max="12" width="5.83203125" style="1" customWidth="1"/>
    <col min="13" max="13" width="45.6640625" style="1" bestFit="1" customWidth="1"/>
    <col min="14" max="16384" width="14.83203125" style="1"/>
  </cols>
  <sheetData>
    <row r="2" spans="1:14">
      <c r="A2" s="72"/>
      <c r="B2" s="72"/>
      <c r="C2" s="127" t="str">
        <f>OPYEAR</f>
        <v>OPERATING FUND 2014/2015 BUDGET</v>
      </c>
      <c r="D2" s="127"/>
      <c r="E2" s="127"/>
      <c r="F2" s="128"/>
      <c r="G2" s="128"/>
      <c r="H2" s="128"/>
      <c r="I2" s="128"/>
      <c r="J2" s="129"/>
      <c r="K2" s="130" t="s">
        <v>159</v>
      </c>
    </row>
    <row r="3" spans="1:14" ht="9.9499999999999993" customHeight="1">
      <c r="J3" s="115"/>
      <c r="K3" s="115"/>
    </row>
    <row r="4" spans="1:14" ht="15.75">
      <c r="B4" s="340" t="s">
        <v>483</v>
      </c>
      <c r="C4" s="115"/>
      <c r="D4" s="115"/>
      <c r="E4" s="115"/>
      <c r="F4" s="115"/>
      <c r="G4" s="115"/>
      <c r="H4" s="115"/>
      <c r="I4" s="115"/>
      <c r="J4" s="115"/>
      <c r="K4" s="115"/>
    </row>
    <row r="5" spans="1:14" ht="15.75">
      <c r="B5" s="340" t="s">
        <v>484</v>
      </c>
      <c r="C5" s="115"/>
      <c r="D5" s="115"/>
      <c r="E5" s="115"/>
      <c r="F5" s="115"/>
      <c r="G5" s="115"/>
      <c r="H5" s="115"/>
      <c r="I5" s="115"/>
      <c r="J5" s="115"/>
      <c r="K5" s="115"/>
    </row>
    <row r="6" spans="1:14" ht="9.9499999999999993" customHeight="1"/>
    <row r="7" spans="1:14">
      <c r="B7" s="132" t="s">
        <v>160</v>
      </c>
      <c r="C7" s="128"/>
      <c r="D7" s="128"/>
      <c r="E7" s="128"/>
      <c r="F7" s="128"/>
      <c r="G7" s="128"/>
      <c r="H7" s="128"/>
      <c r="I7" s="133"/>
    </row>
    <row r="8" spans="1:14" ht="6" customHeight="1">
      <c r="B8" s="131"/>
    </row>
    <row r="9" spans="1:14">
      <c r="A9" s="4"/>
      <c r="B9" s="351" t="s">
        <v>460</v>
      </c>
      <c r="C9" s="353"/>
      <c r="D9" s="352" t="s">
        <v>23</v>
      </c>
      <c r="E9" s="353"/>
      <c r="F9" s="352" t="s">
        <v>24</v>
      </c>
      <c r="G9" s="353"/>
      <c r="H9" s="364"/>
      <c r="I9" s="365"/>
      <c r="J9" s="366"/>
      <c r="K9" s="365"/>
    </row>
    <row r="10" spans="1:14">
      <c r="A10" s="4"/>
      <c r="B10" s="354" t="s">
        <v>36</v>
      </c>
      <c r="C10" s="356"/>
      <c r="D10" s="355" t="s">
        <v>51</v>
      </c>
      <c r="E10" s="356"/>
      <c r="F10" s="355" t="s">
        <v>52</v>
      </c>
      <c r="G10" s="356"/>
      <c r="H10" s="355" t="s">
        <v>53</v>
      </c>
      <c r="I10" s="367"/>
      <c r="J10" s="355" t="s">
        <v>54</v>
      </c>
      <c r="K10" s="367"/>
    </row>
    <row r="11" spans="1:14">
      <c r="A11" s="134" t="s">
        <v>149</v>
      </c>
      <c r="B11" s="135" t="s">
        <v>82</v>
      </c>
      <c r="C11" s="135" t="s">
        <v>83</v>
      </c>
      <c r="D11" s="135" t="s">
        <v>82</v>
      </c>
      <c r="E11" s="135" t="s">
        <v>83</v>
      </c>
      <c r="F11" s="135" t="s">
        <v>82</v>
      </c>
      <c r="G11" s="135" t="s">
        <v>83</v>
      </c>
      <c r="H11" s="135" t="s">
        <v>82</v>
      </c>
      <c r="I11" s="136" t="s">
        <v>83</v>
      </c>
      <c r="J11" s="135" t="s">
        <v>82</v>
      </c>
      <c r="K11" s="136" t="s">
        <v>83</v>
      </c>
    </row>
    <row r="12" spans="1:14" ht="5.0999999999999996" customHeight="1"/>
    <row r="13" spans="1:14">
      <c r="A13" s="368" t="s">
        <v>152</v>
      </c>
      <c r="B13" s="138"/>
      <c r="C13" s="345"/>
      <c r="D13" s="138"/>
      <c r="E13" s="345"/>
      <c r="F13" s="138"/>
      <c r="G13" s="345"/>
      <c r="H13" s="138"/>
      <c r="I13" s="345"/>
      <c r="J13" s="138"/>
      <c r="K13" s="345"/>
      <c r="M13" s="1" t="s">
        <v>152</v>
      </c>
      <c r="N13" s="635">
        <f>K22</f>
        <v>76.384507640816437</v>
      </c>
    </row>
    <row r="14" spans="1:14">
      <c r="A14" s="139" t="s">
        <v>334</v>
      </c>
      <c r="B14" s="140"/>
      <c r="C14" s="342"/>
      <c r="D14" s="140"/>
      <c r="E14" s="342"/>
      <c r="F14" s="140"/>
      <c r="G14" s="342"/>
      <c r="H14" s="140"/>
      <c r="I14" s="342"/>
      <c r="J14" s="140">
        <f>SUM(F14,D14,B14,'- 12 -'!J14,'- 12 -'!H14,'- 12 -'!F14,'- 12 -'!D14,'- 12 -'!B14)</f>
        <v>4046577</v>
      </c>
      <c r="K14" s="342">
        <f t="shared" ref="K14:K23" si="0">J14/$J$54*100</f>
        <v>0.18858983181378758</v>
      </c>
      <c r="M14" s="1" t="s">
        <v>175</v>
      </c>
      <c r="N14" s="635">
        <f>K23</f>
        <v>6.4114513090220173</v>
      </c>
    </row>
    <row r="15" spans="1:14">
      <c r="A15" s="139" t="s">
        <v>335</v>
      </c>
      <c r="B15" s="140">
        <v>2723031</v>
      </c>
      <c r="C15" s="342">
        <f>B15/$J$54*100</f>
        <v>0.12690626134476862</v>
      </c>
      <c r="D15" s="140">
        <v>2664823</v>
      </c>
      <c r="E15" s="342">
        <f>D15/$J$54*100</f>
        <v>0.12419349029649328</v>
      </c>
      <c r="F15" s="140">
        <v>4612366</v>
      </c>
      <c r="G15" s="342">
        <f>F15/$J$54*100</f>
        <v>0.214958303821633</v>
      </c>
      <c r="H15" s="140"/>
      <c r="I15" s="342"/>
      <c r="J15" s="140">
        <f>SUM(F15,D15,B15,'- 12 -'!J15,'- 12 -'!H15,'- 12 -'!F15,'- 12 -'!D15,'- 12 -'!B15)</f>
        <v>126099470</v>
      </c>
      <c r="K15" s="342">
        <f t="shared" si="0"/>
        <v>5.8768380878722315</v>
      </c>
      <c r="M15" s="1" t="s">
        <v>139</v>
      </c>
      <c r="N15" s="635">
        <f>K40</f>
        <v>9.189575261929118</v>
      </c>
    </row>
    <row r="16" spans="1:14">
      <c r="A16" s="139" t="s">
        <v>336</v>
      </c>
      <c r="B16" s="140">
        <v>24748129</v>
      </c>
      <c r="C16" s="342">
        <f>B16/$J$54*100</f>
        <v>1.1533811134239924</v>
      </c>
      <c r="D16" s="140"/>
      <c r="E16" s="342">
        <f>D16/$J$54*100</f>
        <v>0</v>
      </c>
      <c r="F16" s="140"/>
      <c r="G16" s="342">
        <f>F16/$J$54*100</f>
        <v>0</v>
      </c>
      <c r="H16" s="140"/>
      <c r="I16" s="342"/>
      <c r="J16" s="140">
        <f>SUM(F16,D16,B16,'- 12 -'!J16,'- 12 -'!H16,'- 12 -'!F16,'- 12 -'!D16,'- 12 -'!B16)</f>
        <v>1043257059</v>
      </c>
      <c r="K16" s="342">
        <f t="shared" si="0"/>
        <v>48.620765969696528</v>
      </c>
      <c r="M16" s="1" t="s">
        <v>176</v>
      </c>
      <c r="N16" s="635">
        <f>K46</f>
        <v>6.2593916554998508</v>
      </c>
    </row>
    <row r="17" spans="1:14">
      <c r="A17" s="139" t="s">
        <v>337</v>
      </c>
      <c r="B17" s="140">
        <v>13234824</v>
      </c>
      <c r="C17" s="342">
        <f>B17/$J$54*100</f>
        <v>0.61680606404995619</v>
      </c>
      <c r="D17" s="140">
        <v>303630</v>
      </c>
      <c r="E17" s="342">
        <f>D17/$J$54*100</f>
        <v>1.4150609424612538E-2</v>
      </c>
      <c r="F17" s="140"/>
      <c r="G17" s="342">
        <f>F17/$J$54*100</f>
        <v>0</v>
      </c>
      <c r="H17" s="140"/>
      <c r="I17" s="342"/>
      <c r="J17" s="140">
        <f>SUM(F17,D17,B17,'- 12 -'!J17,'- 12 -'!H17,'- 12 -'!F17,'- 12 -'!D17,'- 12 -'!B17)</f>
        <v>198391095</v>
      </c>
      <c r="K17" s="342">
        <f t="shared" si="0"/>
        <v>9.2459733842709912</v>
      </c>
      <c r="M17" s="1" t="s">
        <v>67</v>
      </c>
      <c r="N17" s="635">
        <f>K49</f>
        <v>0.11935484219751905</v>
      </c>
    </row>
    <row r="18" spans="1:14">
      <c r="A18" s="139" t="s">
        <v>338</v>
      </c>
      <c r="B18" s="140">
        <v>3891373</v>
      </c>
      <c r="C18" s="342">
        <f>B18/$J$54*100</f>
        <v>0.18135658350124415</v>
      </c>
      <c r="D18" s="140">
        <v>36473971</v>
      </c>
      <c r="E18" s="342">
        <f>D18/$J$54*100</f>
        <v>1.6998614029761365</v>
      </c>
      <c r="F18" s="140">
        <v>103512595</v>
      </c>
      <c r="G18" s="342">
        <f>F18/$J$54*100</f>
        <v>4.82418174216349</v>
      </c>
      <c r="H18" s="140"/>
      <c r="I18" s="342"/>
      <c r="J18" s="140">
        <f>SUM(F18,D18,B18,'- 12 -'!J18,'- 12 -'!H18,'- 12 -'!F18,'- 12 -'!D18,'- 12 -'!B18)</f>
        <v>157158400</v>
      </c>
      <c r="K18" s="342">
        <f t="shared" si="0"/>
        <v>7.3243326950466914</v>
      </c>
      <c r="M18" s="1" t="s">
        <v>95</v>
      </c>
      <c r="N18" s="635">
        <f>K52-N17</f>
        <v>1.6357192905350575</v>
      </c>
    </row>
    <row r="19" spans="1:14">
      <c r="A19" s="141" t="s">
        <v>339</v>
      </c>
      <c r="B19" s="142">
        <v>2859599</v>
      </c>
      <c r="C19" s="343">
        <f>B19/$J$54*100</f>
        <v>0.13327098297273848</v>
      </c>
      <c r="D19" s="142">
        <v>1296285</v>
      </c>
      <c r="E19" s="343">
        <f>D19/$J$54*100</f>
        <v>6.041307755486567E-2</v>
      </c>
      <c r="F19" s="142">
        <v>1602333</v>
      </c>
      <c r="G19" s="343">
        <f>F19/$J$54*100</f>
        <v>7.467637733810123E-2</v>
      </c>
      <c r="H19" s="142"/>
      <c r="I19" s="343"/>
      <c r="J19" s="142">
        <f>SUM(F19,D19,B19,'- 12 -'!J19,'- 12 -'!H19,'- 12 -'!F19,'- 12 -'!D19,'- 12 -'!B19)</f>
        <v>63322076</v>
      </c>
      <c r="K19" s="343">
        <f t="shared" si="0"/>
        <v>2.9511114363917641</v>
      </c>
      <c r="N19" s="635"/>
    </row>
    <row r="20" spans="1:14">
      <c r="A20" s="141" t="s">
        <v>340</v>
      </c>
      <c r="B20" s="143"/>
      <c r="C20" s="343"/>
      <c r="D20" s="143"/>
      <c r="E20" s="343"/>
      <c r="F20" s="143"/>
      <c r="G20" s="343"/>
      <c r="H20" s="143"/>
      <c r="I20" s="343"/>
      <c r="J20" s="143">
        <f>SUM(F20,D20,B20,'- 12 -'!J20,'- 12 -'!H20,'- 12 -'!F20,'- 12 -'!D20,'- 12 -'!B20)</f>
        <v>32623968</v>
      </c>
      <c r="K20" s="343">
        <f t="shared" si="0"/>
        <v>1.5204328592334677</v>
      </c>
      <c r="N20" s="635">
        <f>SUM(N13:N18)</f>
        <v>100.00000000000001</v>
      </c>
    </row>
    <row r="21" spans="1:14">
      <c r="A21" s="144" t="s">
        <v>341</v>
      </c>
      <c r="B21" s="145">
        <v>474990</v>
      </c>
      <c r="C21" s="344">
        <f>B21/'- 13 -'!$J$54*100</f>
        <v>2.2136804566731578E-2</v>
      </c>
      <c r="D21" s="145">
        <v>0</v>
      </c>
      <c r="E21" s="344">
        <f>D21/'- 13 -'!$J$54*100</f>
        <v>0</v>
      </c>
      <c r="F21" s="145">
        <v>0</v>
      </c>
      <c r="G21" s="344">
        <f>F21/'- 13 -'!$J$54*100</f>
        <v>0</v>
      </c>
      <c r="H21" s="145"/>
      <c r="I21" s="344"/>
      <c r="J21" s="145">
        <f>SUM(F21,D21,B21,'- 12 -'!J21,'- 12 -'!H21,'- 12 -'!F21,'- 12 -'!D21,'- 12 -'!B21)</f>
        <v>14085752</v>
      </c>
      <c r="K21" s="344">
        <f t="shared" si="0"/>
        <v>0.65646337649097553</v>
      </c>
      <c r="N21" s="635"/>
    </row>
    <row r="22" spans="1:14">
      <c r="A22" s="146" t="s">
        <v>342</v>
      </c>
      <c r="B22" s="152">
        <f>SUM(B14:B21)</f>
        <v>47931946</v>
      </c>
      <c r="C22" s="346">
        <f>B22/$J$54*100</f>
        <v>2.2338578098594315</v>
      </c>
      <c r="D22" s="152">
        <f>SUM(D14:D21)</f>
        <v>40738709</v>
      </c>
      <c r="E22" s="346">
        <f>D22/$J$54*100</f>
        <v>1.8986185802521081</v>
      </c>
      <c r="F22" s="152">
        <f>SUM(F14:F21)</f>
        <v>109727294</v>
      </c>
      <c r="G22" s="346">
        <f>F22/$J$54*100</f>
        <v>5.1138164233232244</v>
      </c>
      <c r="H22" s="152"/>
      <c r="I22" s="346"/>
      <c r="J22" s="152">
        <f>SUM(F22,D22,B22,'- 12 -'!J22,'- 12 -'!H22,'- 12 -'!F22,'- 12 -'!D22,'- 12 -'!B22)</f>
        <v>1638984397</v>
      </c>
      <c r="K22" s="346">
        <f t="shared" si="0"/>
        <v>76.384507640816437</v>
      </c>
      <c r="N22" s="635"/>
    </row>
    <row r="23" spans="1:14">
      <c r="A23" s="368" t="s">
        <v>162</v>
      </c>
      <c r="B23" s="152">
        <v>4643276</v>
      </c>
      <c r="C23" s="346">
        <f>B23/$J$54*100</f>
        <v>0.21639885757888613</v>
      </c>
      <c r="D23" s="152">
        <v>6183494</v>
      </c>
      <c r="E23" s="346">
        <f>D23/$J$54*100</f>
        <v>0.28818037899230997</v>
      </c>
      <c r="F23" s="152">
        <v>18048944</v>
      </c>
      <c r="G23" s="346">
        <f>F23/$J$54*100</f>
        <v>0.84116706870435687</v>
      </c>
      <c r="H23" s="152"/>
      <c r="I23" s="346"/>
      <c r="J23" s="152">
        <f>SUM(F23,D23,B23,'- 12 -'!J23,'- 12 -'!H23,'- 12 -'!F23,'- 12 -'!D23,'- 12 -'!B23)</f>
        <v>137570680</v>
      </c>
      <c r="K23" s="346">
        <f t="shared" si="0"/>
        <v>6.4114513090220173</v>
      </c>
      <c r="N23" s="636"/>
    </row>
    <row r="24" spans="1:14">
      <c r="A24" s="368" t="s">
        <v>139</v>
      </c>
      <c r="B24" s="140"/>
      <c r="C24" s="342"/>
      <c r="D24" s="140"/>
      <c r="E24" s="342"/>
      <c r="F24" s="140"/>
      <c r="G24" s="342"/>
      <c r="H24" s="140"/>
      <c r="I24" s="342"/>
      <c r="J24" s="140"/>
      <c r="K24" s="342"/>
      <c r="M24" s="1" t="s">
        <v>49</v>
      </c>
      <c r="N24" s="635">
        <f>'- 12 -'!C51</f>
        <v>55.486992177070725</v>
      </c>
    </row>
    <row r="25" spans="1:14">
      <c r="A25" s="141" t="s">
        <v>343</v>
      </c>
      <c r="B25" s="142">
        <v>2286558</v>
      </c>
      <c r="C25" s="343">
        <f t="shared" ref="C25:C35" si="1">B25/$J$54*100</f>
        <v>0.10656453309858442</v>
      </c>
      <c r="D25" s="142">
        <v>258020</v>
      </c>
      <c r="E25" s="343">
        <f t="shared" ref="E25:E35" si="2">D25/$J$54*100</f>
        <v>1.2024965397814861E-2</v>
      </c>
      <c r="F25" s="142">
        <v>5525636</v>
      </c>
      <c r="G25" s="343">
        <f t="shared" ref="G25:G35" si="3">F25/$J$54*100</f>
        <v>0.25752105147244447</v>
      </c>
      <c r="H25" s="142"/>
      <c r="I25" s="343"/>
      <c r="J25" s="142">
        <f>SUM(F25,D25,B25,'- 12 -'!J25,'- 12 -'!H25,'- 12 -'!F25,'- 12 -'!D25,'- 12 -'!B25)</f>
        <v>26642896</v>
      </c>
      <c r="K25" s="343">
        <f t="shared" ref="K25:K40" si="4">J25/$J$54*100</f>
        <v>1.2416863130671265</v>
      </c>
      <c r="L25" s="664" t="s">
        <v>215</v>
      </c>
      <c r="M25" s="1" t="s">
        <v>442</v>
      </c>
      <c r="N25" s="635">
        <f>'- 12 -'!E51</f>
        <v>18.577202384390038</v>
      </c>
    </row>
    <row r="26" spans="1:14">
      <c r="A26" s="141" t="s">
        <v>344</v>
      </c>
      <c r="B26" s="142">
        <v>212153</v>
      </c>
      <c r="C26" s="343">
        <f t="shared" si="1"/>
        <v>9.8873439424952188E-3</v>
      </c>
      <c r="D26" s="142">
        <v>306545</v>
      </c>
      <c r="E26" s="343">
        <f t="shared" si="2"/>
        <v>1.4286462359015413E-2</v>
      </c>
      <c r="F26" s="142">
        <v>710597</v>
      </c>
      <c r="G26" s="343">
        <f t="shared" si="3"/>
        <v>3.3117217025002123E-2</v>
      </c>
      <c r="H26" s="142"/>
      <c r="I26" s="343"/>
      <c r="J26" s="142">
        <f>SUM(F26,D26,B26,'- 12 -'!J26,'- 12 -'!H26,'- 12 -'!F26,'- 12 -'!D26,'- 12 -'!B26)</f>
        <v>6958686</v>
      </c>
      <c r="K26" s="343">
        <f t="shared" si="4"/>
        <v>0.32430803179698753</v>
      </c>
      <c r="L26" s="665"/>
      <c r="M26" s="1" t="s">
        <v>212</v>
      </c>
      <c r="N26" s="635">
        <f>'- 12 -'!G51</f>
        <v>0.3478068610662659</v>
      </c>
    </row>
    <row r="27" spans="1:14">
      <c r="A27" s="141" t="s">
        <v>345</v>
      </c>
      <c r="B27" s="142"/>
      <c r="C27" s="343">
        <f t="shared" si="1"/>
        <v>0</v>
      </c>
      <c r="D27" s="142"/>
      <c r="E27" s="343">
        <f t="shared" si="2"/>
        <v>0</v>
      </c>
      <c r="F27" s="142">
        <v>45629813</v>
      </c>
      <c r="G27" s="343">
        <f t="shared" si="3"/>
        <v>2.1265674073085914</v>
      </c>
      <c r="H27" s="142"/>
      <c r="I27" s="343"/>
      <c r="J27" s="142">
        <f>SUM(F27,D27,B27,'- 12 -'!J27,'- 12 -'!H27,'- 12 -'!F27,'- 12 -'!D27,'- 12 -'!B27)</f>
        <v>45677698</v>
      </c>
      <c r="K27" s="343">
        <f t="shared" si="4"/>
        <v>2.1287990772104375</v>
      </c>
      <c r="L27" s="665"/>
      <c r="M27" s="1" t="s">
        <v>50</v>
      </c>
      <c r="N27" s="635">
        <f>'- 12 -'!I51</f>
        <v>0.98655021461874148</v>
      </c>
    </row>
    <row r="28" spans="1:14" ht="12.75" customHeight="1">
      <c r="A28" s="141" t="s">
        <v>418</v>
      </c>
      <c r="B28" s="142">
        <v>639020</v>
      </c>
      <c r="C28" s="343">
        <f t="shared" si="1"/>
        <v>2.9781386669683177E-2</v>
      </c>
      <c r="D28" s="142">
        <v>1038567</v>
      </c>
      <c r="E28" s="343">
        <f t="shared" si="2"/>
        <v>4.8402186800683623E-2</v>
      </c>
      <c r="F28" s="142">
        <v>877663</v>
      </c>
      <c r="G28" s="343">
        <f t="shared" si="3"/>
        <v>4.0903291240765777E-2</v>
      </c>
      <c r="H28" s="142"/>
      <c r="I28" s="343"/>
      <c r="J28" s="142">
        <f>SUM(F28,D28,B28,'- 12 -'!J28,'- 12 -'!H28,'- 12 -'!F28,'- 12 -'!D28,'- 12 -'!B28)</f>
        <v>10549243</v>
      </c>
      <c r="K28" s="343">
        <f t="shared" si="4"/>
        <v>0.49164515172521767</v>
      </c>
      <c r="L28" s="665"/>
      <c r="M28" s="1" t="s">
        <v>181</v>
      </c>
      <c r="N28" s="635">
        <f>'- 12 -'!K51</f>
        <v>3.4854890237726512</v>
      </c>
    </row>
    <row r="29" spans="1:14" ht="12.75" customHeight="1">
      <c r="A29" s="141" t="s">
        <v>346</v>
      </c>
      <c r="B29" s="142"/>
      <c r="C29" s="343">
        <f t="shared" si="1"/>
        <v>0</v>
      </c>
      <c r="D29" s="142">
        <v>21966767</v>
      </c>
      <c r="E29" s="343">
        <f t="shared" si="2"/>
        <v>1.0237563486429788</v>
      </c>
      <c r="F29" s="142"/>
      <c r="G29" s="343">
        <f t="shared" si="3"/>
        <v>0</v>
      </c>
      <c r="H29" s="142"/>
      <c r="I29" s="343"/>
      <c r="J29" s="142">
        <f>SUM(F29,D29,B29,'- 12 -'!J29,'- 12 -'!H29,'- 12 -'!F29,'- 12 -'!D29,'- 12 -'!B29)</f>
        <v>21966767</v>
      </c>
      <c r="K29" s="343">
        <f t="shared" si="4"/>
        <v>1.0237563486429788</v>
      </c>
      <c r="L29" s="665"/>
      <c r="M29" s="1" t="s">
        <v>178</v>
      </c>
      <c r="N29" s="635">
        <f>C54</f>
        <v>3.4554490737821899</v>
      </c>
    </row>
    <row r="30" spans="1:14" ht="12.75" customHeight="1">
      <c r="A30" s="141" t="s">
        <v>347</v>
      </c>
      <c r="B30" s="142">
        <v>17500</v>
      </c>
      <c r="C30" s="343">
        <f t="shared" si="1"/>
        <v>8.1558365421967327E-4</v>
      </c>
      <c r="D30" s="142"/>
      <c r="E30" s="343">
        <f t="shared" si="2"/>
        <v>0</v>
      </c>
      <c r="F30" s="142"/>
      <c r="G30" s="343">
        <f t="shared" si="3"/>
        <v>0</v>
      </c>
      <c r="H30" s="142"/>
      <c r="I30" s="343"/>
      <c r="J30" s="142">
        <f>SUM(F30,D30,B30,'- 12 -'!J30,'- 12 -'!H30,'- 12 -'!F30,'- 12 -'!D30,'- 12 -'!B30)</f>
        <v>952795</v>
      </c>
      <c r="K30" s="343">
        <f t="shared" si="4"/>
        <v>4.4404801589841919E-2</v>
      </c>
      <c r="M30" s="1" t="s">
        <v>157</v>
      </c>
      <c r="N30" s="635">
        <f>E54</f>
        <v>4.335765136589476</v>
      </c>
    </row>
    <row r="31" spans="1:14" ht="12.75" customHeight="1">
      <c r="A31" s="141" t="s">
        <v>348</v>
      </c>
      <c r="B31" s="142">
        <v>45274</v>
      </c>
      <c r="C31" s="343">
        <f t="shared" si="1"/>
        <v>2.1099848206366564E-3</v>
      </c>
      <c r="D31" s="142">
        <v>8850</v>
      </c>
      <c r="E31" s="343">
        <f t="shared" si="2"/>
        <v>4.1245230513394909E-4</v>
      </c>
      <c r="F31" s="142">
        <v>6600</v>
      </c>
      <c r="G31" s="343">
        <f t="shared" si="3"/>
        <v>3.0759154959141965E-4</v>
      </c>
      <c r="H31" s="142"/>
      <c r="I31" s="343"/>
      <c r="J31" s="142">
        <f>SUM(F31,D31,B31,'- 12 -'!J31,'- 12 -'!H31,'- 12 -'!F31,'- 12 -'!D31,'- 12 -'!B31)</f>
        <v>1050115</v>
      </c>
      <c r="K31" s="343">
        <f t="shared" si="4"/>
        <v>4.8940378802908122E-2</v>
      </c>
      <c r="M31" s="1" t="s">
        <v>177</v>
      </c>
      <c r="N31" s="635">
        <f>G54</f>
        <v>11.569670995977337</v>
      </c>
    </row>
    <row r="32" spans="1:14" ht="12.75" customHeight="1">
      <c r="A32" s="141" t="s">
        <v>349</v>
      </c>
      <c r="B32" s="142">
        <v>76142</v>
      </c>
      <c r="C32" s="343">
        <f t="shared" si="1"/>
        <v>3.5485811771196773E-3</v>
      </c>
      <c r="D32" s="142">
        <v>1205845</v>
      </c>
      <c r="E32" s="343">
        <f t="shared" si="2"/>
        <v>5.6198141229858396E-2</v>
      </c>
      <c r="F32" s="142">
        <v>7504809</v>
      </c>
      <c r="G32" s="343">
        <f t="shared" si="3"/>
        <v>0.34975997419661092</v>
      </c>
      <c r="H32" s="142"/>
      <c r="I32" s="343"/>
      <c r="J32" s="142">
        <f>SUM(F32,D32,B32,'- 12 -'!J32,'- 12 -'!H32,'- 12 -'!F32,'- 12 -'!D32,'- 12 -'!B32)</f>
        <v>10182476</v>
      </c>
      <c r="K32" s="343">
        <f t="shared" si="4"/>
        <v>0.47455205629052127</v>
      </c>
      <c r="M32" s="1" t="s">
        <v>53</v>
      </c>
      <c r="N32" s="635">
        <f>I54</f>
        <v>1.7550741327325765</v>
      </c>
    </row>
    <row r="33" spans="1:14">
      <c r="A33" s="141" t="s">
        <v>350</v>
      </c>
      <c r="B33" s="142">
        <v>146576</v>
      </c>
      <c r="C33" s="343">
        <f t="shared" si="1"/>
        <v>6.8311422686230189E-3</v>
      </c>
      <c r="D33" s="142">
        <v>1771130</v>
      </c>
      <c r="E33" s="343">
        <f t="shared" si="2"/>
        <v>8.2543124428462275E-2</v>
      </c>
      <c r="F33" s="142">
        <v>26332768</v>
      </c>
      <c r="G33" s="343">
        <f t="shared" si="3"/>
        <v>1.2272328657805072</v>
      </c>
      <c r="H33" s="142"/>
      <c r="I33" s="343"/>
      <c r="J33" s="142">
        <f>SUM(F33,D33,B33,'- 12 -'!J33,'- 12 -'!H33,'- 12 -'!F33,'- 12 -'!D33,'- 12 -'!B33)</f>
        <v>31543129</v>
      </c>
      <c r="K33" s="343">
        <f t="shared" si="4"/>
        <v>1.4700605951624313</v>
      </c>
      <c r="N33" s="635"/>
    </row>
    <row r="34" spans="1:14">
      <c r="A34" s="141" t="s">
        <v>351</v>
      </c>
      <c r="B34" s="142">
        <v>242985</v>
      </c>
      <c r="C34" s="343">
        <f t="shared" si="1"/>
        <v>1.132426252688956E-2</v>
      </c>
      <c r="D34" s="142">
        <v>910009</v>
      </c>
      <c r="E34" s="343">
        <f t="shared" si="2"/>
        <v>4.241076946244518E-2</v>
      </c>
      <c r="F34" s="142">
        <v>2649229</v>
      </c>
      <c r="G34" s="343">
        <f t="shared" si="3"/>
        <v>0.1234667353534132</v>
      </c>
      <c r="H34" s="142"/>
      <c r="I34" s="343"/>
      <c r="J34" s="142">
        <f>SUM(F34,D34,B34,'- 12 -'!J34,'- 12 -'!H34,'- 12 -'!F34,'- 12 -'!D34,'- 12 -'!B34)</f>
        <v>7528321</v>
      </c>
      <c r="K34" s="343">
        <f t="shared" si="4"/>
        <v>0.35085574578964024</v>
      </c>
      <c r="N34" s="635">
        <f>SUM(N24:N32)</f>
        <v>100</v>
      </c>
    </row>
    <row r="35" spans="1:14">
      <c r="A35" s="513" t="s">
        <v>458</v>
      </c>
      <c r="B35" s="142"/>
      <c r="C35" s="343">
        <f t="shared" si="1"/>
        <v>0</v>
      </c>
      <c r="D35" s="142"/>
      <c r="E35" s="343">
        <f t="shared" si="2"/>
        <v>0</v>
      </c>
      <c r="F35" s="142">
        <v>5315040</v>
      </c>
      <c r="G35" s="343">
        <f t="shared" si="3"/>
        <v>0.24770627117278468</v>
      </c>
      <c r="H35" s="142"/>
      <c r="I35" s="343"/>
      <c r="J35" s="142">
        <f>SUM(F35,D35,B35,'- 12 -'!J35,'- 12 -'!H35,'- 12 -'!F35,'- 12 -'!D35,'- 12 -'!B35)</f>
        <v>5348370</v>
      </c>
      <c r="K35" s="343">
        <f t="shared" si="4"/>
        <v>0.24925960849822137</v>
      </c>
    </row>
    <row r="36" spans="1:14">
      <c r="A36" s="141" t="s">
        <v>352</v>
      </c>
      <c r="B36" s="142">
        <v>16780</v>
      </c>
      <c r="C36" s="343">
        <f>B36/J54</f>
        <v>7.8202821244606388E-6</v>
      </c>
      <c r="D36" s="142">
        <v>48750</v>
      </c>
      <c r="E36" s="343">
        <f>D36/J54</f>
        <v>2.2719830367548041E-5</v>
      </c>
      <c r="F36" s="142">
        <v>62310</v>
      </c>
      <c r="G36" s="343">
        <f>F36/J54</f>
        <v>2.9039438568244479E-5</v>
      </c>
      <c r="H36" s="142"/>
      <c r="I36" s="343"/>
      <c r="J36" s="142">
        <f>SUM(F36,D36,B36,'- 12 -'!J36,'- 12 -'!H36,'- 12 -'!F36,'- 12 -'!D36,'- 12 -'!B36)</f>
        <v>1397511</v>
      </c>
      <c r="K36" s="343">
        <f t="shared" si="4"/>
        <v>6.5130693039553697E-2</v>
      </c>
    </row>
    <row r="37" spans="1:14">
      <c r="A37" s="141" t="s">
        <v>353</v>
      </c>
      <c r="B37" s="142">
        <v>127466</v>
      </c>
      <c r="C37" s="343">
        <f>B37/$J$54*100</f>
        <v>5.940524918215135E-3</v>
      </c>
      <c r="D37" s="142">
        <v>54685</v>
      </c>
      <c r="E37" s="343">
        <f>D37/$J$54*100</f>
        <v>2.548582407485876E-3</v>
      </c>
      <c r="F37" s="142">
        <v>93130</v>
      </c>
      <c r="G37" s="343">
        <f>F37/$J$54*100</f>
        <v>4.3403031838558951E-3</v>
      </c>
      <c r="H37" s="142"/>
      <c r="I37" s="343"/>
      <c r="J37" s="142">
        <f>SUM(F37,D37,B37,'- 12 -'!J37,'- 12 -'!H37,'- 12 -'!F37,'- 12 -'!D37,'- 12 -'!B37)</f>
        <v>3679484</v>
      </c>
      <c r="K37" s="343">
        <f t="shared" si="4"/>
        <v>0.17148154322073259</v>
      </c>
    </row>
    <row r="38" spans="1:14">
      <c r="A38" s="148" t="s">
        <v>354</v>
      </c>
      <c r="B38" s="142">
        <v>9492527</v>
      </c>
      <c r="C38" s="343">
        <f>B38/'- 13 -'!$J$54*100</f>
        <v>0.44239713476793779</v>
      </c>
      <c r="D38" s="142">
        <v>241896</v>
      </c>
      <c r="E38" s="343">
        <f>D38/'- 13 -'!$J$54*100</f>
        <v>1.1273509921206976E-2</v>
      </c>
      <c r="F38" s="142">
        <v>433038</v>
      </c>
      <c r="G38" s="343">
        <f>F38/'- 13 -'!$J$54*100</f>
        <v>2.0181640826055936E-2</v>
      </c>
      <c r="H38" s="142"/>
      <c r="I38" s="343"/>
      <c r="J38" s="142">
        <f>SUM(F38,D38,B38,'- 12 -'!J38,'- 12 -'!H38,'- 12 -'!F38,'- 12 -'!D38,'- 12 -'!B38)</f>
        <v>12434770</v>
      </c>
      <c r="K38" s="343">
        <f t="shared" si="4"/>
        <v>0.57951972319892375</v>
      </c>
    </row>
    <row r="39" spans="1:14">
      <c r="A39" s="149" t="s">
        <v>355</v>
      </c>
      <c r="B39" s="145">
        <v>617804</v>
      </c>
      <c r="C39" s="344">
        <f>B39/$J$54*100</f>
        <v>2.8792619652087487E-2</v>
      </c>
      <c r="D39" s="145">
        <v>85645</v>
      </c>
      <c r="E39" s="344">
        <f>D39/$J$54*100</f>
        <v>3.9914664037510811E-3</v>
      </c>
      <c r="F39" s="145">
        <v>198563</v>
      </c>
      <c r="G39" s="344">
        <f>F39/$J$54*100</f>
        <v>9.2539849790183419E-3</v>
      </c>
      <c r="H39" s="145"/>
      <c r="I39" s="344"/>
      <c r="J39" s="145">
        <f>SUM(F39,D39,B39,'- 12 -'!J39,'- 12 -'!H39,'- 12 -'!F39,'- 12 -'!D39,'- 12 -'!B39)</f>
        <v>11268698</v>
      </c>
      <c r="K39" s="344">
        <f t="shared" si="4"/>
        <v>0.52517519389359568</v>
      </c>
    </row>
    <row r="40" spans="1:14">
      <c r="A40" s="146" t="s">
        <v>356</v>
      </c>
      <c r="B40" s="152">
        <f>SUM(B25:B39)</f>
        <v>13920785</v>
      </c>
      <c r="C40" s="346">
        <f>B40/$J$54*100</f>
        <v>0.64877512570893792</v>
      </c>
      <c r="D40" s="152">
        <f>SUM(D25:D39)</f>
        <v>27896709</v>
      </c>
      <c r="E40" s="346">
        <f>D40/$J$54*100</f>
        <v>1.3001199923955911</v>
      </c>
      <c r="F40" s="152">
        <f>SUM(F25:F39)</f>
        <v>95339196</v>
      </c>
      <c r="G40" s="346">
        <f>F40/$J$54*100</f>
        <v>4.4432622779454656</v>
      </c>
      <c r="H40" s="152"/>
      <c r="I40" s="346"/>
      <c r="J40" s="152">
        <f>SUM(F40,D40,B40,'- 12 -'!J40,'- 12 -'!H40,'- 12 -'!F40,'- 12 -'!D40,'- 12 -'!B40)</f>
        <v>197180959</v>
      </c>
      <c r="K40" s="346">
        <f t="shared" si="4"/>
        <v>9.189575261929118</v>
      </c>
    </row>
    <row r="41" spans="1:14">
      <c r="A41" s="368" t="s">
        <v>357</v>
      </c>
      <c r="B41" s="150"/>
      <c r="C41" s="347"/>
      <c r="D41" s="150"/>
      <c r="E41" s="347"/>
      <c r="F41" s="150"/>
      <c r="G41" s="347"/>
      <c r="H41" s="150"/>
      <c r="I41" s="347"/>
      <c r="J41" s="150"/>
      <c r="K41" s="347"/>
    </row>
    <row r="42" spans="1:14">
      <c r="A42" s="141" t="s">
        <v>358</v>
      </c>
      <c r="B42" s="142">
        <v>3939113</v>
      </c>
      <c r="C42" s="343">
        <f>B42/$J$54*100</f>
        <v>0.18358149570995541</v>
      </c>
      <c r="D42" s="142">
        <v>17829007</v>
      </c>
      <c r="E42" s="343">
        <f>D42/$J$54*100</f>
        <v>0.83091695315246472</v>
      </c>
      <c r="F42" s="142">
        <v>22062492</v>
      </c>
      <c r="G42" s="343">
        <f>F42/$J$54*100</f>
        <v>1.0282175912315605</v>
      </c>
      <c r="H42" s="142"/>
      <c r="I42" s="343"/>
      <c r="J42" s="142">
        <f>SUM(F42,D42,B42,'- 12 -'!J42,'- 12 -'!H42,'- 12 -'!F42,'- 12 -'!D42,'- 12 -'!B42)</f>
        <v>83500156</v>
      </c>
      <c r="K42" s="343">
        <f>J42/$J$54*100</f>
        <v>3.8915064204795873</v>
      </c>
    </row>
    <row r="43" spans="1:14">
      <c r="A43" s="141" t="s">
        <v>359</v>
      </c>
      <c r="B43" s="142">
        <v>3021522</v>
      </c>
      <c r="C43" s="343">
        <f>B43/$J$54*100</f>
        <v>0.14081736880372203</v>
      </c>
      <c r="D43" s="142">
        <v>16150</v>
      </c>
      <c r="E43" s="343">
        <f>D43/$J$54*100</f>
        <v>7.5266720089415553E-4</v>
      </c>
      <c r="F43" s="142">
        <v>13800</v>
      </c>
      <c r="G43" s="343">
        <f>F43/$J$54*100</f>
        <v>6.4314596732751369E-4</v>
      </c>
      <c r="H43" s="142"/>
      <c r="I43" s="343"/>
      <c r="J43" s="142">
        <f>SUM(F43,D43,B43,'- 12 -'!J43,'- 12 -'!H43,'- 12 -'!F43,'- 12 -'!D43,'- 12 -'!B43)</f>
        <v>16111014</v>
      </c>
      <c r="K43" s="343">
        <f>J43/$J$54*100</f>
        <v>0.75085026693167511</v>
      </c>
    </row>
    <row r="44" spans="1:14">
      <c r="A44" s="141" t="s">
        <v>360</v>
      </c>
      <c r="B44" s="142">
        <v>175846</v>
      </c>
      <c r="C44" s="343">
        <f>B44/$J$54*100</f>
        <v>8.1952641862807242E-3</v>
      </c>
      <c r="D44" s="142">
        <v>327558</v>
      </c>
      <c r="E44" s="343">
        <f>D44/$J$54*100</f>
        <v>1.5265768606222155E-2</v>
      </c>
      <c r="F44" s="142">
        <v>2945550</v>
      </c>
      <c r="G44" s="343">
        <f>F44/$J$54*100</f>
        <v>0.13727671043924336</v>
      </c>
      <c r="H44" s="142"/>
      <c r="I44" s="343"/>
      <c r="J44" s="142">
        <f>SUM(F44,D44,B44,'- 12 -'!J44,'- 12 -'!H44,'- 12 -'!F44,'- 12 -'!D44,'- 12 -'!B44)</f>
        <v>14480527</v>
      </c>
      <c r="K44" s="343">
        <f>J44/$J$54*100</f>
        <v>0.67486177861066532</v>
      </c>
    </row>
    <row r="45" spans="1:14">
      <c r="A45" s="149" t="s">
        <v>361</v>
      </c>
      <c r="B45" s="145">
        <v>511174</v>
      </c>
      <c r="C45" s="344">
        <f>B45/$J$54*100</f>
        <v>2.3823151934976413E-2</v>
      </c>
      <c r="D45" s="145">
        <v>41000</v>
      </c>
      <c r="E45" s="344">
        <f>D45/$J$54*100</f>
        <v>1.9107959898860916E-3</v>
      </c>
      <c r="F45" s="145">
        <v>113460</v>
      </c>
      <c r="G45" s="344">
        <f>F45/$J$54*100</f>
        <v>5.2877783661579502E-3</v>
      </c>
      <c r="H45" s="145"/>
      <c r="I45" s="344"/>
      <c r="J45" s="145">
        <f>SUM(F45,D45,B45,'- 12 -'!J45,'- 12 -'!H45,'- 12 -'!F45,'- 12 -'!D45,'- 12 -'!B45)</f>
        <v>20216235</v>
      </c>
      <c r="K45" s="344">
        <f>J45/$J$54*100</f>
        <v>0.94217318947792328</v>
      </c>
    </row>
    <row r="46" spans="1:14">
      <c r="A46" s="146" t="s">
        <v>362</v>
      </c>
      <c r="B46" s="152">
        <f>SUM(B42:B45)</f>
        <v>7647655</v>
      </c>
      <c r="C46" s="346">
        <f>B46/$J$54*100</f>
        <v>0.35641728063493461</v>
      </c>
      <c r="D46" s="152">
        <f>SUM(D42:D45)</f>
        <v>18213715</v>
      </c>
      <c r="E46" s="346">
        <f>D46/$J$54*100</f>
        <v>0.84884618494946718</v>
      </c>
      <c r="F46" s="152">
        <f>SUM(F42:F45)</f>
        <v>25135302</v>
      </c>
      <c r="G46" s="346">
        <f>F46/$J$54*100</f>
        <v>1.1714252260042892</v>
      </c>
      <c r="H46" s="152"/>
      <c r="I46" s="346"/>
      <c r="J46" s="152">
        <f>SUM(F46,D46,B46,'- 12 -'!J46,'- 12 -'!H46,'- 12 -'!F46,'- 12 -'!D46,'- 12 -'!B46)</f>
        <v>134307932</v>
      </c>
      <c r="K46" s="346">
        <f>J46/$J$54*100</f>
        <v>6.2593916554998508</v>
      </c>
    </row>
    <row r="47" spans="1:14">
      <c r="A47" s="368" t="s">
        <v>95</v>
      </c>
      <c r="B47" s="150"/>
      <c r="C47" s="347"/>
      <c r="D47" s="150"/>
      <c r="E47" s="347"/>
      <c r="F47" s="150"/>
      <c r="G47" s="347"/>
      <c r="H47" s="150"/>
      <c r="I47" s="347"/>
      <c r="J47" s="150"/>
      <c r="K47" s="347"/>
    </row>
    <row r="48" spans="1:14" hidden="1">
      <c r="A48" s="294" t="s">
        <v>537</v>
      </c>
      <c r="B48" s="503"/>
      <c r="C48" s="504"/>
      <c r="D48" s="503"/>
      <c r="E48" s="504"/>
      <c r="F48" s="142">
        <v>0</v>
      </c>
      <c r="G48" s="504"/>
      <c r="H48" s="503"/>
      <c r="I48" s="504"/>
      <c r="J48" s="503">
        <f>'- 12 -'!F48+'- 12 -'!J48+'- 13 -'!F48</f>
        <v>0</v>
      </c>
      <c r="K48" s="504"/>
    </row>
    <row r="49" spans="1:11">
      <c r="A49" s="141" t="s">
        <v>363</v>
      </c>
      <c r="B49" s="147"/>
      <c r="C49" s="343"/>
      <c r="D49" s="147"/>
      <c r="E49" s="343"/>
      <c r="F49" s="147"/>
      <c r="G49" s="343"/>
      <c r="H49" s="142">
        <f>'- 10 -'!G24</f>
        <v>2561000</v>
      </c>
      <c r="I49" s="343">
        <f>H49/$J$54*100</f>
        <v>0.11935484219751905</v>
      </c>
      <c r="J49" s="142">
        <f>H49</f>
        <v>2561000</v>
      </c>
      <c r="K49" s="343">
        <f>J49/$J$54*100</f>
        <v>0.11935484219751905</v>
      </c>
    </row>
    <row r="50" spans="1:11">
      <c r="A50" s="141" t="s">
        <v>472</v>
      </c>
      <c r="B50" s="147"/>
      <c r="C50" s="343"/>
      <c r="D50" s="147"/>
      <c r="E50" s="343"/>
      <c r="F50" s="147"/>
      <c r="G50" s="343"/>
      <c r="H50" s="142">
        <f>'- 10 -'!H24</f>
        <v>3000</v>
      </c>
      <c r="I50" s="343"/>
      <c r="J50" s="142">
        <f>H50</f>
        <v>3000</v>
      </c>
      <c r="K50" s="343"/>
    </row>
    <row r="51" spans="1:11">
      <c r="A51" s="141" t="s">
        <v>364</v>
      </c>
      <c r="B51" s="147"/>
      <c r="C51" s="343"/>
      <c r="D51" s="147"/>
      <c r="E51" s="343"/>
      <c r="F51" s="147"/>
      <c r="G51" s="343"/>
      <c r="H51" s="145">
        <f>'- 10 -'!I24</f>
        <v>35094672</v>
      </c>
      <c r="I51" s="344">
        <f>H51/$J$54*100</f>
        <v>1.6355794761943341</v>
      </c>
      <c r="J51" s="145">
        <f>H51</f>
        <v>35094672</v>
      </c>
      <c r="K51" s="344">
        <f>J51/$J$54*100</f>
        <v>1.6355794761943341</v>
      </c>
    </row>
    <row r="52" spans="1:11">
      <c r="A52" s="146" t="s">
        <v>365</v>
      </c>
      <c r="B52" s="146"/>
      <c r="C52" s="346"/>
      <c r="D52" s="146"/>
      <c r="E52" s="346"/>
      <c r="F52" s="152">
        <f>F48</f>
        <v>0</v>
      </c>
      <c r="G52" s="346"/>
      <c r="H52" s="152">
        <f>SUM(H49:H51)</f>
        <v>37658672</v>
      </c>
      <c r="I52" s="346">
        <f>H52/$J$54*100</f>
        <v>1.7550741327325765</v>
      </c>
      <c r="J52" s="152">
        <f>SUM(J48:J51)</f>
        <v>37658672</v>
      </c>
      <c r="K52" s="346">
        <f>J52/$J$54*100</f>
        <v>1.7550741327325765</v>
      </c>
    </row>
    <row r="53" spans="1:11" ht="5.0999999999999996" customHeight="1">
      <c r="A53" s="27"/>
      <c r="B53" s="31"/>
      <c r="C53" s="348"/>
      <c r="D53" s="92"/>
      <c r="E53" s="348"/>
      <c r="F53" s="92"/>
      <c r="G53" s="348"/>
      <c r="H53" s="92"/>
      <c r="I53" s="348"/>
      <c r="J53" s="92"/>
      <c r="K53" s="348"/>
    </row>
    <row r="54" spans="1:11">
      <c r="A54" s="369" t="s">
        <v>366</v>
      </c>
      <c r="B54" s="490">
        <f>SUM(B52,B46,B40,B23,B22)</f>
        <v>74143662</v>
      </c>
      <c r="C54" s="491">
        <f>B54/$J$54*100</f>
        <v>3.4554490737821899</v>
      </c>
      <c r="D54" s="490">
        <f>SUM(D52,D46,D40,D23,D22)</f>
        <v>93032627</v>
      </c>
      <c r="E54" s="491">
        <f>D54/$J$54*100</f>
        <v>4.335765136589476</v>
      </c>
      <c r="F54" s="490">
        <f>SUM(F52,F46,F40,F23,F22)</f>
        <v>248250736</v>
      </c>
      <c r="G54" s="491">
        <f>F54/$J$54*100</f>
        <v>11.569670995977337</v>
      </c>
      <c r="H54" s="490">
        <f>SUM(H52,H46,H40,H23,H22)</f>
        <v>37658672</v>
      </c>
      <c r="I54" s="491">
        <f>H54/$J$54*100</f>
        <v>1.7550741327325765</v>
      </c>
      <c r="J54" s="490">
        <f>SUM(J52,J46,J40,J23,J22)</f>
        <v>2145702640</v>
      </c>
      <c r="K54" s="491">
        <f>J54/$J$54*100</f>
        <v>100</v>
      </c>
    </row>
    <row r="55" spans="1:11" ht="20.100000000000001" customHeight="1">
      <c r="A55" s="154"/>
    </row>
  </sheetData>
  <mergeCells count="1">
    <mergeCell ref="L25:L29"/>
  </mergeCells>
  <phoneticPr fontId="0" type="noConversion"/>
  <printOptions verticalCentered="1"/>
  <pageMargins left="0.75" right="0" top="0.3" bottom="0.3" header="0" footer="0"/>
  <pageSetup scale="88" orientation="landscape" r:id="rId1"/>
  <headerFooter alignWithMargins="0"/>
</worksheet>
</file>

<file path=xl/worksheets/sheet11.xml><?xml version="1.0" encoding="utf-8"?>
<worksheet xmlns="http://schemas.openxmlformats.org/spreadsheetml/2006/main" xmlns:r="http://schemas.openxmlformats.org/officeDocument/2006/relationships">
  <sheetPr codeName="Sheet10">
    <pageSetUpPr fitToPage="1"/>
  </sheetPr>
  <dimension ref="A1:J59"/>
  <sheetViews>
    <sheetView showGridLines="0" showZeros="0" workbookViewId="0"/>
  </sheetViews>
  <sheetFormatPr defaultColWidth="15.83203125" defaultRowHeight="12"/>
  <cols>
    <col min="1" max="1" width="31.6640625" style="1" customWidth="1"/>
    <col min="2" max="2" width="15" style="1" bestFit="1" customWidth="1"/>
    <col min="3" max="3" width="6.33203125" style="1" customWidth="1"/>
    <col min="4" max="4" width="7.6640625" style="1" customWidth="1"/>
    <col min="5" max="5" width="13.33203125" style="1" bestFit="1" customWidth="1"/>
    <col min="6" max="6" width="6.33203125" style="1" customWidth="1"/>
    <col min="7" max="7" width="12" style="1" customWidth="1"/>
    <col min="8" max="8" width="11.5" style="1" customWidth="1"/>
    <col min="9" max="9" width="8.83203125" style="1" customWidth="1"/>
    <col min="10" max="16384" width="15.83203125" style="1"/>
  </cols>
  <sheetData>
    <row r="1" spans="1:9" ht="6.95" customHeight="1">
      <c r="A1" s="3"/>
      <c r="B1" s="4"/>
      <c r="C1" s="4"/>
      <c r="D1" s="4"/>
      <c r="E1" s="4"/>
      <c r="F1" s="4"/>
      <c r="G1" s="4"/>
      <c r="H1" s="4"/>
      <c r="I1" s="4"/>
    </row>
    <row r="2" spans="1:9" ht="15.95" customHeight="1">
      <c r="A2" s="159"/>
      <c r="B2" s="5" t="s">
        <v>478</v>
      </c>
      <c r="C2" s="6"/>
      <c r="D2" s="6"/>
      <c r="E2" s="6"/>
      <c r="F2" s="6"/>
      <c r="G2" s="6"/>
      <c r="H2" s="106"/>
      <c r="I2" s="182" t="s">
        <v>2</v>
      </c>
    </row>
    <row r="3" spans="1:9" ht="15.95" customHeight="1">
      <c r="A3" s="162"/>
      <c r="B3" s="7" t="str">
        <f>OPYEAR</f>
        <v>OPERATING FUND 2014/2015 BUDGET</v>
      </c>
      <c r="C3" s="8"/>
      <c r="D3" s="8"/>
      <c r="E3" s="8"/>
      <c r="F3" s="8"/>
      <c r="G3" s="8"/>
      <c r="H3" s="108"/>
      <c r="I3" s="101"/>
    </row>
    <row r="4" spans="1:9" ht="15.95" customHeight="1">
      <c r="B4" s="4"/>
      <c r="C4" s="4"/>
      <c r="D4" s="4"/>
      <c r="E4" s="4"/>
      <c r="F4" s="4"/>
      <c r="G4" s="4"/>
      <c r="H4" s="4"/>
      <c r="I4" s="4"/>
    </row>
    <row r="5" spans="1:9" ht="15.95" customHeight="1">
      <c r="B5" s="4"/>
      <c r="C5" s="4"/>
      <c r="D5" s="4"/>
      <c r="E5" s="4"/>
      <c r="F5" s="4"/>
      <c r="G5" s="4"/>
      <c r="H5" s="4"/>
      <c r="I5" s="4"/>
    </row>
    <row r="6" spans="1:9" ht="15.95" customHeight="1">
      <c r="B6" s="363"/>
      <c r="C6" s="352"/>
      <c r="D6" s="353"/>
      <c r="E6" s="351"/>
      <c r="F6" s="352"/>
      <c r="G6" s="353"/>
      <c r="H6" s="351" t="s">
        <v>211</v>
      </c>
      <c r="I6" s="353"/>
    </row>
    <row r="7" spans="1:9" ht="15.95" customHeight="1">
      <c r="B7" s="354" t="s">
        <v>49</v>
      </c>
      <c r="C7" s="355"/>
      <c r="D7" s="356"/>
      <c r="E7" s="354" t="s">
        <v>442</v>
      </c>
      <c r="F7" s="355"/>
      <c r="G7" s="356"/>
      <c r="H7" s="354" t="s">
        <v>325</v>
      </c>
      <c r="I7" s="356"/>
    </row>
    <row r="8" spans="1:9" ht="15.95" customHeight="1">
      <c r="A8" s="102"/>
      <c r="B8" s="168" t="s">
        <v>3</v>
      </c>
      <c r="C8" s="233"/>
      <c r="D8" s="167" t="s">
        <v>60</v>
      </c>
      <c r="E8" s="168"/>
      <c r="F8" s="167"/>
      <c r="G8" s="167" t="s">
        <v>60</v>
      </c>
      <c r="H8" s="168"/>
      <c r="I8" s="167"/>
    </row>
    <row r="9" spans="1:9" ht="15.95" customHeight="1">
      <c r="A9" s="35" t="s">
        <v>81</v>
      </c>
      <c r="B9" s="113" t="s">
        <v>82</v>
      </c>
      <c r="C9" s="113" t="s">
        <v>83</v>
      </c>
      <c r="D9" s="113" t="s">
        <v>84</v>
      </c>
      <c r="E9" s="113" t="s">
        <v>82</v>
      </c>
      <c r="F9" s="113" t="s">
        <v>83</v>
      </c>
      <c r="G9" s="113" t="s">
        <v>84</v>
      </c>
      <c r="H9" s="113" t="s">
        <v>82</v>
      </c>
      <c r="I9" s="113" t="s">
        <v>83</v>
      </c>
    </row>
    <row r="10" spans="1:9" ht="5.0999999999999996" customHeight="1">
      <c r="A10" s="37"/>
    </row>
    <row r="11" spans="1:9" ht="14.1" customHeight="1">
      <c r="A11" s="357" t="s">
        <v>230</v>
      </c>
      <c r="B11" s="358">
        <f>SUM('- 18 -'!B11,'- 18 -'!E11,'- 19 -'!B11,'- 19 -'!E11,'- 19 -'!H11,'- 20 -'!B11)</f>
        <v>10648801</v>
      </c>
      <c r="C11" s="359">
        <f>B11/'- 3 -'!D11*100</f>
        <v>61.304455856224926</v>
      </c>
      <c r="D11" s="358">
        <f>B11/'- 7 -'!C11</f>
        <v>6885.7426446815389</v>
      </c>
      <c r="E11" s="358">
        <f>SUM('- 21 -'!B11,'- 21 -'!E11,'- 21 -'!H11,'- 22 -'!B11,'- 22 -'!D11,'- 22 -'!G11,'- 23 -'!B11)</f>
        <v>2311025</v>
      </c>
      <c r="F11" s="359">
        <f>E11/'- 3 -'!D11*100</f>
        <v>13.304420854059739</v>
      </c>
      <c r="G11" s="358">
        <f>E11/'- 7 -'!F11</f>
        <v>1494.3582282573552</v>
      </c>
      <c r="H11" s="358">
        <f>SUM('- 24 -'!D11,'- 24 -'!B11)</f>
        <v>0</v>
      </c>
      <c r="I11" s="359">
        <f>H11/'- 3 -'!D11*100</f>
        <v>0</v>
      </c>
    </row>
    <row r="12" spans="1:9" ht="14.1" customHeight="1">
      <c r="A12" s="23" t="s">
        <v>231</v>
      </c>
      <c r="B12" s="24">
        <f>SUM('- 18 -'!B12,'- 18 -'!E12,'- 19 -'!B12,'- 19 -'!E12,'- 19 -'!H12,'- 20 -'!B12)</f>
        <v>17763075</v>
      </c>
      <c r="C12" s="350">
        <f>B12/'- 3 -'!D12*100</f>
        <v>56.45676870509925</v>
      </c>
      <c r="D12" s="24">
        <f>B12/'- 7 -'!C12</f>
        <v>8123.3079371467256</v>
      </c>
      <c r="E12" s="24">
        <f>SUM('- 21 -'!B12,'- 21 -'!E12,'- 21 -'!H12,'- 22 -'!B12,'- 22 -'!D12,'- 22 -'!G12,'- 23 -'!B12)</f>
        <v>4923942</v>
      </c>
      <c r="F12" s="350">
        <f>E12/'- 3 -'!D12*100</f>
        <v>15.649872255300606</v>
      </c>
      <c r="G12" s="24">
        <f>E12/'- 7 -'!F12</f>
        <v>2251.7890134816253</v>
      </c>
      <c r="H12" s="24">
        <f>SUM('- 24 -'!D12,'- 24 -'!B12)</f>
        <v>532399</v>
      </c>
      <c r="I12" s="350">
        <f>H12/'- 3 -'!D12*100</f>
        <v>1.6921353539196418</v>
      </c>
    </row>
    <row r="13" spans="1:9" ht="14.1" customHeight="1">
      <c r="A13" s="357" t="s">
        <v>232</v>
      </c>
      <c r="B13" s="358">
        <f>SUM('- 18 -'!B13,'- 18 -'!E13,'- 19 -'!B13,'- 19 -'!E13,'- 19 -'!H13,'- 20 -'!B13)</f>
        <v>53212500</v>
      </c>
      <c r="C13" s="359">
        <f>B13/'- 3 -'!D13*100</f>
        <v>59.615903848243704</v>
      </c>
      <c r="D13" s="358">
        <f>B13/'- 7 -'!C13</f>
        <v>6552.8358370697479</v>
      </c>
      <c r="E13" s="358">
        <f>SUM('- 21 -'!B13,'- 21 -'!E13,'- 21 -'!H13,'- 22 -'!B13,'- 22 -'!D13,'- 22 -'!G13,'- 23 -'!B13)</f>
        <v>19122600</v>
      </c>
      <c r="F13" s="359">
        <f>E13/'- 3 -'!D13*100</f>
        <v>21.423745979392532</v>
      </c>
      <c r="G13" s="358">
        <f>E13/'- 7 -'!F13</f>
        <v>2354.8462969781531</v>
      </c>
      <c r="H13" s="358">
        <f>SUM('- 24 -'!D13,'- 24 -'!B13)</f>
        <v>0</v>
      </c>
      <c r="I13" s="359">
        <f>H13/'- 3 -'!D13*100</f>
        <v>0</v>
      </c>
    </row>
    <row r="14" spans="1:9" ht="14.1" customHeight="1">
      <c r="A14" s="23" t="s">
        <v>566</v>
      </c>
      <c r="B14" s="24">
        <f>SUM('- 18 -'!B14,'- 18 -'!E14,'- 19 -'!B14,'- 19 -'!E14,'- 19 -'!H14,'- 20 -'!B14)</f>
        <v>44377508</v>
      </c>
      <c r="C14" s="350">
        <f>B14/'- 3 -'!D14*100</f>
        <v>55.537255126146235</v>
      </c>
      <c r="D14" s="24">
        <f>B14/'- 7 -'!C14</f>
        <v>8349.4841015992479</v>
      </c>
      <c r="E14" s="24">
        <f>SUM('- 21 -'!B14,'- 21 -'!E14,'- 21 -'!H14,'- 22 -'!B14,'- 22 -'!D14,'- 22 -'!G14,'- 23 -'!B14)</f>
        <v>9954128</v>
      </c>
      <c r="F14" s="350">
        <f>E14/'- 3 -'!D14*100</f>
        <v>12.457322891909921</v>
      </c>
      <c r="G14" s="24">
        <f>E14/'- 7 -'!F14</f>
        <v>1872.8368767638758</v>
      </c>
      <c r="H14" s="24">
        <f>SUM('- 24 -'!D14,'- 24 -'!B14)</f>
        <v>272347</v>
      </c>
      <c r="I14" s="350">
        <f>H14/'- 3 -'!D14*100</f>
        <v>0.34083492975406704</v>
      </c>
    </row>
    <row r="15" spans="1:9" ht="14.1" customHeight="1">
      <c r="A15" s="357" t="s">
        <v>233</v>
      </c>
      <c r="B15" s="358">
        <f>SUM('- 18 -'!B15,'- 18 -'!E15,'- 19 -'!B15,'- 19 -'!E15,'- 19 -'!H15,'- 20 -'!B15)</f>
        <v>10586931</v>
      </c>
      <c r="C15" s="359">
        <f>B15/'- 3 -'!D15*100</f>
        <v>53.394913817616477</v>
      </c>
      <c r="D15" s="358">
        <f>B15/'- 7 -'!C15</f>
        <v>7288.7648881239247</v>
      </c>
      <c r="E15" s="358">
        <f>SUM('- 21 -'!B15,'- 21 -'!E15,'- 21 -'!H15,'- 22 -'!B15,'- 22 -'!D15,'- 22 -'!G15,'- 23 -'!B15)</f>
        <v>3540000</v>
      </c>
      <c r="F15" s="359">
        <f>E15/'- 3 -'!D15*100</f>
        <v>17.853898822459723</v>
      </c>
      <c r="G15" s="358">
        <f>E15/'- 7 -'!F15</f>
        <v>2437.1772805507744</v>
      </c>
      <c r="H15" s="358">
        <f>SUM('- 24 -'!D15,'- 24 -'!B15)</f>
        <v>0</v>
      </c>
      <c r="I15" s="359">
        <f>H15/'- 3 -'!D15*100</f>
        <v>0</v>
      </c>
    </row>
    <row r="16" spans="1:9" ht="14.1" customHeight="1">
      <c r="A16" s="23" t="s">
        <v>234</v>
      </c>
      <c r="B16" s="24">
        <f>SUM('- 18 -'!B16,'- 18 -'!E16,'- 19 -'!B16,'- 19 -'!E16,'- 19 -'!H16,'- 20 -'!B16)</f>
        <v>7149868</v>
      </c>
      <c r="C16" s="350">
        <f>B16/'- 3 -'!D16*100</f>
        <v>53.034331870795</v>
      </c>
      <c r="D16" s="24">
        <f>B16/'- 7 -'!C16</f>
        <v>7432.2952182952185</v>
      </c>
      <c r="E16" s="24">
        <f>SUM('- 21 -'!B16,'- 21 -'!E16,'- 21 -'!H16,'- 22 -'!B16,'- 22 -'!D16,'- 22 -'!G16,'- 23 -'!B16)</f>
        <v>2596886</v>
      </c>
      <c r="F16" s="350">
        <f>E16/'- 3 -'!D16*100</f>
        <v>19.262469454627883</v>
      </c>
      <c r="G16" s="24">
        <f>E16/'- 7 -'!F16</f>
        <v>2699.4656964656965</v>
      </c>
      <c r="H16" s="24">
        <f>SUM('- 24 -'!D16,'- 24 -'!B16)</f>
        <v>97942</v>
      </c>
      <c r="I16" s="350">
        <f>H16/'- 3 -'!D16*100</f>
        <v>0.72648733264577814</v>
      </c>
    </row>
    <row r="17" spans="1:9" ht="14.1" customHeight="1">
      <c r="A17" s="357" t="s">
        <v>235</v>
      </c>
      <c r="B17" s="358">
        <f>SUM('- 18 -'!B17,'- 18 -'!E17,'- 19 -'!B17,'- 19 -'!E17,'- 19 -'!H17,'- 20 -'!B17)</f>
        <v>9614772</v>
      </c>
      <c r="C17" s="359">
        <f>B17/'- 3 -'!D17*100</f>
        <v>56.021468938141041</v>
      </c>
      <c r="D17" s="358">
        <f>B17/'- 7 -'!C17</f>
        <v>7188.6145794392523</v>
      </c>
      <c r="E17" s="358">
        <f>SUM('- 21 -'!B17,'- 21 -'!E17,'- 21 -'!H17,'- 22 -'!B17,'- 22 -'!D17,'- 22 -'!G17,'- 23 -'!B17)</f>
        <v>2520652</v>
      </c>
      <c r="F17" s="359">
        <f>E17/'- 3 -'!D17*100</f>
        <v>14.686841011088262</v>
      </c>
      <c r="G17" s="358">
        <f>E17/'- 7 -'!F17</f>
        <v>1884.5996261682244</v>
      </c>
      <c r="H17" s="358">
        <f>SUM('- 24 -'!D17,'- 24 -'!B17)</f>
        <v>0</v>
      </c>
      <c r="I17" s="359">
        <f>H17/'- 3 -'!D17*100</f>
        <v>0</v>
      </c>
    </row>
    <row r="18" spans="1:9" ht="14.1" customHeight="1">
      <c r="A18" s="23" t="s">
        <v>236</v>
      </c>
      <c r="B18" s="24">
        <f>SUM('- 18 -'!B18,'- 18 -'!E18,'- 19 -'!B18,'- 19 -'!E18,'- 19 -'!H18,'- 20 -'!B18)</f>
        <v>52478806</v>
      </c>
      <c r="C18" s="350">
        <f>B18/'- 3 -'!D18*100</f>
        <v>42.398429677675814</v>
      </c>
      <c r="D18" s="24">
        <f>B18/'- 7 -'!C18</f>
        <v>8504.5142366344171</v>
      </c>
      <c r="E18" s="24">
        <f>SUM('- 21 -'!B18,'- 21 -'!E18,'- 21 -'!H18,'- 22 -'!B18,'- 22 -'!D18,'- 22 -'!G18,'- 23 -'!B18)</f>
        <v>19341255</v>
      </c>
      <c r="F18" s="350">
        <f>E18/'- 3 -'!D18*100</f>
        <v>15.626095608872955</v>
      </c>
      <c r="G18" s="24">
        <f>E18/'- 7 -'!F18</f>
        <v>3134.3696825319657</v>
      </c>
      <c r="H18" s="24">
        <f>SUM('- 24 -'!D18,'- 24 -'!B18)</f>
        <v>1976831</v>
      </c>
      <c r="I18" s="350">
        <f>H18/'- 3 -'!D18*100</f>
        <v>1.5971119872306081</v>
      </c>
    </row>
    <row r="19" spans="1:9" ht="14.1" customHeight="1">
      <c r="A19" s="357" t="s">
        <v>237</v>
      </c>
      <c r="B19" s="358">
        <f>SUM('- 18 -'!B19,'- 18 -'!E19,'- 19 -'!B19,'- 19 -'!E19,'- 19 -'!H19,'- 20 -'!B19)</f>
        <v>24962350</v>
      </c>
      <c r="C19" s="359">
        <f>B19/'- 3 -'!D19*100</f>
        <v>57.451118212039113</v>
      </c>
      <c r="D19" s="358">
        <f>B19/'- 7 -'!C19</f>
        <v>6118.9729133472238</v>
      </c>
      <c r="E19" s="358">
        <f>SUM('- 21 -'!B19,'- 21 -'!E19,'- 21 -'!H19,'- 22 -'!B19,'- 22 -'!D19,'- 22 -'!G19,'- 23 -'!B19)</f>
        <v>8308200</v>
      </c>
      <c r="F19" s="359">
        <f>E19/'- 3 -'!D19*100</f>
        <v>19.121412059732489</v>
      </c>
      <c r="G19" s="358">
        <f>E19/'- 7 -'!F19</f>
        <v>2036.5731094496875</v>
      </c>
      <c r="H19" s="358">
        <f>SUM('- 24 -'!D19,'- 24 -'!B19)</f>
        <v>0</v>
      </c>
      <c r="I19" s="359">
        <f>H19/'- 3 -'!D19*100</f>
        <v>0</v>
      </c>
    </row>
    <row r="20" spans="1:9" ht="14.1" customHeight="1">
      <c r="A20" s="23" t="s">
        <v>238</v>
      </c>
      <c r="B20" s="24">
        <f>SUM('- 18 -'!B20,'- 18 -'!E20,'- 19 -'!B20,'- 19 -'!E20,'- 19 -'!H20,'- 20 -'!B20)</f>
        <v>45854400</v>
      </c>
      <c r="C20" s="350">
        <f>B20/'- 3 -'!D20*100</f>
        <v>60.550167966026493</v>
      </c>
      <c r="D20" s="24">
        <f>B20/'- 7 -'!C20</f>
        <v>6066.1992327027383</v>
      </c>
      <c r="E20" s="24">
        <f>SUM('- 21 -'!B20,'- 21 -'!E20,'- 21 -'!H20,'- 22 -'!B20,'- 22 -'!D20,'- 22 -'!G20,'- 23 -'!B20)</f>
        <v>10663200</v>
      </c>
      <c r="F20" s="350">
        <f>E20/'- 3 -'!D20*100</f>
        <v>14.080623692717248</v>
      </c>
      <c r="G20" s="24">
        <f>E20/'- 7 -'!F20</f>
        <v>1410.6627860828153</v>
      </c>
      <c r="H20" s="24">
        <f>SUM('- 24 -'!D20,'- 24 -'!B20)</f>
        <v>0</v>
      </c>
      <c r="I20" s="350">
        <f>H20/'- 3 -'!D20*100</f>
        <v>0</v>
      </c>
    </row>
    <row r="21" spans="1:9" ht="14.1" customHeight="1">
      <c r="A21" s="357" t="s">
        <v>239</v>
      </c>
      <c r="B21" s="358">
        <f>SUM('- 18 -'!B21,'- 18 -'!E21,'- 19 -'!B21,'- 19 -'!E21,'- 19 -'!H21,'- 20 -'!B21)</f>
        <v>19347604</v>
      </c>
      <c r="C21" s="359">
        <f>B21/'- 3 -'!D21*100</f>
        <v>56.106513383829068</v>
      </c>
      <c r="D21" s="358">
        <f>B21/'- 7 -'!C21</f>
        <v>7276.2707784881532</v>
      </c>
      <c r="E21" s="358">
        <f>SUM('- 21 -'!B21,'- 21 -'!E21,'- 21 -'!H21,'- 22 -'!B21,'- 22 -'!D21,'- 22 -'!G21,'- 23 -'!B21)</f>
        <v>5782000</v>
      </c>
      <c r="F21" s="359">
        <f>E21/'- 3 -'!D21*100</f>
        <v>16.767340306598154</v>
      </c>
      <c r="G21" s="358">
        <f>E21/'- 7 -'!F21</f>
        <v>2174.5016923655508</v>
      </c>
      <c r="H21" s="358">
        <f>SUM('- 24 -'!D21,'- 24 -'!B21)</f>
        <v>0</v>
      </c>
      <c r="I21" s="359">
        <f>H21/'- 3 -'!D21*100</f>
        <v>0</v>
      </c>
    </row>
    <row r="22" spans="1:9" ht="14.1" customHeight="1">
      <c r="A22" s="23" t="s">
        <v>240</v>
      </c>
      <c r="B22" s="24">
        <f>SUM('- 18 -'!B22,'- 18 -'!E22,'- 19 -'!B22,'- 19 -'!E22,'- 19 -'!H22,'- 20 -'!B22)</f>
        <v>9237095</v>
      </c>
      <c r="C22" s="350">
        <f>B22/'- 3 -'!D22*100</f>
        <v>47.605182948748194</v>
      </c>
      <c r="D22" s="24">
        <f>B22/'- 7 -'!C22</f>
        <v>5917.4215246636768</v>
      </c>
      <c r="E22" s="24">
        <f>SUM('- 21 -'!B22,'- 21 -'!E22,'- 21 -'!H22,'- 22 -'!B22,'- 22 -'!D22,'- 22 -'!G22,'- 23 -'!B22)</f>
        <v>4610844</v>
      </c>
      <c r="F22" s="350">
        <f>E22/'- 3 -'!D22*100</f>
        <v>23.762889974406228</v>
      </c>
      <c r="G22" s="24">
        <f>E22/'- 7 -'!F22</f>
        <v>2953.775784753363</v>
      </c>
      <c r="H22" s="24">
        <f>SUM('- 24 -'!D22,'- 24 -'!B22)</f>
        <v>613290</v>
      </c>
      <c r="I22" s="350">
        <f>H22/'- 3 -'!D22*100</f>
        <v>3.1607104452901886</v>
      </c>
    </row>
    <row r="23" spans="1:9" ht="14.1" customHeight="1">
      <c r="A23" s="357" t="s">
        <v>241</v>
      </c>
      <c r="B23" s="358">
        <f>SUM('- 18 -'!B23,'- 18 -'!E23,'- 19 -'!B23,'- 19 -'!E23,'- 19 -'!H23,'- 20 -'!B23)</f>
        <v>8559208</v>
      </c>
      <c r="C23" s="359">
        <f>B23/'- 3 -'!D23*100</f>
        <v>52.530201523516808</v>
      </c>
      <c r="D23" s="358">
        <f>B23/'- 7 -'!C23</f>
        <v>7459.0047930283226</v>
      </c>
      <c r="E23" s="358">
        <f>SUM('- 21 -'!B23,'- 21 -'!E23,'- 21 -'!H23,'- 22 -'!B23,'- 22 -'!D23,'- 22 -'!G23,'- 23 -'!B23)</f>
        <v>2946100</v>
      </c>
      <c r="F23" s="359">
        <f>E23/'- 3 -'!D23*100</f>
        <v>18.081021831509744</v>
      </c>
      <c r="G23" s="358">
        <f>E23/'- 7 -'!F23</f>
        <v>2567.4074074074074</v>
      </c>
      <c r="H23" s="358">
        <f>SUM('- 24 -'!D23,'- 24 -'!B23)</f>
        <v>230000</v>
      </c>
      <c r="I23" s="359">
        <f>H23/'- 3 -'!D23*100</f>
        <v>1.4115729341323244</v>
      </c>
    </row>
    <row r="24" spans="1:9" ht="14.1" customHeight="1">
      <c r="A24" s="23" t="s">
        <v>242</v>
      </c>
      <c r="B24" s="24">
        <f>SUM('- 18 -'!B24,'- 18 -'!E24,'- 19 -'!B24,'- 19 -'!E24,'- 19 -'!H24,'- 20 -'!B24)</f>
        <v>31191402</v>
      </c>
      <c r="C24" s="350">
        <f>B24/'- 3 -'!D24*100</f>
        <v>57.410823454523253</v>
      </c>
      <c r="D24" s="24">
        <f>B24/'- 7 -'!C24</f>
        <v>7703.4828352679669</v>
      </c>
      <c r="E24" s="24">
        <f>SUM('- 21 -'!B24,'- 21 -'!E24,'- 21 -'!H24,'- 22 -'!B24,'- 22 -'!D24,'- 22 -'!G24,'- 23 -'!B24)</f>
        <v>9358575</v>
      </c>
      <c r="F24" s="350">
        <f>E24/'- 3 -'!D24*100</f>
        <v>17.225371822366785</v>
      </c>
      <c r="G24" s="24">
        <f>E24/'- 7 -'!F24</f>
        <v>2311.3299580143243</v>
      </c>
      <c r="H24" s="24">
        <f>SUM('- 24 -'!D24,'- 24 -'!B24)</f>
        <v>329670</v>
      </c>
      <c r="I24" s="350">
        <f>H24/'- 3 -'!D24*100</f>
        <v>0.6067898508779016</v>
      </c>
    </row>
    <row r="25" spans="1:9" ht="14.1" customHeight="1">
      <c r="A25" s="357" t="s">
        <v>243</v>
      </c>
      <c r="B25" s="358">
        <f>SUM('- 18 -'!B25,'- 18 -'!E25,'- 19 -'!B25,'- 19 -'!E25,'- 19 -'!H25,'- 20 -'!B25)</f>
        <v>91807602</v>
      </c>
      <c r="C25" s="359">
        <f>B25/'- 3 -'!D25*100</f>
        <v>57.738665984626977</v>
      </c>
      <c r="D25" s="358">
        <f>B25/'- 7 -'!C25</f>
        <v>6679.3453619497996</v>
      </c>
      <c r="E25" s="358">
        <f>SUM('- 21 -'!B25,'- 21 -'!E25,'- 21 -'!H25,'- 22 -'!B25,'- 22 -'!D25,'- 22 -'!G25,'- 23 -'!B25)</f>
        <v>30705402</v>
      </c>
      <c r="F25" s="359">
        <f>E25/'- 3 -'!D25*100</f>
        <v>19.310916649382666</v>
      </c>
      <c r="G25" s="358">
        <f>E25/'- 7 -'!F25</f>
        <v>2233.9324845398328</v>
      </c>
      <c r="H25" s="358">
        <f>SUM('- 24 -'!D25,'- 24 -'!B25)</f>
        <v>0</v>
      </c>
      <c r="I25" s="359">
        <f>H25/'- 3 -'!D25*100</f>
        <v>0</v>
      </c>
    </row>
    <row r="26" spans="1:9" ht="14.1" customHeight="1">
      <c r="A26" s="23" t="s">
        <v>244</v>
      </c>
      <c r="B26" s="24">
        <f>SUM('- 18 -'!B26,'- 18 -'!E26,'- 19 -'!B26,'- 19 -'!E26,'- 19 -'!H26,'- 20 -'!B26)</f>
        <v>21930726</v>
      </c>
      <c r="C26" s="350">
        <f>B26/'- 3 -'!D26*100</f>
        <v>56.350029553879786</v>
      </c>
      <c r="D26" s="24">
        <f>B26/'- 7 -'!C26</f>
        <v>7101.9190414507775</v>
      </c>
      <c r="E26" s="24">
        <f>SUM('- 21 -'!B26,'- 21 -'!E26,'- 21 -'!H26,'- 22 -'!B26,'- 22 -'!D26,'- 22 -'!G26,'- 23 -'!B26)</f>
        <v>5582784</v>
      </c>
      <c r="F26" s="350">
        <f>E26/'- 3 -'!D26*100</f>
        <v>14.344716330545884</v>
      </c>
      <c r="G26" s="24">
        <f>E26/'- 7 -'!F26</f>
        <v>1807.8963730569949</v>
      </c>
      <c r="H26" s="24">
        <f>SUM('- 24 -'!D26,'- 24 -'!B26)</f>
        <v>0</v>
      </c>
      <c r="I26" s="350">
        <f>H26/'- 3 -'!D26*100</f>
        <v>0</v>
      </c>
    </row>
    <row r="27" spans="1:9" ht="14.1" customHeight="1">
      <c r="A27" s="357" t="s">
        <v>245</v>
      </c>
      <c r="B27" s="358">
        <f>SUM('- 18 -'!B27,'- 18 -'!E27,'- 19 -'!B27,'- 19 -'!E27,'- 19 -'!H27,'- 20 -'!B27)</f>
        <v>21461239</v>
      </c>
      <c r="C27" s="359">
        <f>B27/'- 3 -'!D27*100</f>
        <v>54.900299163775514</v>
      </c>
      <c r="D27" s="358">
        <f>B27/'- 7 -'!C27</f>
        <v>7426.0342560553636</v>
      </c>
      <c r="E27" s="358">
        <f>SUM('- 21 -'!B27,'- 21 -'!E27,'- 21 -'!H27,'- 22 -'!B27,'- 22 -'!D27,'- 22 -'!G27,'- 23 -'!B27)</f>
        <v>7656850</v>
      </c>
      <c r="F27" s="359">
        <f>E27/'- 3 -'!D27*100</f>
        <v>19.587096329906885</v>
      </c>
      <c r="G27" s="358">
        <f>E27/'- 7 -'!F27</f>
        <v>2649.4290657439446</v>
      </c>
      <c r="H27" s="358">
        <f>SUM('- 24 -'!D27,'- 24 -'!B27)</f>
        <v>0</v>
      </c>
      <c r="I27" s="359">
        <f>H27/'- 3 -'!D27*100</f>
        <v>0</v>
      </c>
    </row>
    <row r="28" spans="1:9" ht="14.1" customHeight="1">
      <c r="A28" s="23" t="s">
        <v>246</v>
      </c>
      <c r="B28" s="24">
        <f>SUM('- 18 -'!B28,'- 18 -'!E28,'- 19 -'!B28,'- 19 -'!E28,'- 19 -'!H28,'- 20 -'!B28)</f>
        <v>16024080</v>
      </c>
      <c r="C28" s="350">
        <f>B28/'- 3 -'!D28*100</f>
        <v>58.58919573677246</v>
      </c>
      <c r="D28" s="24">
        <f>B28/'- 7 -'!C28</f>
        <v>8082.7641866330387</v>
      </c>
      <c r="E28" s="24">
        <f>SUM('- 21 -'!B28,'- 21 -'!E28,'- 21 -'!H28,'- 22 -'!B28,'- 22 -'!D28,'- 22 -'!G28,'- 23 -'!B28)</f>
        <v>3666878</v>
      </c>
      <c r="F28" s="350">
        <f>E28/'- 3 -'!D28*100</f>
        <v>13.407286588987619</v>
      </c>
      <c r="G28" s="24">
        <f>E28/'- 7 -'!F28</f>
        <v>1849.6232030264816</v>
      </c>
      <c r="H28" s="24">
        <f>SUM('- 24 -'!D28,'- 24 -'!B28)</f>
        <v>109774</v>
      </c>
      <c r="I28" s="350">
        <f>H28/'- 3 -'!D28*100</f>
        <v>0.40136908782335462</v>
      </c>
    </row>
    <row r="29" spans="1:9" ht="14.1" customHeight="1">
      <c r="A29" s="357" t="s">
        <v>247</v>
      </c>
      <c r="B29" s="358">
        <f>SUM('- 18 -'!B29,'- 18 -'!E29,'- 19 -'!B29,'- 19 -'!E29,'- 19 -'!H29,'- 20 -'!B29)</f>
        <v>83905944</v>
      </c>
      <c r="C29" s="359">
        <f>B29/'- 3 -'!D29*100</f>
        <v>57.047536908093512</v>
      </c>
      <c r="D29" s="358">
        <f>B29/'- 7 -'!C29</f>
        <v>6957.086687948261</v>
      </c>
      <c r="E29" s="358">
        <f>SUM('- 21 -'!B29,'- 21 -'!E29,'- 21 -'!H29,'- 22 -'!B29,'- 22 -'!D29,'- 22 -'!G29,'- 23 -'!B29)</f>
        <v>28725995</v>
      </c>
      <c r="F29" s="359">
        <f>E29/'- 3 -'!D29*100</f>
        <v>19.530764828582459</v>
      </c>
      <c r="G29" s="358">
        <f>E29/'- 7 -'!F29</f>
        <v>2381.8245512209278</v>
      </c>
      <c r="H29" s="358">
        <f>SUM('- 24 -'!D29,'- 24 -'!B29)</f>
        <v>0</v>
      </c>
      <c r="I29" s="359">
        <f>H29/'- 3 -'!D29*100</f>
        <v>0</v>
      </c>
    </row>
    <row r="30" spans="1:9" ht="14.1" customHeight="1">
      <c r="A30" s="23" t="s">
        <v>248</v>
      </c>
      <c r="B30" s="24">
        <f>SUM('- 18 -'!B30,'- 18 -'!E30,'- 19 -'!B30,'- 19 -'!E30,'- 19 -'!H30,'- 20 -'!B30)</f>
        <v>8028483</v>
      </c>
      <c r="C30" s="350">
        <f>B30/'- 3 -'!D30*100</f>
        <v>59.912241458373828</v>
      </c>
      <c r="D30" s="24">
        <f>B30/'- 7 -'!C30</f>
        <v>7828.8473915163331</v>
      </c>
      <c r="E30" s="24">
        <f>SUM('- 21 -'!B30,'- 21 -'!E30,'- 21 -'!H30,'- 22 -'!B30,'- 22 -'!D30,'- 22 -'!G30,'- 23 -'!B30)</f>
        <v>1443673</v>
      </c>
      <c r="F30" s="350">
        <f>E30/'- 3 -'!D30*100</f>
        <v>10.773353491928042</v>
      </c>
      <c r="G30" s="24">
        <f>E30/'- 7 -'!F30</f>
        <v>1407.7747440273038</v>
      </c>
      <c r="H30" s="24">
        <f>SUM('- 24 -'!D30,'- 24 -'!B30)</f>
        <v>0</v>
      </c>
      <c r="I30" s="350">
        <f>H30/'- 3 -'!D30*100</f>
        <v>0</v>
      </c>
    </row>
    <row r="31" spans="1:9" ht="14.1" customHeight="1">
      <c r="A31" s="357" t="s">
        <v>249</v>
      </c>
      <c r="B31" s="358">
        <f>SUM('- 18 -'!B31,'- 18 -'!E31,'- 19 -'!B31,'- 19 -'!E31,'- 19 -'!H31,'- 20 -'!B31)</f>
        <v>19836474</v>
      </c>
      <c r="C31" s="359">
        <f>B31/'- 3 -'!D31*100</f>
        <v>56.71509101731165</v>
      </c>
      <c r="D31" s="358">
        <f>B31/'- 7 -'!C31</f>
        <v>6216.3816985271078</v>
      </c>
      <c r="E31" s="358">
        <f>SUM('- 21 -'!B31,'- 21 -'!E31,'- 21 -'!H31,'- 22 -'!B31,'- 22 -'!D31,'- 22 -'!G31,'- 23 -'!B31)</f>
        <v>6939836</v>
      </c>
      <c r="F31" s="359">
        <f>E31/'- 3 -'!D31*100</f>
        <v>19.841904886181684</v>
      </c>
      <c r="G31" s="358">
        <f>E31/'- 7 -'!F31</f>
        <v>2174.8154183641491</v>
      </c>
      <c r="H31" s="358">
        <f>SUM('- 24 -'!D31,'- 24 -'!B31)</f>
        <v>0</v>
      </c>
      <c r="I31" s="359">
        <f>H31/'- 3 -'!D31*100</f>
        <v>0</v>
      </c>
    </row>
    <row r="32" spans="1:9" ht="14.1" customHeight="1">
      <c r="A32" s="23" t="s">
        <v>250</v>
      </c>
      <c r="B32" s="24">
        <f>SUM('- 18 -'!B32,'- 18 -'!E32,'- 19 -'!B32,'- 19 -'!E32,'- 19 -'!H32,'- 20 -'!B32)</f>
        <v>15414609</v>
      </c>
      <c r="C32" s="350">
        <f>B32/'- 3 -'!D32*100</f>
        <v>57.911170914307398</v>
      </c>
      <c r="D32" s="24">
        <f>B32/'- 7 -'!C32</f>
        <v>7328.0765391014975</v>
      </c>
      <c r="E32" s="24">
        <f>SUM('- 21 -'!B32,'- 21 -'!E32,'- 21 -'!H32,'- 22 -'!B32,'- 22 -'!D32,'- 22 -'!G32,'- 23 -'!B32)</f>
        <v>3977784</v>
      </c>
      <c r="F32" s="350">
        <f>E32/'- 3 -'!D32*100</f>
        <v>14.944143512443123</v>
      </c>
      <c r="G32" s="24">
        <f>E32/'- 7 -'!F32</f>
        <v>1891.0311385785596</v>
      </c>
      <c r="H32" s="24">
        <f>SUM('- 24 -'!D32,'- 24 -'!B32)</f>
        <v>257875</v>
      </c>
      <c r="I32" s="350">
        <f>H32/'- 3 -'!D32*100</f>
        <v>0.96881102852021883</v>
      </c>
    </row>
    <row r="33" spans="1:10" ht="14.1" customHeight="1">
      <c r="A33" s="357" t="s">
        <v>251</v>
      </c>
      <c r="B33" s="358">
        <f>SUM('- 18 -'!B33,'- 18 -'!E33,'- 19 -'!B33,'- 19 -'!E33,'- 19 -'!H33,'- 20 -'!B33)</f>
        <v>15508300</v>
      </c>
      <c r="C33" s="359">
        <f>B33/'- 3 -'!D33*100</f>
        <v>57.224670455298529</v>
      </c>
      <c r="D33" s="358">
        <f>B33/'- 7 -'!C33</f>
        <v>7779.433157762729</v>
      </c>
      <c r="E33" s="358">
        <f>SUM('- 21 -'!B33,'- 21 -'!E33,'- 21 -'!H33,'- 22 -'!B33,'- 22 -'!D33,'- 22 -'!G33,'- 23 -'!B33)</f>
        <v>3648400</v>
      </c>
      <c r="F33" s="359">
        <f>E33/'- 3 -'!D33*100</f>
        <v>13.46237096839184</v>
      </c>
      <c r="G33" s="358">
        <f>E33/'- 7 -'!F33</f>
        <v>1830.1479809380487</v>
      </c>
      <c r="H33" s="358">
        <f>SUM('- 24 -'!D33,'- 24 -'!B33)</f>
        <v>0</v>
      </c>
      <c r="I33" s="359">
        <f>H33/'- 3 -'!D33*100</f>
        <v>0</v>
      </c>
    </row>
    <row r="34" spans="1:10" ht="14.1" customHeight="1">
      <c r="A34" s="23" t="s">
        <v>252</v>
      </c>
      <c r="B34" s="24">
        <f>SUM('- 18 -'!B34,'- 18 -'!E34,'- 19 -'!B34,'- 19 -'!E34,'- 19 -'!H34,'- 20 -'!B34)</f>
        <v>14762552</v>
      </c>
      <c r="C34" s="350">
        <f>B34/'- 3 -'!D34*100</f>
        <v>56.060886788395223</v>
      </c>
      <c r="D34" s="24">
        <f>B34/'- 7 -'!C34</f>
        <v>7435.1810627046088</v>
      </c>
      <c r="E34" s="24">
        <f>SUM('- 21 -'!B34,'- 21 -'!E34,'- 21 -'!H34,'- 22 -'!B34,'- 22 -'!D34,'- 22 -'!G34,'- 23 -'!B34)</f>
        <v>4065957</v>
      </c>
      <c r="F34" s="350">
        <f>E34/'- 3 -'!D34*100</f>
        <v>15.440498029303004</v>
      </c>
      <c r="G34" s="24">
        <f>E34/'- 7 -'!F34</f>
        <v>2047.8252329388063</v>
      </c>
      <c r="H34" s="24">
        <f>SUM('- 24 -'!D34,'- 24 -'!B34)</f>
        <v>0</v>
      </c>
      <c r="I34" s="350">
        <f>H34/'- 3 -'!D34*100</f>
        <v>0</v>
      </c>
    </row>
    <row r="35" spans="1:10" ht="14.1" customHeight="1">
      <c r="A35" s="357" t="s">
        <v>253</v>
      </c>
      <c r="B35" s="358">
        <f>SUM('- 18 -'!B35,'- 18 -'!E35,'- 19 -'!B35,'- 19 -'!E35,'- 19 -'!H35,'- 20 -'!B35)</f>
        <v>97742404</v>
      </c>
      <c r="C35" s="359">
        <f>B35/'- 3 -'!D35*100</f>
        <v>57.342498129550613</v>
      </c>
      <c r="D35" s="358">
        <f>B35/'- 7 -'!C35</f>
        <v>6307.1822933470994</v>
      </c>
      <c r="E35" s="358">
        <f>SUM('- 21 -'!B35,'- 21 -'!E35,'- 21 -'!H35,'- 22 -'!B35,'- 22 -'!D35,'- 22 -'!G35,'- 23 -'!B35)</f>
        <v>32611527</v>
      </c>
      <c r="F35" s="359">
        <f>E35/'- 3 -'!D35*100</f>
        <v>19.132191858093538</v>
      </c>
      <c r="G35" s="358">
        <f>E35/'- 7 -'!F35</f>
        <v>2104.3767826030844</v>
      </c>
      <c r="H35" s="358">
        <f>SUM('- 24 -'!D35,'- 24 -'!B35)</f>
        <v>0</v>
      </c>
      <c r="I35" s="359">
        <f>H35/'- 3 -'!D35*100</f>
        <v>0</v>
      </c>
    </row>
    <row r="36" spans="1:10" ht="14.1" customHeight="1">
      <c r="A36" s="23" t="s">
        <v>254</v>
      </c>
      <c r="B36" s="24">
        <f>SUM('- 18 -'!B36,'- 18 -'!E36,'- 19 -'!B36,'- 19 -'!E36,'- 19 -'!H36,'- 20 -'!B36)</f>
        <v>12842040</v>
      </c>
      <c r="C36" s="350">
        <f>B36/'- 3 -'!D36*100</f>
        <v>58.053417385909135</v>
      </c>
      <c r="D36" s="24">
        <f>B36/'- 7 -'!C36</f>
        <v>7790.1364877161059</v>
      </c>
      <c r="E36" s="24">
        <f>SUM('- 21 -'!B36,'- 21 -'!E36,'- 21 -'!H36,'- 22 -'!B36,'- 22 -'!D36,'- 22 -'!G36,'- 23 -'!B36)</f>
        <v>2947900</v>
      </c>
      <c r="F36" s="350">
        <f>E36/'- 3 -'!D36*100</f>
        <v>13.326205891892688</v>
      </c>
      <c r="G36" s="24">
        <f>E36/'- 7 -'!F36</f>
        <v>1788.2317258113437</v>
      </c>
      <c r="H36" s="24">
        <f>SUM('- 24 -'!D36,'- 24 -'!B36)</f>
        <v>0</v>
      </c>
      <c r="I36" s="350">
        <f>H36/'- 3 -'!D36*100</f>
        <v>0</v>
      </c>
    </row>
    <row r="37" spans="1:10" ht="14.1" customHeight="1">
      <c r="A37" s="357" t="s">
        <v>255</v>
      </c>
      <c r="B37" s="358">
        <f>SUM('- 18 -'!B37,'- 18 -'!E37,'- 19 -'!B37,'- 19 -'!E37,'- 19 -'!H37,'- 20 -'!B37)</f>
        <v>25499227</v>
      </c>
      <c r="C37" s="359">
        <f>B37/'- 3 -'!D37*100</f>
        <v>57.04212408939555</v>
      </c>
      <c r="D37" s="358">
        <f>B37/'- 7 -'!C37</f>
        <v>6515.7089561773346</v>
      </c>
      <c r="E37" s="358">
        <f>SUM('- 21 -'!B37,'- 21 -'!E37,'- 21 -'!H37,'- 22 -'!B37,'- 22 -'!D37,'- 22 -'!G37,'- 23 -'!B37)</f>
        <v>7885487</v>
      </c>
      <c r="F37" s="359">
        <f>E37/'- 3 -'!D37*100</f>
        <v>17.639943671991134</v>
      </c>
      <c r="G37" s="358">
        <f>E37/'- 7 -'!F37</f>
        <v>2014.944934202121</v>
      </c>
      <c r="H37" s="358">
        <f>SUM('- 24 -'!D37,'- 24 -'!B37)</f>
        <v>0</v>
      </c>
      <c r="I37" s="359">
        <f>H37/'- 3 -'!D37*100</f>
        <v>0</v>
      </c>
    </row>
    <row r="38" spans="1:10" ht="14.1" customHeight="1">
      <c r="A38" s="23" t="s">
        <v>256</v>
      </c>
      <c r="B38" s="24">
        <f>SUM('- 18 -'!B38,'- 18 -'!E38,'- 19 -'!B38,'- 19 -'!E38,'- 19 -'!H38,'- 20 -'!B38)</f>
        <v>73210565</v>
      </c>
      <c r="C38" s="350">
        <f>B38/'- 3 -'!D38*100</f>
        <v>59.878274892487184</v>
      </c>
      <c r="D38" s="24">
        <f>B38/'- 7 -'!C38</f>
        <v>6825.8416857022985</v>
      </c>
      <c r="E38" s="24">
        <f>SUM('- 21 -'!B38,'- 21 -'!E38,'- 21 -'!H38,'- 22 -'!B38,'- 22 -'!D38,'- 22 -'!G38,'- 23 -'!B38)</f>
        <v>19888930</v>
      </c>
      <c r="F38" s="350">
        <f>E38/'- 3 -'!D38*100</f>
        <v>16.266980289763303</v>
      </c>
      <c r="G38" s="24">
        <f>E38/'- 7 -'!F38</f>
        <v>1854.359237331593</v>
      </c>
      <c r="H38" s="24">
        <f>SUM('- 24 -'!D38,'- 24 -'!B38)</f>
        <v>701730</v>
      </c>
      <c r="I38" s="350">
        <f>H38/'- 3 -'!D38*100</f>
        <v>0.57393877291214768</v>
      </c>
    </row>
    <row r="39" spans="1:10" ht="14.1" customHeight="1">
      <c r="A39" s="357" t="s">
        <v>257</v>
      </c>
      <c r="B39" s="358">
        <f>SUM('- 18 -'!B39,'- 18 -'!E39,'- 19 -'!B39,'- 19 -'!E39,'- 19 -'!H39,'- 20 -'!B39)</f>
        <v>11505314</v>
      </c>
      <c r="C39" s="359">
        <f>B39/'- 3 -'!D39*100</f>
        <v>55.160007118586996</v>
      </c>
      <c r="D39" s="358">
        <f>B39/'- 7 -'!C39</f>
        <v>7420.3895517574974</v>
      </c>
      <c r="E39" s="358">
        <f>SUM('- 21 -'!B39,'- 21 -'!E39,'- 21 -'!H39,'- 22 -'!B39,'- 22 -'!D39,'- 22 -'!G39,'- 23 -'!B39)</f>
        <v>2999960</v>
      </c>
      <c r="F39" s="359">
        <f>E39/'- 3 -'!D39*100</f>
        <v>14.382729141983978</v>
      </c>
      <c r="G39" s="358">
        <f>E39/'- 7 -'!F39</f>
        <v>1934.8339245404709</v>
      </c>
      <c r="H39" s="358">
        <f>SUM('- 24 -'!D39,'- 24 -'!B39)</f>
        <v>0</v>
      </c>
      <c r="I39" s="359">
        <f>H39/'- 3 -'!D39*100</f>
        <v>0</v>
      </c>
    </row>
    <row r="40" spans="1:10" ht="14.1" customHeight="1">
      <c r="A40" s="23" t="s">
        <v>258</v>
      </c>
      <c r="B40" s="24">
        <f>SUM('- 18 -'!B40,'- 18 -'!E40,'- 19 -'!B40,'- 19 -'!E40,'- 19 -'!H40,'- 20 -'!B40)</f>
        <v>56144260</v>
      </c>
      <c r="C40" s="350">
        <f>B40/'- 3 -'!D40*100</f>
        <v>56.559147932887257</v>
      </c>
      <c r="D40" s="24">
        <f>B40/'- 7 -'!C40</f>
        <v>7070.2729794771112</v>
      </c>
      <c r="E40" s="24">
        <f>SUM('- 21 -'!B40,'- 21 -'!E40,'- 21 -'!H40,'- 22 -'!B40,'- 22 -'!D40,'- 22 -'!G40,'- 23 -'!B40)</f>
        <v>21119644</v>
      </c>
      <c r="F40" s="350">
        <f>E40/'- 3 -'!D40*100</f>
        <v>21.275711342279955</v>
      </c>
      <c r="G40" s="24">
        <f>E40/'- 7 -'!F40</f>
        <v>2659.606668773903</v>
      </c>
      <c r="H40" s="24">
        <f>SUM('- 24 -'!D40,'- 24 -'!B40)</f>
        <v>0</v>
      </c>
      <c r="I40" s="350">
        <f>H40/'- 3 -'!D40*100</f>
        <v>0</v>
      </c>
    </row>
    <row r="41" spans="1:10" ht="14.1" customHeight="1">
      <c r="A41" s="357" t="s">
        <v>259</v>
      </c>
      <c r="B41" s="358">
        <f>SUM('- 18 -'!B41,'- 18 -'!E41,'- 19 -'!B41,'- 19 -'!E41,'- 19 -'!H41,'- 20 -'!B41)</f>
        <v>31963528</v>
      </c>
      <c r="C41" s="359">
        <f>B41/'- 3 -'!D41*100</f>
        <v>53.825465169253484</v>
      </c>
      <c r="D41" s="358">
        <f>B41/'- 7 -'!C41</f>
        <v>7287.6260829913363</v>
      </c>
      <c r="E41" s="358">
        <f>SUM('- 21 -'!B41,'- 21 -'!E41,'- 21 -'!H41,'- 22 -'!B41,'- 22 -'!D41,'- 22 -'!G41,'- 23 -'!B41)</f>
        <v>11135427</v>
      </c>
      <c r="F41" s="359">
        <f>E41/'- 3 -'!D41*100</f>
        <v>18.751670282869423</v>
      </c>
      <c r="G41" s="358">
        <f>E41/'- 7 -'!F41</f>
        <v>2538.857045143639</v>
      </c>
      <c r="H41" s="358">
        <f>SUM('- 24 -'!D41,'- 24 -'!B41)</f>
        <v>980175</v>
      </c>
      <c r="I41" s="359">
        <f>H41/'- 3 -'!D41*100</f>
        <v>1.6505804779207423</v>
      </c>
    </row>
    <row r="42" spans="1:10" ht="14.1" customHeight="1">
      <c r="A42" s="23" t="s">
        <v>260</v>
      </c>
      <c r="B42" s="24">
        <f>SUM('- 18 -'!B42,'- 18 -'!E42,'- 19 -'!B42,'- 19 -'!E42,'- 19 -'!H42,'- 20 -'!B42)</f>
        <v>11114830</v>
      </c>
      <c r="C42" s="350">
        <f>B42/'- 3 -'!D42*100</f>
        <v>54.585808435308614</v>
      </c>
      <c r="D42" s="24">
        <f>B42/'- 7 -'!C42</f>
        <v>7930.6671423474845</v>
      </c>
      <c r="E42" s="24">
        <f>SUM('- 21 -'!B42,'- 21 -'!E42,'- 21 -'!H42,'- 22 -'!B42,'- 22 -'!D42,'- 22 -'!G42,'- 23 -'!B42)</f>
        <v>3468118</v>
      </c>
      <c r="F42" s="350">
        <f>E42/'- 3 -'!D42*100</f>
        <v>17.03220155225457</v>
      </c>
      <c r="G42" s="24">
        <f>E42/'- 7 -'!F42</f>
        <v>2474.5758116303959</v>
      </c>
      <c r="H42" s="24">
        <f>SUM('- 24 -'!D42,'- 24 -'!B42)</f>
        <v>0</v>
      </c>
      <c r="I42" s="350">
        <f>H42/'- 3 -'!D42*100</f>
        <v>0</v>
      </c>
    </row>
    <row r="43" spans="1:10" ht="14.1" customHeight="1">
      <c r="A43" s="357" t="s">
        <v>261</v>
      </c>
      <c r="B43" s="358">
        <f>SUM('- 18 -'!B43,'- 18 -'!E43,'- 19 -'!B43,'- 19 -'!E43,'- 19 -'!H43,'- 20 -'!B43)</f>
        <v>6690660</v>
      </c>
      <c r="C43" s="359">
        <f>B43/'- 3 -'!D43*100</f>
        <v>53.766822071473882</v>
      </c>
      <c r="D43" s="358">
        <f>B43/'- 7 -'!C43</f>
        <v>6969.4375</v>
      </c>
      <c r="E43" s="358">
        <f>SUM('- 21 -'!B43,'- 21 -'!E43,'- 21 -'!H43,'- 22 -'!B43,'- 22 -'!D43,'- 22 -'!G43,'- 23 -'!B43)</f>
        <v>2154886</v>
      </c>
      <c r="F43" s="359">
        <f>E43/'- 3 -'!D43*100</f>
        <v>17.316882362324506</v>
      </c>
      <c r="G43" s="358">
        <f>E43/'- 7 -'!F43</f>
        <v>2244.6729166666669</v>
      </c>
      <c r="H43" s="358">
        <f>SUM('- 24 -'!D43,'- 24 -'!B43)</f>
        <v>218669</v>
      </c>
      <c r="I43" s="359">
        <f>H43/'- 3 -'!D43*100</f>
        <v>1.7572462530672794</v>
      </c>
    </row>
    <row r="44" spans="1:10" ht="14.1" customHeight="1">
      <c r="A44" s="23" t="s">
        <v>262</v>
      </c>
      <c r="B44" s="24">
        <f>SUM('- 18 -'!B44,'- 18 -'!E44,'- 19 -'!B44,'- 19 -'!E44,'- 19 -'!H44,'- 20 -'!B44)</f>
        <v>5904480</v>
      </c>
      <c r="C44" s="350">
        <f>B44/'- 3 -'!D44*100</f>
        <v>54.851292528243015</v>
      </c>
      <c r="D44" s="24">
        <f>B44/'- 7 -'!C44</f>
        <v>8410.9401709401718</v>
      </c>
      <c r="E44" s="24">
        <f>SUM('- 21 -'!B44,'- 21 -'!E44,'- 21 -'!H44,'- 22 -'!B44,'- 22 -'!D44,'- 22 -'!G44,'- 23 -'!B44)</f>
        <v>1828308</v>
      </c>
      <c r="F44" s="350">
        <f>E44/'- 3 -'!D44*100</f>
        <v>16.984570519288223</v>
      </c>
      <c r="G44" s="24">
        <f>E44/'- 7 -'!F44</f>
        <v>2604.4273504273506</v>
      </c>
      <c r="H44" s="24">
        <f>SUM('- 24 -'!D44,'- 24 -'!B44)</f>
        <v>0</v>
      </c>
      <c r="I44" s="350">
        <f>H44/'- 3 -'!D44*100</f>
        <v>0</v>
      </c>
    </row>
    <row r="45" spans="1:10" ht="14.1" customHeight="1">
      <c r="A45" s="357" t="s">
        <v>263</v>
      </c>
      <c r="B45" s="358">
        <f>SUM('- 18 -'!B45,'- 18 -'!E45,'- 19 -'!B45,'- 19 -'!E45,'- 19 -'!H45,'- 20 -'!B45)</f>
        <v>10368119</v>
      </c>
      <c r="C45" s="359">
        <f>B45/'- 3 -'!D45*100</f>
        <v>59.052304545551372</v>
      </c>
      <c r="D45" s="358">
        <f>B45/'- 7 -'!C45</f>
        <v>6167.828078524688</v>
      </c>
      <c r="E45" s="358">
        <f>SUM('- 21 -'!B45,'- 21 -'!E45,'- 21 -'!H45,'- 22 -'!B45,'- 22 -'!D45,'- 22 -'!G45,'- 23 -'!B45)</f>
        <v>2736669</v>
      </c>
      <c r="F45" s="359">
        <f>E45/'- 3 -'!D45*100</f>
        <v>15.586878509821265</v>
      </c>
      <c r="G45" s="358">
        <f>E45/'- 7 -'!F45</f>
        <v>1628.0005948839976</v>
      </c>
      <c r="H45" s="358">
        <f>SUM('- 24 -'!D45,'- 24 -'!B45)</f>
        <v>385499</v>
      </c>
      <c r="I45" s="359">
        <f>H45/'- 3 -'!D45*100</f>
        <v>2.1956349411118357</v>
      </c>
    </row>
    <row r="46" spans="1:10" ht="14.1" customHeight="1">
      <c r="A46" s="23" t="s">
        <v>264</v>
      </c>
      <c r="B46" s="24">
        <f>SUM('- 18 -'!B46,'- 18 -'!E46,'- 19 -'!B46,'- 19 -'!E46,'- 19 -'!H46,'- 20 -'!B46)</f>
        <v>193936100</v>
      </c>
      <c r="C46" s="350">
        <f>B46/'- 3 -'!D46*100</f>
        <v>52.45572319569267</v>
      </c>
      <c r="D46" s="24">
        <f>B46/'- 7 -'!C46</f>
        <v>6413.6550036378067</v>
      </c>
      <c r="E46" s="24">
        <f>SUM('- 21 -'!B46,'- 21 -'!E46,'- 21 -'!H46,'- 22 -'!B46,'- 22 -'!D46,'- 22 -'!G46,'- 23 -'!B46)</f>
        <v>87441700</v>
      </c>
      <c r="F46" s="350">
        <f>E46/'- 3 -'!D46*100</f>
        <v>23.651180007027055</v>
      </c>
      <c r="G46" s="24">
        <f>E46/'- 7 -'!F46</f>
        <v>2891.7818638798863</v>
      </c>
      <c r="H46" s="24">
        <f>SUM('- 24 -'!D46,'- 24 -'!B46)</f>
        <v>756700</v>
      </c>
      <c r="I46" s="350">
        <f>H46/'- 3 -'!D46*100</f>
        <v>0.20467177458029034</v>
      </c>
    </row>
    <row r="47" spans="1:10" ht="5.0999999999999996" customHeight="1">
      <c r="A47"/>
      <c r="B47"/>
      <c r="C47"/>
      <c r="D47"/>
      <c r="E47"/>
      <c r="F47"/>
      <c r="G47"/>
      <c r="H47"/>
      <c r="I47"/>
      <c r="J47"/>
    </row>
    <row r="48" spans="1:10" ht="14.1" customHeight="1">
      <c r="A48" s="360" t="s">
        <v>265</v>
      </c>
      <c r="B48" s="361">
        <f>SUM(B11:B46)</f>
        <v>1190585856</v>
      </c>
      <c r="C48" s="362">
        <f>B48/'- 3 -'!D48*100</f>
        <v>55.486992177070725</v>
      </c>
      <c r="D48" s="361">
        <f>B48/'- 7 -'!C48</f>
        <v>6887.7402783129055</v>
      </c>
      <c r="E48" s="361">
        <f>SUM(E11:E46)</f>
        <v>398611522</v>
      </c>
      <c r="F48" s="362">
        <f>E48/'- 3 -'!D48*100</f>
        <v>18.577202384390038</v>
      </c>
      <c r="G48" s="361">
        <f>E48/'- 7 -'!F48</f>
        <v>2306.0349840734298</v>
      </c>
      <c r="H48" s="361">
        <f>SUM(H11:H46)</f>
        <v>7462901</v>
      </c>
      <c r="I48" s="362">
        <f>H48/'- 3 -'!D48*100</f>
        <v>0.3478068610662659</v>
      </c>
    </row>
    <row r="49" spans="1:9" ht="5.0999999999999996" customHeight="1">
      <c r="A49" s="25" t="s">
        <v>3</v>
      </c>
      <c r="B49" s="26"/>
      <c r="C49" s="349"/>
      <c r="D49" s="26"/>
      <c r="E49" s="26"/>
      <c r="F49" s="349"/>
      <c r="H49" s="26"/>
      <c r="I49" s="349"/>
    </row>
    <row r="50" spans="1:9" ht="14.1" customHeight="1">
      <c r="A50" s="23" t="s">
        <v>266</v>
      </c>
      <c r="B50" s="24">
        <f>SUM('- 18 -'!B50,'- 18 -'!E50,'- 19 -'!B50,'- 19 -'!E50,'- 19 -'!H50,'- 20 -'!B50)</f>
        <v>1932558</v>
      </c>
      <c r="C50" s="350">
        <f>B50/'- 3 -'!D50*100</f>
        <v>57.457302997977088</v>
      </c>
      <c r="D50" s="24">
        <f>B50/'- 7 -'!C50</f>
        <v>11043.188571428571</v>
      </c>
      <c r="E50" s="24">
        <f>SUM('- 21 -'!B50,'- 21 -'!E50,'- 21 -'!H50,'- 22 -'!B50,'- 22 -'!D50,'- 22 -'!G50,'- 23 -'!B50)</f>
        <v>545948</v>
      </c>
      <c r="F50" s="350">
        <f>E50/'- 3 -'!D50*100</f>
        <v>16.231698948823059</v>
      </c>
      <c r="G50" s="24">
        <f>E50/'- 7 -'!F50</f>
        <v>3119.7028571428573</v>
      </c>
      <c r="H50" s="24">
        <f>SUM('- 24 -'!D50,'- 24 -'!B50)</f>
        <v>0</v>
      </c>
      <c r="I50" s="350">
        <f>H50/'- 3 -'!D50*100</f>
        <v>0</v>
      </c>
    </row>
    <row r="51" spans="1:9" ht="14.1" customHeight="1">
      <c r="A51" s="511" t="s">
        <v>691</v>
      </c>
      <c r="B51" s="358">
        <f>SUM('- 18 -'!B51,'- 18 -'!E51,'- 19 -'!B51,'- 19 -'!E51,'- 19 -'!H51,'- 20 -'!B51)</f>
        <v>4843311</v>
      </c>
      <c r="C51" s="359">
        <f>B51/'- 3 -'!D51*100</f>
        <v>21.514063732798185</v>
      </c>
      <c r="D51" s="358">
        <f>B51/'- 7 -'!C51</f>
        <v>7799.2125603864733</v>
      </c>
      <c r="E51" s="358">
        <f>SUM('- 21 -'!B51,'- 21 -'!E51,'- 21 -'!H51,'- 22 -'!B51,'- 22 -'!D51,'- 22 -'!G51,'- 23 -'!B51)</f>
        <v>834202</v>
      </c>
      <c r="F51" s="359">
        <f>E51/'- 3 -'!D51*100</f>
        <v>3.7055384207265876</v>
      </c>
      <c r="G51" s="358">
        <f>E51/'- 7 -'!F51</f>
        <v>1343.3204508856684</v>
      </c>
      <c r="H51" s="358">
        <f>SUM('- 24 -'!D51,'- 24 -'!B51)</f>
        <v>2748342</v>
      </c>
      <c r="I51" s="359">
        <f>H51/'- 3 -'!D51*100</f>
        <v>12.208178443945892</v>
      </c>
    </row>
    <row r="52" spans="1:9" ht="50.1" customHeight="1">
      <c r="A52"/>
      <c r="B52"/>
      <c r="C52"/>
      <c r="D52"/>
      <c r="E52"/>
      <c r="F52"/>
      <c r="G52"/>
      <c r="H52"/>
      <c r="I52"/>
    </row>
    <row r="53" spans="1:9" ht="15" customHeight="1">
      <c r="A53" s="604"/>
      <c r="B53" s="604"/>
      <c r="C53" s="604"/>
      <c r="D53" s="604"/>
      <c r="E53" s="604"/>
      <c r="F53" s="604"/>
      <c r="G53" s="604"/>
      <c r="H53" s="604"/>
      <c r="I53" s="604"/>
    </row>
    <row r="54" spans="1:9" ht="14.45" customHeight="1">
      <c r="B54" s="92"/>
      <c r="C54" s="92"/>
      <c r="E54" s="92"/>
      <c r="F54" s="92"/>
      <c r="H54" s="92"/>
      <c r="I54" s="92"/>
    </row>
    <row r="55" spans="1:9" ht="14.45" customHeight="1"/>
    <row r="56" spans="1:9" ht="14.45" customHeight="1"/>
    <row r="57" spans="1:9" ht="14.45" customHeight="1"/>
    <row r="58" spans="1:9" ht="14.45" customHeight="1"/>
    <row r="59" spans="1:9" ht="14.45" customHeight="1"/>
  </sheetData>
  <phoneticPr fontId="0" type="noConversion"/>
  <printOptions horizontalCentered="1"/>
  <pageMargins left="0.51181102362204722" right="0.51181102362204722" top="0.59055118110236227" bottom="0" header="0.31496062992125984" footer="0"/>
  <pageSetup scale="90" firstPageNumber="14" orientation="portrait" r:id="rId1"/>
  <headerFooter alignWithMargins="0">
    <oddHeader>&amp;C&amp;"Arial,Bold"&amp;10&amp;A</oddHeader>
  </headerFooter>
</worksheet>
</file>

<file path=xl/worksheets/sheet12.xml><?xml version="1.0" encoding="utf-8"?>
<worksheet xmlns="http://schemas.openxmlformats.org/spreadsheetml/2006/main" xmlns:r="http://schemas.openxmlformats.org/officeDocument/2006/relationships">
  <sheetPr codeName="Sheet11">
    <pageSetUpPr fitToPage="1"/>
  </sheetPr>
  <dimension ref="A1:J59"/>
  <sheetViews>
    <sheetView showGridLines="0" showZeros="0" workbookViewId="0"/>
  </sheetViews>
  <sheetFormatPr defaultColWidth="15.83203125" defaultRowHeight="12"/>
  <cols>
    <col min="1" max="1" width="30" style="1" customWidth="1"/>
    <col min="2" max="2" width="16.1640625" style="1" customWidth="1"/>
    <col min="3" max="3" width="10.1640625" style="1" customWidth="1"/>
    <col min="4" max="4" width="16.33203125" style="1" customWidth="1"/>
    <col min="5" max="5" width="8.83203125" style="1" customWidth="1"/>
    <col min="6" max="6" width="9.83203125" style="1" customWidth="1"/>
    <col min="7" max="7" width="12" style="1" bestFit="1" customWidth="1"/>
    <col min="8" max="8" width="8.83203125" style="1" customWidth="1"/>
    <col min="9" max="9" width="9.83203125" style="1" customWidth="1"/>
    <col min="10" max="16384" width="15.83203125" style="1"/>
  </cols>
  <sheetData>
    <row r="1" spans="1:9" ht="6.95" customHeight="1">
      <c r="A1" s="3"/>
      <c r="B1" s="4"/>
      <c r="C1" s="4"/>
      <c r="D1" s="4"/>
      <c r="E1" s="4"/>
      <c r="F1" s="4"/>
      <c r="G1" s="4"/>
      <c r="H1" s="4"/>
      <c r="I1" s="4"/>
    </row>
    <row r="2" spans="1:9" ht="15.95" customHeight="1">
      <c r="A2" s="159"/>
      <c r="B2" s="5" t="s">
        <v>478</v>
      </c>
      <c r="C2" s="6"/>
      <c r="D2" s="6"/>
      <c r="E2" s="6"/>
      <c r="F2" s="6"/>
      <c r="G2" s="106"/>
      <c r="H2" s="117"/>
      <c r="I2" s="182" t="s">
        <v>4</v>
      </c>
    </row>
    <row r="3" spans="1:9" ht="15.95" customHeight="1">
      <c r="A3" s="162"/>
      <c r="B3" s="7" t="str">
        <f>OPYEAR</f>
        <v>OPERATING FUND 2014/2015 BUDGET</v>
      </c>
      <c r="C3" s="8"/>
      <c r="D3" s="8"/>
      <c r="E3" s="8"/>
      <c r="F3" s="8"/>
      <c r="G3" s="108"/>
      <c r="H3" s="101"/>
      <c r="I3" s="101"/>
    </row>
    <row r="4" spans="1:9" ht="15.95" customHeight="1">
      <c r="B4" s="4"/>
      <c r="C4" s="4"/>
      <c r="D4" s="4"/>
      <c r="E4" s="4"/>
      <c r="F4" s="4"/>
      <c r="G4" s="4"/>
      <c r="H4" s="4"/>
      <c r="I4" s="4"/>
    </row>
    <row r="5" spans="1:9" ht="15.95" customHeight="1">
      <c r="B5" s="4"/>
      <c r="C5" s="4"/>
      <c r="D5" s="4"/>
      <c r="E5" s="4"/>
      <c r="F5" s="4"/>
      <c r="G5" s="4"/>
      <c r="H5" s="4"/>
      <c r="I5" s="4"/>
    </row>
    <row r="6" spans="1:9" ht="15.95" customHeight="1">
      <c r="B6" s="351" t="s">
        <v>50</v>
      </c>
      <c r="C6" s="352"/>
      <c r="D6" s="351" t="s">
        <v>180</v>
      </c>
      <c r="E6" s="352"/>
      <c r="F6" s="353"/>
      <c r="G6" s="351" t="s">
        <v>460</v>
      </c>
      <c r="H6" s="352"/>
      <c r="I6" s="353"/>
    </row>
    <row r="7" spans="1:9" ht="15.95" customHeight="1">
      <c r="B7" s="354" t="s">
        <v>210</v>
      </c>
      <c r="C7" s="355"/>
      <c r="D7" s="354" t="s">
        <v>30</v>
      </c>
      <c r="E7" s="355"/>
      <c r="F7" s="356"/>
      <c r="G7" s="354" t="s">
        <v>36</v>
      </c>
      <c r="H7" s="355"/>
      <c r="I7" s="356"/>
    </row>
    <row r="8" spans="1:9" ht="15.95" customHeight="1">
      <c r="A8" s="102"/>
      <c r="B8" s="10" t="s">
        <v>3</v>
      </c>
      <c r="C8" s="233"/>
      <c r="D8" s="168"/>
      <c r="E8" s="167"/>
      <c r="F8" s="167" t="s">
        <v>60</v>
      </c>
      <c r="G8" s="168"/>
      <c r="H8" s="167"/>
      <c r="I8" s="167" t="s">
        <v>60</v>
      </c>
    </row>
    <row r="9" spans="1:9" ht="15.95" customHeight="1">
      <c r="A9" s="35" t="s">
        <v>81</v>
      </c>
      <c r="B9" s="113" t="s">
        <v>82</v>
      </c>
      <c r="C9" s="113" t="s">
        <v>83</v>
      </c>
      <c r="D9" s="113" t="s">
        <v>82</v>
      </c>
      <c r="E9" s="113" t="s">
        <v>83</v>
      </c>
      <c r="F9" s="113" t="s">
        <v>84</v>
      </c>
      <c r="G9" s="113" t="s">
        <v>82</v>
      </c>
      <c r="H9" s="113" t="s">
        <v>83</v>
      </c>
      <c r="I9" s="113" t="s">
        <v>84</v>
      </c>
    </row>
    <row r="10" spans="1:9" ht="5.0999999999999996" customHeight="1">
      <c r="A10" s="37"/>
    </row>
    <row r="11" spans="1:9" ht="14.1" customHeight="1">
      <c r="A11" s="357" t="s">
        <v>230</v>
      </c>
      <c r="B11" s="358">
        <f>SUM('- 25 -'!H11,'- 25 -'!F11,'- 25 -'!D11,'- 25 -'!B11)</f>
        <v>19152</v>
      </c>
      <c r="C11" s="359">
        <f>B11/'- 3 -'!D11*100</f>
        <v>0.11025682032732322</v>
      </c>
      <c r="D11" s="358">
        <f>SUM('- 26 -'!B11,'- 26 -'!E11,'- 26 -'!H11,'- 27 -'!B11)</f>
        <v>639490</v>
      </c>
      <c r="E11" s="359">
        <f>D11/'- 3 -'!D11*100</f>
        <v>3.6815024034628197</v>
      </c>
      <c r="F11" s="358">
        <f>D11/'- 7 -'!F11</f>
        <v>413.5079211121888</v>
      </c>
      <c r="G11" s="358">
        <f>SUM('- 28 -'!B11,'- 28 -'!E11,'- 28 -'!H11,'- 29 -'!B11,'- 29 -'!E11)</f>
        <v>361541</v>
      </c>
      <c r="H11" s="359">
        <f>G11/'- 3 -'!D11*100</f>
        <v>2.0813680596261883</v>
      </c>
      <c r="I11" s="358">
        <f>G11/'- 7 -'!F11</f>
        <v>233.78014872292272</v>
      </c>
    </row>
    <row r="12" spans="1:9" ht="14.1" customHeight="1">
      <c r="A12" s="23" t="s">
        <v>231</v>
      </c>
      <c r="B12" s="24">
        <f>SUM('- 25 -'!H12,'- 25 -'!F12,'- 25 -'!D12,'- 25 -'!B12)</f>
        <v>51361</v>
      </c>
      <c r="C12" s="350">
        <f>B12/'- 3 -'!D12*100</f>
        <v>0.16324178654104668</v>
      </c>
      <c r="D12" s="24">
        <f>SUM('- 26 -'!B12,'- 26 -'!E12,'- 26 -'!H12,'- 27 -'!B12)</f>
        <v>1066895</v>
      </c>
      <c r="E12" s="350">
        <f>D12/'- 3 -'!D12*100</f>
        <v>3.390935648677206</v>
      </c>
      <c r="F12" s="24">
        <f>D12/'- 7 -'!F12</f>
        <v>487.90632374192842</v>
      </c>
      <c r="G12" s="24">
        <f>SUM('- 28 -'!B12,'- 28 -'!E12,'- 28 -'!H12,'- 29 -'!B12,'- 29 -'!E12)</f>
        <v>788437</v>
      </c>
      <c r="H12" s="350">
        <f>G12/'- 3 -'!D12*100</f>
        <v>2.5059065137957441</v>
      </c>
      <c r="I12" s="24">
        <f>G12/'- 7 -'!F12</f>
        <v>360.56350266156915</v>
      </c>
    </row>
    <row r="13" spans="1:9" ht="14.1" customHeight="1">
      <c r="A13" s="357" t="s">
        <v>232</v>
      </c>
      <c r="B13" s="358">
        <f>SUM('- 25 -'!H13,'- 25 -'!F13,'- 25 -'!D13,'- 25 -'!B13)</f>
        <v>290900</v>
      </c>
      <c r="C13" s="359">
        <f>B13/'- 3 -'!D13*100</f>
        <v>0.32590587605269611</v>
      </c>
      <c r="D13" s="358">
        <f>SUM('- 26 -'!B13,'- 26 -'!E13,'- 26 -'!H13,'- 27 -'!B13)</f>
        <v>2857600</v>
      </c>
      <c r="E13" s="359">
        <f>D13/'- 3 -'!D13*100</f>
        <v>3.2014734665114628</v>
      </c>
      <c r="F13" s="358">
        <f>D13/'- 7 -'!F13</f>
        <v>351.89821354024923</v>
      </c>
      <c r="G13" s="358">
        <f>SUM('- 28 -'!B13,'- 28 -'!E13,'- 28 -'!H13,'- 29 -'!B13,'- 29 -'!E13)</f>
        <v>2495200</v>
      </c>
      <c r="H13" s="359">
        <f>G13/'- 3 -'!D13*100</f>
        <v>2.7954635336084133</v>
      </c>
      <c r="I13" s="358">
        <f>G13/'- 7 -'!F13</f>
        <v>307.27058455544159</v>
      </c>
    </row>
    <row r="14" spans="1:9" ht="14.1" customHeight="1">
      <c r="A14" s="23" t="s">
        <v>566</v>
      </c>
      <c r="B14" s="24">
        <f>SUM('- 25 -'!H14,'- 25 -'!F14,'- 25 -'!D14,'- 25 -'!B14)</f>
        <v>1152176</v>
      </c>
      <c r="C14" s="350">
        <f>B14/'- 3 -'!D14*100</f>
        <v>1.4419172086504422</v>
      </c>
      <c r="D14" s="24">
        <f>SUM('- 26 -'!B14,'- 26 -'!E14,'- 26 -'!H14,'- 27 -'!B14)</f>
        <v>3234042</v>
      </c>
      <c r="E14" s="350">
        <f>D14/'- 3 -'!D14*100</f>
        <v>4.0473163937612764</v>
      </c>
      <c r="F14" s="24">
        <f>D14/'- 7 -'!F14</f>
        <v>608.4745061147695</v>
      </c>
      <c r="G14" s="24">
        <f>SUM('- 28 -'!B14,'- 28 -'!E14,'- 28 -'!H14,'- 29 -'!B14,'- 29 -'!E14)</f>
        <v>3101268</v>
      </c>
      <c r="H14" s="350">
        <f>G14/'- 3 -'!D14*100</f>
        <v>3.8811533115053072</v>
      </c>
      <c r="I14" s="24">
        <f>G14/'- 7 -'!F14</f>
        <v>583.49350893697078</v>
      </c>
    </row>
    <row r="15" spans="1:9" ht="14.1" customHeight="1">
      <c r="A15" s="357" t="s">
        <v>233</v>
      </c>
      <c r="B15" s="358">
        <f>SUM('- 25 -'!H15,'- 25 -'!F15,'- 25 -'!D15,'- 25 -'!B15)</f>
        <v>70000</v>
      </c>
      <c r="C15" s="359">
        <f>B15/'- 3 -'!D15*100</f>
        <v>0.35304319705428827</v>
      </c>
      <c r="D15" s="358">
        <f>SUM('- 26 -'!B15,'- 26 -'!E15,'- 26 -'!H15,'- 27 -'!B15)</f>
        <v>772200</v>
      </c>
      <c r="E15" s="359">
        <f>D15/'- 3 -'!D15*100</f>
        <v>3.8945708109331632</v>
      </c>
      <c r="F15" s="358">
        <f>D15/'- 7 -'!F15</f>
        <v>531.63511187607571</v>
      </c>
      <c r="G15" s="358">
        <f>SUM('- 28 -'!B15,'- 28 -'!E15,'- 28 -'!H15,'- 29 -'!B15,'- 29 -'!E15)</f>
        <v>652371</v>
      </c>
      <c r="H15" s="359">
        <f>G15/'- 3 -'!D15*100</f>
        <v>3.2902163357929011</v>
      </c>
      <c r="I15" s="358">
        <f>G15/'- 7 -'!F15</f>
        <v>449.13666092943203</v>
      </c>
    </row>
    <row r="16" spans="1:9" ht="14.1" customHeight="1">
      <c r="A16" s="23" t="s">
        <v>234</v>
      </c>
      <c r="B16" s="24">
        <f>SUM('- 25 -'!H16,'- 25 -'!F16,'- 25 -'!D16,'- 25 -'!B16)</f>
        <v>11730</v>
      </c>
      <c r="C16" s="350">
        <f>B16/'- 3 -'!D16*100</f>
        <v>8.7007580118181951E-2</v>
      </c>
      <c r="D16" s="24">
        <f>SUM('- 26 -'!B16,'- 26 -'!E16,'- 26 -'!H16,'- 27 -'!B16)</f>
        <v>681177</v>
      </c>
      <c r="E16" s="350">
        <f>D16/'- 3 -'!D16*100</f>
        <v>5.0526481161264138</v>
      </c>
      <c r="F16" s="24">
        <f>D16/'- 7 -'!F16</f>
        <v>708.08419958419961</v>
      </c>
      <c r="G16" s="24">
        <f>SUM('- 28 -'!B16,'- 28 -'!E16,'- 28 -'!H16,'- 29 -'!B16,'- 29 -'!E16)</f>
        <v>298228</v>
      </c>
      <c r="H16" s="350">
        <f>G16/'- 3 -'!D16*100</f>
        <v>2.2121139474411908</v>
      </c>
      <c r="I16" s="24">
        <f>G16/'- 7 -'!F16</f>
        <v>310.008316008316</v>
      </c>
    </row>
    <row r="17" spans="1:9" ht="14.1" customHeight="1">
      <c r="A17" s="357" t="s">
        <v>235</v>
      </c>
      <c r="B17" s="358">
        <f>SUM('- 25 -'!H17,'- 25 -'!F17,'- 25 -'!D17,'- 25 -'!B17)</f>
        <v>255520</v>
      </c>
      <c r="C17" s="359">
        <f>B17/'- 3 -'!D17*100</f>
        <v>1.4888138525878511</v>
      </c>
      <c r="D17" s="358">
        <f>SUM('- 26 -'!B17,'- 26 -'!E17,'- 26 -'!H17,'- 27 -'!B17)</f>
        <v>755067</v>
      </c>
      <c r="E17" s="359">
        <f>D17/'- 3 -'!D17*100</f>
        <v>4.3994763980586686</v>
      </c>
      <c r="F17" s="358">
        <f>D17/'- 7 -'!F17</f>
        <v>564.53607476635511</v>
      </c>
      <c r="G17" s="358">
        <f>SUM('- 28 -'!B17,'- 28 -'!E17,'- 28 -'!H17,'- 29 -'!B17,'- 29 -'!E17)</f>
        <v>469704</v>
      </c>
      <c r="H17" s="359">
        <f>G17/'- 3 -'!D17*100</f>
        <v>2.7367792024730901</v>
      </c>
      <c r="I17" s="358">
        <f>G17/'- 7 -'!F17</f>
        <v>351.18056074766355</v>
      </c>
    </row>
    <row r="18" spans="1:9" ht="14.1" customHeight="1">
      <c r="A18" s="23" t="s">
        <v>236</v>
      </c>
      <c r="B18" s="24">
        <f>SUM('- 25 -'!H18,'- 25 -'!F18,'- 25 -'!D18,'- 25 -'!B18)</f>
        <v>2308256</v>
      </c>
      <c r="C18" s="350">
        <f>B18/'- 3 -'!D18*100</f>
        <v>1.8648753116462531</v>
      </c>
      <c r="D18" s="24">
        <f>SUM('- 26 -'!B18,'- 26 -'!E18,'- 26 -'!H18,'- 27 -'!B18)</f>
        <v>6877207</v>
      </c>
      <c r="E18" s="350">
        <f>D18/'- 3 -'!D18*100</f>
        <v>5.5562006759132405</v>
      </c>
      <c r="F18" s="24">
        <f>D18/'- 7 -'!F18</f>
        <v>1114.4938175571654</v>
      </c>
      <c r="G18" s="24">
        <f>SUM('- 28 -'!B18,'- 28 -'!E18,'- 28 -'!H18,'- 29 -'!B18,'- 29 -'!E18)</f>
        <v>6749769</v>
      </c>
      <c r="H18" s="350">
        <f>G18/'- 3 -'!D18*100</f>
        <v>5.4532415674063968</v>
      </c>
      <c r="I18" s="24">
        <f>G18/'- 7 -'!F18</f>
        <v>1093.8417035344451</v>
      </c>
    </row>
    <row r="19" spans="1:9" ht="14.1" customHeight="1">
      <c r="A19" s="357" t="s">
        <v>237</v>
      </c>
      <c r="B19" s="358">
        <f>SUM('- 25 -'!H19,'- 25 -'!F19,'- 25 -'!D19,'- 25 -'!B19)</f>
        <v>76900</v>
      </c>
      <c r="C19" s="359">
        <f>B19/'- 3 -'!D19*100</f>
        <v>0.17698618080852996</v>
      </c>
      <c r="D19" s="358">
        <f>SUM('- 26 -'!B19,'- 26 -'!E19,'- 26 -'!H19,'- 27 -'!B19)</f>
        <v>1485570</v>
      </c>
      <c r="E19" s="359">
        <f>D19/'- 3 -'!D19*100</f>
        <v>3.4190554047298809</v>
      </c>
      <c r="F19" s="358">
        <f>D19/'- 7 -'!F19</f>
        <v>364.15492094619441</v>
      </c>
      <c r="G19" s="358">
        <f>SUM('- 28 -'!B19,'- 28 -'!E19,'- 28 -'!H19,'- 29 -'!B19,'- 29 -'!E19)</f>
        <v>1121250</v>
      </c>
      <c r="H19" s="359">
        <f>G19/'- 3 -'!D19*100</f>
        <v>2.5805689887069465</v>
      </c>
      <c r="I19" s="358">
        <f>G19/'- 7 -'!F19</f>
        <v>274.84985905135431</v>
      </c>
    </row>
    <row r="20" spans="1:9" ht="14.1" customHeight="1">
      <c r="A20" s="23" t="s">
        <v>238</v>
      </c>
      <c r="B20" s="24">
        <f>SUM('- 25 -'!H20,'- 25 -'!F20,'- 25 -'!D20,'- 25 -'!B20)</f>
        <v>156200</v>
      </c>
      <c r="C20" s="350">
        <f>B20/'- 3 -'!D20*100</f>
        <v>0.20626016775474845</v>
      </c>
      <c r="D20" s="24">
        <f>SUM('- 26 -'!B20,'- 26 -'!E20,'- 26 -'!H20,'- 27 -'!B20)</f>
        <v>2213400</v>
      </c>
      <c r="E20" s="350">
        <f>D20/'- 3 -'!D20*100</f>
        <v>2.9227673195157506</v>
      </c>
      <c r="F20" s="24">
        <f>D20/'- 7 -'!F20</f>
        <v>292.81651012038628</v>
      </c>
      <c r="G20" s="24">
        <f>SUM('- 28 -'!B20,'- 28 -'!E20,'- 28 -'!H20,'- 29 -'!B20,'- 29 -'!E20)</f>
        <v>2416300</v>
      </c>
      <c r="H20" s="350">
        <f>G20/'- 3 -'!D20*100</f>
        <v>3.1906942595761758</v>
      </c>
      <c r="I20" s="24">
        <f>G20/'- 7 -'!F20</f>
        <v>319.65868501124487</v>
      </c>
    </row>
    <row r="21" spans="1:9" ht="14.1" customHeight="1">
      <c r="A21" s="357" t="s">
        <v>239</v>
      </c>
      <c r="B21" s="358">
        <f>SUM('- 25 -'!H21,'- 25 -'!F21,'- 25 -'!D21,'- 25 -'!B21)</f>
        <v>245000</v>
      </c>
      <c r="C21" s="359">
        <f>B21/'- 3 -'!D21*100</f>
        <v>0.71048052146602347</v>
      </c>
      <c r="D21" s="358">
        <f>SUM('- 26 -'!B21,'- 26 -'!E21,'- 26 -'!H21,'- 27 -'!B21)</f>
        <v>1312600</v>
      </c>
      <c r="E21" s="359">
        <f>D21/'- 3 -'!D21*100</f>
        <v>3.8064356427604182</v>
      </c>
      <c r="F21" s="358">
        <f>D21/'- 7 -'!F21</f>
        <v>493.64422715306506</v>
      </c>
      <c r="G21" s="358">
        <f>SUM('- 28 -'!B21,'- 28 -'!E21,'- 28 -'!H21,'- 29 -'!B21,'- 29 -'!E21)</f>
        <v>1593500</v>
      </c>
      <c r="H21" s="359">
        <f>G21/'- 3 -'!D21*100</f>
        <v>4.6210233100249329</v>
      </c>
      <c r="I21" s="358">
        <f>G21/'- 7 -'!F21</f>
        <v>599.2854456562618</v>
      </c>
    </row>
    <row r="22" spans="1:9" ht="14.1" customHeight="1">
      <c r="A22" s="23" t="s">
        <v>240</v>
      </c>
      <c r="B22" s="24">
        <f>SUM('- 25 -'!H22,'- 25 -'!F22,'- 25 -'!D22,'- 25 -'!B22)</f>
        <v>85065</v>
      </c>
      <c r="C22" s="350">
        <f>B22/'- 3 -'!D22*100</f>
        <v>0.43839918151055768</v>
      </c>
      <c r="D22" s="24">
        <f>SUM('- 26 -'!B22,'- 26 -'!E22,'- 26 -'!H22,'- 27 -'!B22)</f>
        <v>808245</v>
      </c>
      <c r="E22" s="350">
        <f>D22/'- 3 -'!D22*100</f>
        <v>4.1654493206371681</v>
      </c>
      <c r="F22" s="24">
        <f>D22/'- 7 -'!F22</f>
        <v>517.77386290839206</v>
      </c>
      <c r="G22" s="24">
        <f>SUM('- 28 -'!B22,'- 28 -'!E22,'- 28 -'!H22,'- 29 -'!B22,'- 29 -'!E22)</f>
        <v>430300</v>
      </c>
      <c r="H22" s="350">
        <f>G22/'- 3 -'!D22*100</f>
        <v>2.2176355469816373</v>
      </c>
      <c r="I22" s="24">
        <f>G22/'- 7 -'!F22</f>
        <v>275.65663036515053</v>
      </c>
    </row>
    <row r="23" spans="1:9" ht="14.1" customHeight="1">
      <c r="A23" s="357" t="s">
        <v>241</v>
      </c>
      <c r="B23" s="358">
        <f>SUM('- 25 -'!H23,'- 25 -'!F23,'- 25 -'!D23,'- 25 -'!B23)</f>
        <v>278000</v>
      </c>
      <c r="C23" s="359">
        <f>B23/'- 3 -'!D23*100</f>
        <v>1.7061620682121141</v>
      </c>
      <c r="D23" s="358">
        <f>SUM('- 26 -'!B23,'- 26 -'!E23,'- 26 -'!H23,'- 27 -'!B23)</f>
        <v>608100</v>
      </c>
      <c r="E23" s="359">
        <f>D23/'- 3 -'!D23*100</f>
        <v>3.7320760923733327</v>
      </c>
      <c r="F23" s="358">
        <f>D23/'- 7 -'!F23</f>
        <v>529.93464052287584</v>
      </c>
      <c r="G23" s="358">
        <f>SUM('- 28 -'!B23,'- 28 -'!E23,'- 28 -'!H23,'- 29 -'!B23,'- 29 -'!E23)</f>
        <v>387800</v>
      </c>
      <c r="H23" s="359">
        <f>G23/'- 3 -'!D23*100</f>
        <v>2.3800347124196324</v>
      </c>
      <c r="I23" s="358">
        <f>G23/'- 7 -'!F23</f>
        <v>337.95206971677561</v>
      </c>
    </row>
    <row r="24" spans="1:9" ht="14.1" customHeight="1">
      <c r="A24" s="23" t="s">
        <v>242</v>
      </c>
      <c r="B24" s="24">
        <f>SUM('- 25 -'!H24,'- 25 -'!F24,'- 25 -'!D24,'- 25 -'!B24)</f>
        <v>406220</v>
      </c>
      <c r="C24" s="350">
        <f>B24/'- 3 -'!D24*100</f>
        <v>0.74768760646592414</v>
      </c>
      <c r="D24" s="24">
        <f>SUM('- 26 -'!B24,'- 26 -'!E24,'- 26 -'!H24,'- 27 -'!B24)</f>
        <v>1927780</v>
      </c>
      <c r="E24" s="350">
        <f>D24/'- 3 -'!D24*100</f>
        <v>3.5482674757345261</v>
      </c>
      <c r="F24" s="24">
        <f>D24/'- 7 -'!F24</f>
        <v>476.11262040009876</v>
      </c>
      <c r="G24" s="24">
        <f>SUM('- 28 -'!B24,'- 28 -'!E24,'- 28 -'!H24,'- 29 -'!B24,'- 29 -'!E24)</f>
        <v>1518280</v>
      </c>
      <c r="H24" s="350">
        <f>G24/'- 3 -'!D24*100</f>
        <v>2.7945427087417736</v>
      </c>
      <c r="I24" s="24">
        <f>G24/'- 7 -'!F24</f>
        <v>374.97653741664607</v>
      </c>
    </row>
    <row r="25" spans="1:9" ht="14.1" customHeight="1">
      <c r="A25" s="357" t="s">
        <v>243</v>
      </c>
      <c r="B25" s="358">
        <f>SUM('- 25 -'!H25,'- 25 -'!F25,'- 25 -'!D25,'- 25 -'!B25)</f>
        <v>1032175</v>
      </c>
      <c r="C25" s="359">
        <f>B25/'- 3 -'!D25*100</f>
        <v>0.64914458350281656</v>
      </c>
      <c r="D25" s="358">
        <f>SUM('- 26 -'!B25,'- 26 -'!E25,'- 26 -'!H25,'- 27 -'!B25)</f>
        <v>5480936</v>
      </c>
      <c r="E25" s="359">
        <f>D25/'- 3 -'!D25*100</f>
        <v>3.4470122962923857</v>
      </c>
      <c r="F25" s="358">
        <f>D25/'- 7 -'!F25</f>
        <v>398.7585303746817</v>
      </c>
      <c r="G25" s="358">
        <f>SUM('- 28 -'!B25,'- 28 -'!E25,'- 28 -'!H25,'- 29 -'!B25,'- 29 -'!E25)</f>
        <v>6786274</v>
      </c>
      <c r="H25" s="359">
        <f>G25/'- 3 -'!D25*100</f>
        <v>4.26795166446193</v>
      </c>
      <c r="I25" s="358">
        <f>G25/'- 7 -'!F25</f>
        <v>493.72673699527098</v>
      </c>
    </row>
    <row r="26" spans="1:9" ht="14.1" customHeight="1">
      <c r="A26" s="23" t="s">
        <v>244</v>
      </c>
      <c r="B26" s="24">
        <f>SUM('- 25 -'!H26,'- 25 -'!F26,'- 25 -'!D26,'- 25 -'!B26)</f>
        <v>116872</v>
      </c>
      <c r="C26" s="350">
        <f>B26/'- 3 -'!D26*100</f>
        <v>0.30029742991732417</v>
      </c>
      <c r="D26" s="24">
        <f>SUM('- 26 -'!B26,'- 26 -'!E26,'- 26 -'!H26,'- 27 -'!B26)</f>
        <v>1317772</v>
      </c>
      <c r="E26" s="350">
        <f>D26/'- 3 -'!D26*100</f>
        <v>3.3859568144381216</v>
      </c>
      <c r="F26" s="24">
        <f>D26/'- 7 -'!F26</f>
        <v>426.73963730569949</v>
      </c>
      <c r="G26" s="24">
        <f>SUM('- 28 -'!B26,'- 28 -'!E26,'- 28 -'!H26,'- 29 -'!B26,'- 29 -'!E26)</f>
        <v>1289768</v>
      </c>
      <c r="H26" s="350">
        <f>G26/'- 3 -'!D26*100</f>
        <v>3.314001776213356</v>
      </c>
      <c r="I26" s="24">
        <f>G26/'- 7 -'!F26</f>
        <v>417.67098445595855</v>
      </c>
    </row>
    <row r="27" spans="1:9" ht="14.1" customHeight="1">
      <c r="A27" s="357" t="s">
        <v>245</v>
      </c>
      <c r="B27" s="358">
        <f>SUM('- 25 -'!H27,'- 25 -'!F27,'- 25 -'!D27,'- 25 -'!B27)</f>
        <v>45416</v>
      </c>
      <c r="C27" s="359">
        <f>B27/'- 3 -'!D27*100</f>
        <v>0.11617931223924342</v>
      </c>
      <c r="D27" s="358">
        <f>SUM('- 26 -'!B27,'- 26 -'!E27,'- 26 -'!H27,'- 27 -'!B27)</f>
        <v>1734031</v>
      </c>
      <c r="E27" s="359">
        <f>D27/'- 3 -'!D27*100</f>
        <v>4.435849237747215</v>
      </c>
      <c r="F27" s="358">
        <f>D27/'- 7 -'!F27</f>
        <v>600.01072664359856</v>
      </c>
      <c r="G27" s="358">
        <f>SUM('- 28 -'!B27,'- 28 -'!E27,'- 28 -'!H27,'- 29 -'!B27,'- 29 -'!E27)</f>
        <v>2162647</v>
      </c>
      <c r="H27" s="359">
        <f>G27/'- 3 -'!D27*100</f>
        <v>5.5322978922904502</v>
      </c>
      <c r="I27" s="358">
        <f>G27/'- 7 -'!F27</f>
        <v>748.3207612456747</v>
      </c>
    </row>
    <row r="28" spans="1:9" ht="14.1" customHeight="1">
      <c r="A28" s="23" t="s">
        <v>246</v>
      </c>
      <c r="B28" s="24">
        <f>SUM('- 25 -'!H28,'- 25 -'!F28,'- 25 -'!D28,'- 25 -'!B28)</f>
        <v>129187</v>
      </c>
      <c r="C28" s="350">
        <f>B28/'- 3 -'!D28*100</f>
        <v>0.47234926620725959</v>
      </c>
      <c r="D28" s="24">
        <f>SUM('- 26 -'!B28,'- 26 -'!E28,'- 26 -'!H28,'- 27 -'!B28)</f>
        <v>1138134</v>
      </c>
      <c r="E28" s="350">
        <f>D28/'- 3 -'!D28*100</f>
        <v>4.161384347848724</v>
      </c>
      <c r="F28" s="24">
        <f>D28/'- 7 -'!F28</f>
        <v>574.09029003783098</v>
      </c>
      <c r="G28" s="24">
        <f>SUM('- 28 -'!B28,'- 28 -'!E28,'- 28 -'!H28,'- 29 -'!B28,'- 29 -'!E28)</f>
        <v>710477</v>
      </c>
      <c r="H28" s="350">
        <f>G28/'- 3 -'!D28*100</f>
        <v>2.5977326635585252</v>
      </c>
      <c r="I28" s="24">
        <f>G28/'- 7 -'!F28</f>
        <v>358.37427490542245</v>
      </c>
    </row>
    <row r="29" spans="1:9" ht="14.1" customHeight="1">
      <c r="A29" s="357" t="s">
        <v>247</v>
      </c>
      <c r="B29" s="358">
        <f>SUM('- 25 -'!H29,'- 25 -'!F29,'- 25 -'!D29,'- 25 -'!B29)</f>
        <v>622495</v>
      </c>
      <c r="C29" s="359">
        <f>B29/'- 3 -'!D29*100</f>
        <v>0.42323350164088097</v>
      </c>
      <c r="D29" s="358">
        <f>SUM('- 26 -'!B29,'- 26 -'!E29,'- 26 -'!H29,'- 27 -'!B29)</f>
        <v>4914455</v>
      </c>
      <c r="E29" s="359">
        <f>D29/'- 3 -'!D29*100</f>
        <v>3.3413312529522896</v>
      </c>
      <c r="F29" s="358">
        <f>D29/'- 7 -'!F29</f>
        <v>407.4835205837237</v>
      </c>
      <c r="G29" s="358">
        <f>SUM('- 28 -'!B29,'- 28 -'!E29,'- 28 -'!H29,'- 29 -'!B29,'- 29 -'!E29)</f>
        <v>6081384</v>
      </c>
      <c r="H29" s="359">
        <f>G29/'- 3 -'!D29*100</f>
        <v>4.1347246887811586</v>
      </c>
      <c r="I29" s="358">
        <f>G29/'- 7 -'!F29</f>
        <v>504.23979105343892</v>
      </c>
    </row>
    <row r="30" spans="1:9" ht="14.1" customHeight="1">
      <c r="A30" s="23" t="s">
        <v>248</v>
      </c>
      <c r="B30" s="24">
        <f>SUM('- 25 -'!H30,'- 25 -'!F30,'- 25 -'!D30,'- 25 -'!B30)</f>
        <v>13920</v>
      </c>
      <c r="C30" s="350">
        <f>B30/'- 3 -'!D30*100</f>
        <v>0.10387745743505514</v>
      </c>
      <c r="D30" s="24">
        <f>SUM('- 26 -'!B30,'- 26 -'!E30,'- 26 -'!H30,'- 27 -'!B30)</f>
        <v>508470</v>
      </c>
      <c r="E30" s="350">
        <f>D30/'- 3 -'!D30*100</f>
        <v>3.7944375561783392</v>
      </c>
      <c r="F30" s="24">
        <f>D30/'- 7 -'!F30</f>
        <v>495.82642613359337</v>
      </c>
      <c r="G30" s="24">
        <f>SUM('- 28 -'!B30,'- 28 -'!E30,'- 28 -'!H30,'- 29 -'!B30,'- 29 -'!E30)</f>
        <v>504663</v>
      </c>
      <c r="H30" s="350">
        <f>G30/'- 3 -'!D30*100</f>
        <v>3.7660279670651748</v>
      </c>
      <c r="I30" s="24">
        <f>G30/'- 7 -'!F30</f>
        <v>492.11409068746951</v>
      </c>
    </row>
    <row r="31" spans="1:9" ht="14.1" customHeight="1">
      <c r="A31" s="357" t="s">
        <v>249</v>
      </c>
      <c r="B31" s="358">
        <f>SUM('- 25 -'!H31,'- 25 -'!F31,'- 25 -'!D31,'- 25 -'!B31)</f>
        <v>56120</v>
      </c>
      <c r="C31" s="359">
        <f>B31/'- 3 -'!D31*100</f>
        <v>0.16045446927168253</v>
      </c>
      <c r="D31" s="358">
        <f>SUM('- 26 -'!B31,'- 26 -'!E31,'- 26 -'!H31,'- 27 -'!B31)</f>
        <v>1205526</v>
      </c>
      <c r="E31" s="359">
        <f>D31/'- 3 -'!D31*100</f>
        <v>3.4467575645619095</v>
      </c>
      <c r="F31" s="358">
        <f>D31/'- 7 -'!F31</f>
        <v>377.78940770918206</v>
      </c>
      <c r="G31" s="358">
        <f>SUM('- 28 -'!B31,'- 28 -'!E31,'- 28 -'!H31,'- 29 -'!B31,'- 29 -'!E31)</f>
        <v>1252026</v>
      </c>
      <c r="H31" s="359">
        <f>G31/'- 3 -'!D31*100</f>
        <v>3.5797071871765431</v>
      </c>
      <c r="I31" s="358">
        <f>G31/'- 7 -'!F31</f>
        <v>392.36164211845818</v>
      </c>
    </row>
    <row r="32" spans="1:9" ht="14.1" customHeight="1">
      <c r="A32" s="23" t="s">
        <v>250</v>
      </c>
      <c r="B32" s="24">
        <f>SUM('- 25 -'!H32,'- 25 -'!F32,'- 25 -'!D32,'- 25 -'!B32)</f>
        <v>34935</v>
      </c>
      <c r="C32" s="350">
        <f>B32/'- 3 -'!D32*100</f>
        <v>0.13124736124616129</v>
      </c>
      <c r="D32" s="24">
        <f>SUM('- 26 -'!B32,'- 26 -'!E32,'- 26 -'!H32,'- 27 -'!B32)</f>
        <v>1043595</v>
      </c>
      <c r="E32" s="350">
        <f>D32/'- 3 -'!D32*100</f>
        <v>3.9206838402658568</v>
      </c>
      <c r="F32" s="24">
        <f>D32/'- 7 -'!F32</f>
        <v>496.12312811980036</v>
      </c>
      <c r="G32" s="24">
        <f>SUM('- 28 -'!B32,'- 28 -'!E32,'- 28 -'!H32,'- 29 -'!B32,'- 29 -'!E32)</f>
        <v>593120</v>
      </c>
      <c r="H32" s="350">
        <f>G32/'- 3 -'!D32*100</f>
        <v>2.2282935423593297</v>
      </c>
      <c r="I32" s="24">
        <f>G32/'- 7 -'!F32</f>
        <v>281.96814832422154</v>
      </c>
    </row>
    <row r="33" spans="1:10" ht="14.1" customHeight="1">
      <c r="A33" s="357" t="s">
        <v>251</v>
      </c>
      <c r="B33" s="358">
        <f>SUM('- 25 -'!H33,'- 25 -'!F33,'- 25 -'!D33,'- 25 -'!B33)</f>
        <v>30000</v>
      </c>
      <c r="C33" s="359">
        <f>B33/'- 3 -'!D33*100</f>
        <v>0.11069814961401031</v>
      </c>
      <c r="D33" s="358">
        <f>SUM('- 26 -'!B33,'- 26 -'!E33,'- 26 -'!H33,'- 27 -'!B33)</f>
        <v>897500</v>
      </c>
      <c r="E33" s="359">
        <f>D33/'- 3 -'!D33*100</f>
        <v>3.3117196426191415</v>
      </c>
      <c r="F33" s="358">
        <f>D33/'- 7 -'!F33</f>
        <v>450.21319287684975</v>
      </c>
      <c r="G33" s="358">
        <f>SUM('- 28 -'!B33,'- 28 -'!E33,'- 28 -'!H33,'- 29 -'!B33,'- 29 -'!E33)</f>
        <v>792324</v>
      </c>
      <c r="H33" s="359">
        <f>G33/'- 3 -'!D33*100</f>
        <v>2.9236266898257037</v>
      </c>
      <c r="I33" s="358">
        <f>G33/'- 7 -'!F33</f>
        <v>397.45372460496611</v>
      </c>
    </row>
    <row r="34" spans="1:10" ht="14.1" customHeight="1">
      <c r="A34" s="23" t="s">
        <v>252</v>
      </c>
      <c r="B34" s="24">
        <f>SUM('- 25 -'!H34,'- 25 -'!F34,'- 25 -'!D34,'- 25 -'!B34)</f>
        <v>59409</v>
      </c>
      <c r="C34" s="350">
        <f>B34/'- 3 -'!D34*100</f>
        <v>0.22560606209629419</v>
      </c>
      <c r="D34" s="24">
        <f>SUM('- 26 -'!B34,'- 26 -'!E34,'- 26 -'!H34,'- 27 -'!B34)</f>
        <v>1029764</v>
      </c>
      <c r="E34" s="350">
        <f>D34/'- 3 -'!D34*100</f>
        <v>3.9105354563875561</v>
      </c>
      <c r="F34" s="24">
        <f>D34/'- 7 -'!F34</f>
        <v>518.6421556283052</v>
      </c>
      <c r="G34" s="24">
        <f>SUM('- 28 -'!B34,'- 28 -'!E34,'- 28 -'!H34,'- 29 -'!B34,'- 29 -'!E34)</f>
        <v>549252</v>
      </c>
      <c r="H34" s="350">
        <f>G34/'- 3 -'!D34*100</f>
        <v>2.0857880256949923</v>
      </c>
      <c r="I34" s="24">
        <f>G34/'- 7 -'!F34</f>
        <v>276.63157894736844</v>
      </c>
    </row>
    <row r="35" spans="1:10" ht="14.1" customHeight="1">
      <c r="A35" s="357" t="s">
        <v>253</v>
      </c>
      <c r="B35" s="358">
        <f>SUM('- 25 -'!H35,'- 25 -'!F35,'- 25 -'!D35,'- 25 -'!B35)</f>
        <v>609998</v>
      </c>
      <c r="C35" s="359">
        <f>B35/'- 3 -'!D35*100</f>
        <v>0.35786728934996948</v>
      </c>
      <c r="D35" s="358">
        <f>SUM('- 26 -'!B35,'- 26 -'!E35,'- 26 -'!H35,'- 27 -'!B35)</f>
        <v>5025400</v>
      </c>
      <c r="E35" s="359">
        <f>D35/'- 3 -'!D35*100</f>
        <v>2.9482494629479712</v>
      </c>
      <c r="F35" s="358">
        <f>D35/'- 7 -'!F35</f>
        <v>324.28211911982964</v>
      </c>
      <c r="G35" s="358">
        <f>SUM('- 28 -'!B35,'- 28 -'!E35,'- 28 -'!H35,'- 29 -'!B35,'- 29 -'!E35)</f>
        <v>7251186</v>
      </c>
      <c r="H35" s="359">
        <f>G35/'- 3 -'!D35*100</f>
        <v>4.2540504696612906</v>
      </c>
      <c r="I35" s="358">
        <f>G35/'- 7 -'!F35</f>
        <v>467.9090146479964</v>
      </c>
    </row>
    <row r="36" spans="1:10" ht="14.1" customHeight="1">
      <c r="A36" s="23" t="s">
        <v>254</v>
      </c>
      <c r="B36" s="24">
        <f>SUM('- 25 -'!H36,'- 25 -'!F36,'- 25 -'!D36,'- 25 -'!B36)</f>
        <v>34775</v>
      </c>
      <c r="C36" s="350">
        <f>B36/'- 3 -'!D36*100</f>
        <v>0.15720302923795521</v>
      </c>
      <c r="D36" s="24">
        <f>SUM('- 26 -'!B36,'- 26 -'!E36,'- 26 -'!H36,'- 27 -'!B36)</f>
        <v>915695</v>
      </c>
      <c r="E36" s="350">
        <f>D36/'- 3 -'!D36*100</f>
        <v>4.1394688097210466</v>
      </c>
      <c r="F36" s="24">
        <f>D36/'- 7 -'!F36</f>
        <v>555.47164088565364</v>
      </c>
      <c r="G36" s="24">
        <f>SUM('- 28 -'!B36,'- 28 -'!E36,'- 28 -'!H36,'- 29 -'!B36,'- 29 -'!E36)</f>
        <v>733265</v>
      </c>
      <c r="H36" s="350">
        <f>G36/'- 3 -'!D36*100</f>
        <v>3.314780136137145</v>
      </c>
      <c r="I36" s="24">
        <f>G36/'- 7 -'!F36</f>
        <v>444.80740066727327</v>
      </c>
    </row>
    <row r="37" spans="1:10" ht="14.1" customHeight="1">
      <c r="A37" s="357" t="s">
        <v>255</v>
      </c>
      <c r="B37" s="358">
        <f>SUM('- 25 -'!H37,'- 25 -'!F37,'- 25 -'!D37,'- 25 -'!B37)</f>
        <v>187239</v>
      </c>
      <c r="C37" s="359">
        <f>B37/'- 3 -'!D37*100</f>
        <v>0.41885623718610504</v>
      </c>
      <c r="D37" s="358">
        <f>SUM('- 26 -'!B37,'- 26 -'!E37,'- 26 -'!H37,'- 27 -'!B37)</f>
        <v>1513956</v>
      </c>
      <c r="E37" s="359">
        <f>D37/'- 3 -'!D37*100</f>
        <v>3.3867405477775829</v>
      </c>
      <c r="F37" s="358">
        <f>D37/'- 7 -'!F37</f>
        <v>386.85473361441166</v>
      </c>
      <c r="G37" s="358">
        <f>SUM('- 28 -'!B37,'- 28 -'!E37,'- 28 -'!H37,'- 29 -'!B37,'- 29 -'!E37)</f>
        <v>1400216</v>
      </c>
      <c r="H37" s="359">
        <f>G37/'- 3 -'!D37*100</f>
        <v>3.1323025919161029</v>
      </c>
      <c r="I37" s="358">
        <f>G37/'- 7 -'!F37</f>
        <v>357.79123546697332</v>
      </c>
    </row>
    <row r="38" spans="1:10" ht="14.1" customHeight="1">
      <c r="A38" s="23" t="s">
        <v>256</v>
      </c>
      <c r="B38" s="24">
        <f>SUM('- 25 -'!H38,'- 25 -'!F38,'- 25 -'!D38,'- 25 -'!B38)</f>
        <v>1821630</v>
      </c>
      <c r="C38" s="350">
        <f>B38/'- 3 -'!D38*100</f>
        <v>1.4898950976870815</v>
      </c>
      <c r="D38" s="24">
        <f>SUM('- 26 -'!B38,'- 26 -'!E38,'- 26 -'!H38,'- 27 -'!B38)</f>
        <v>3616840</v>
      </c>
      <c r="E38" s="350">
        <f>D38/'- 3 -'!D38*100</f>
        <v>2.958181510580383</v>
      </c>
      <c r="F38" s="24">
        <f>D38/'- 7 -'!F38</f>
        <v>337.21877767936229</v>
      </c>
      <c r="G38" s="24">
        <f>SUM('- 28 -'!B38,'- 28 -'!E38,'- 28 -'!H38,'- 29 -'!B38,'- 29 -'!E38)</f>
        <v>4775570</v>
      </c>
      <c r="H38" s="350">
        <f>G38/'- 3 -'!D38*100</f>
        <v>3.9058965496074918</v>
      </c>
      <c r="I38" s="24">
        <f>G38/'- 7 -'!F38</f>
        <v>445.25383432007834</v>
      </c>
    </row>
    <row r="39" spans="1:10" ht="14.1" customHeight="1">
      <c r="A39" s="357" t="s">
        <v>257</v>
      </c>
      <c r="B39" s="358">
        <f>SUM('- 25 -'!H39,'- 25 -'!F39,'- 25 -'!D39,'- 25 -'!B39)</f>
        <v>170200</v>
      </c>
      <c r="C39" s="359">
        <f>B39/'- 3 -'!D39*100</f>
        <v>0.81599104653584476</v>
      </c>
      <c r="D39" s="358">
        <f>SUM('- 26 -'!B39,'- 26 -'!E39,'- 26 -'!H39,'- 27 -'!B39)</f>
        <v>831580</v>
      </c>
      <c r="E39" s="359">
        <f>D39/'- 3 -'!D39*100</f>
        <v>3.9868497912942287</v>
      </c>
      <c r="F39" s="358">
        <f>D39/'- 7 -'!F39</f>
        <v>536.33021605933573</v>
      </c>
      <c r="G39" s="358">
        <f>SUM('- 28 -'!B39,'- 28 -'!E39,'- 28 -'!H39,'- 29 -'!B39,'- 29 -'!E39)</f>
        <v>652358</v>
      </c>
      <c r="H39" s="359">
        <f>G39/'- 3 -'!D39*100</f>
        <v>3.1276045072622245</v>
      </c>
      <c r="I39" s="358">
        <f>G39/'- 7 -'!F39</f>
        <v>420.74040632054175</v>
      </c>
    </row>
    <row r="40" spans="1:10" ht="14.1" customHeight="1">
      <c r="A40" s="23" t="s">
        <v>258</v>
      </c>
      <c r="B40" s="24">
        <f>SUM('- 25 -'!H40,'- 25 -'!F40,'- 25 -'!D40,'- 25 -'!B40)</f>
        <v>1115047</v>
      </c>
      <c r="C40" s="350">
        <f>B40/'- 3 -'!D40*100</f>
        <v>1.1232868368934268</v>
      </c>
      <c r="D40" s="24">
        <f>SUM('- 26 -'!B40,'- 26 -'!E40,'- 26 -'!H40,'- 27 -'!B40)</f>
        <v>3564313</v>
      </c>
      <c r="E40" s="350">
        <f>D40/'- 3 -'!D40*100</f>
        <v>3.5906521209133966</v>
      </c>
      <c r="F40" s="24">
        <f>D40/'- 7 -'!F40</f>
        <v>448.85560686522541</v>
      </c>
      <c r="G40" s="24">
        <f>SUM('- 28 -'!B40,'- 28 -'!E40,'- 28 -'!H40,'- 29 -'!B40,'- 29 -'!E40)</f>
        <v>3600483</v>
      </c>
      <c r="H40" s="350">
        <f>G40/'- 3 -'!D40*100</f>
        <v>3.627089405521521</v>
      </c>
      <c r="I40" s="24">
        <f>G40/'- 7 -'!F40</f>
        <v>453.41051191994848</v>
      </c>
    </row>
    <row r="41" spans="1:10" ht="14.1" customHeight="1">
      <c r="A41" s="357" t="s">
        <v>259</v>
      </c>
      <c r="B41" s="358">
        <f>SUM('- 25 -'!H41,'- 25 -'!F41,'- 25 -'!D41,'- 25 -'!B41)</f>
        <v>267636</v>
      </c>
      <c r="C41" s="359">
        <f>B41/'- 3 -'!D41*100</f>
        <v>0.45068967968862272</v>
      </c>
      <c r="D41" s="358">
        <f>SUM('- 26 -'!B41,'- 26 -'!E41,'- 26 -'!H41,'- 27 -'!B41)</f>
        <v>1970157</v>
      </c>
      <c r="E41" s="359">
        <f>D41/'- 3 -'!D41*100</f>
        <v>3.3176756014373918</v>
      </c>
      <c r="F41" s="358">
        <f>D41/'- 7 -'!F41</f>
        <v>449.19220246238029</v>
      </c>
      <c r="G41" s="358">
        <f>SUM('- 28 -'!B41,'- 28 -'!E41,'- 28 -'!H41,'- 29 -'!B41,'- 29 -'!E41)</f>
        <v>1333468</v>
      </c>
      <c r="H41" s="359">
        <f>G41/'- 3 -'!D41*100</f>
        <v>2.2455135549590799</v>
      </c>
      <c r="I41" s="358">
        <f>G41/'- 7 -'!F41</f>
        <v>304.02827177382579</v>
      </c>
    </row>
    <row r="42" spans="1:10" ht="14.1" customHeight="1">
      <c r="A42" s="23" t="s">
        <v>260</v>
      </c>
      <c r="B42" s="24">
        <f>SUM('- 25 -'!H42,'- 25 -'!F42,'- 25 -'!D42,'- 25 -'!B42)</f>
        <v>208256</v>
      </c>
      <c r="C42" s="350">
        <f>B42/'- 3 -'!D42*100</f>
        <v>1.0227616726035065</v>
      </c>
      <c r="D42" s="24">
        <f>SUM('- 26 -'!B42,'- 26 -'!E42,'- 26 -'!H42,'- 27 -'!B42)</f>
        <v>814911</v>
      </c>
      <c r="E42" s="350">
        <f>D42/'- 3 -'!D42*100</f>
        <v>4.0020923161061193</v>
      </c>
      <c r="F42" s="24">
        <f>D42/'- 7 -'!F42</f>
        <v>581.45629682483059</v>
      </c>
      <c r="G42" s="24">
        <f>SUM('- 28 -'!B42,'- 28 -'!E42,'- 28 -'!H42,'- 29 -'!B42,'- 29 -'!E42)</f>
        <v>443008</v>
      </c>
      <c r="H42" s="350">
        <f>G42/'- 3 -'!D42*100</f>
        <v>2.1756472949482091</v>
      </c>
      <c r="I42" s="24">
        <f>G42/'- 7 -'!F42</f>
        <v>316.09561184445238</v>
      </c>
    </row>
    <row r="43" spans="1:10" ht="14.1" customHeight="1">
      <c r="A43" s="357" t="s">
        <v>261</v>
      </c>
      <c r="B43" s="358">
        <f>SUM('- 25 -'!H43,'- 25 -'!F43,'- 25 -'!D43,'- 25 -'!B43)</f>
        <v>13261</v>
      </c>
      <c r="C43" s="359">
        <f>B43/'- 3 -'!D43*100</f>
        <v>0.10656674042468384</v>
      </c>
      <c r="D43" s="358">
        <f>SUM('- 26 -'!B43,'- 26 -'!E43,'- 26 -'!H43,'- 27 -'!B43)</f>
        <v>531020</v>
      </c>
      <c r="E43" s="359">
        <f>D43/'- 3 -'!D43*100</f>
        <v>4.2673305557888259</v>
      </c>
      <c r="F43" s="358">
        <f>D43/'- 7 -'!F43</f>
        <v>553.14583333333337</v>
      </c>
      <c r="G43" s="358">
        <f>SUM('- 28 -'!B43,'- 28 -'!E43,'- 28 -'!H43,'- 29 -'!B43,'- 29 -'!E43)</f>
        <v>528131</v>
      </c>
      <c r="H43" s="359">
        <f>G43/'- 3 -'!D43*100</f>
        <v>4.2441142588966674</v>
      </c>
      <c r="I43" s="358">
        <f>G43/'- 7 -'!F43</f>
        <v>550.13645833333328</v>
      </c>
    </row>
    <row r="44" spans="1:10" ht="14.1" customHeight="1">
      <c r="A44" s="23" t="s">
        <v>262</v>
      </c>
      <c r="B44" s="24">
        <f>SUM('- 25 -'!H44,'- 25 -'!F44,'- 25 -'!D44,'- 25 -'!B44)</f>
        <v>9956</v>
      </c>
      <c r="C44" s="350">
        <f>B44/'- 3 -'!D44*100</f>
        <v>9.2489002996231223E-2</v>
      </c>
      <c r="D44" s="24">
        <f>SUM('- 26 -'!B44,'- 26 -'!E44,'- 26 -'!H44,'- 27 -'!B44)</f>
        <v>392391</v>
      </c>
      <c r="E44" s="350">
        <f>D44/'- 3 -'!D44*100</f>
        <v>3.6452242240552604</v>
      </c>
      <c r="F44" s="24">
        <f>D44/'- 7 -'!F44</f>
        <v>558.96153846153845</v>
      </c>
      <c r="G44" s="24">
        <f>SUM('- 28 -'!B44,'- 28 -'!E44,'- 28 -'!H44,'- 29 -'!B44,'- 29 -'!E44)</f>
        <v>166740</v>
      </c>
      <c r="H44" s="350">
        <f>G44/'- 3 -'!D44*100</f>
        <v>1.5489771353547204</v>
      </c>
      <c r="I44" s="24">
        <f>G44/'- 7 -'!F44</f>
        <v>237.52136752136752</v>
      </c>
    </row>
    <row r="45" spans="1:10" ht="14.1" customHeight="1">
      <c r="A45" s="357" t="s">
        <v>263</v>
      </c>
      <c r="B45" s="358">
        <f>SUM('- 25 -'!H45,'- 25 -'!F45,'- 25 -'!D45,'- 25 -'!B45)</f>
        <v>51927</v>
      </c>
      <c r="C45" s="359">
        <f>B45/'- 3 -'!D45*100</f>
        <v>0.29575364809536292</v>
      </c>
      <c r="D45" s="358">
        <f>SUM('- 26 -'!B45,'- 26 -'!E45,'- 26 -'!H45,'- 27 -'!B45)</f>
        <v>696911</v>
      </c>
      <c r="E45" s="359">
        <f>D45/'- 3 -'!D45*100</f>
        <v>3.9693024948059286</v>
      </c>
      <c r="F45" s="358">
        <f>D45/'- 7 -'!F45</f>
        <v>414.58120166567517</v>
      </c>
      <c r="G45" s="358">
        <f>SUM('- 28 -'!B45,'- 28 -'!E45,'- 28 -'!H45,'- 29 -'!B45,'- 29 -'!E45)</f>
        <v>531254</v>
      </c>
      <c r="H45" s="359">
        <f>G45/'- 3 -'!D45*100</f>
        <v>3.0257921421467429</v>
      </c>
      <c r="I45" s="358">
        <f>G45/'- 7 -'!F45</f>
        <v>316.03450327186198</v>
      </c>
    </row>
    <row r="46" spans="1:10" ht="14.1" customHeight="1">
      <c r="A46" s="23" t="s">
        <v>264</v>
      </c>
      <c r="B46" s="24">
        <f>SUM('- 25 -'!H46,'- 25 -'!F46,'- 25 -'!D46,'- 25 -'!B46)</f>
        <v>9131500</v>
      </c>
      <c r="C46" s="350">
        <f>B46/'- 3 -'!D46*100</f>
        <v>2.4698827931543823</v>
      </c>
      <c r="D46" s="24">
        <f>SUM('- 26 -'!B46,'- 26 -'!E46,'- 26 -'!H46,'- 27 -'!B46)</f>
        <v>10405500</v>
      </c>
      <c r="E46" s="350">
        <f>D46/'- 3 -'!D46*100</f>
        <v>2.8144735699685621</v>
      </c>
      <c r="F46" s="24">
        <f>D46/'- 7 -'!F46</f>
        <v>344.11998148025663</v>
      </c>
      <c r="G46" s="24">
        <f>SUM('- 28 -'!B46,'- 28 -'!E46,'- 28 -'!H46,'- 29 -'!B46,'- 29 -'!E46)</f>
        <v>9622100</v>
      </c>
      <c r="H46" s="350">
        <f>G46/'- 3 -'!D46*100</f>
        <v>2.6025799949636732</v>
      </c>
      <c r="I46" s="24">
        <f>G46/'- 7 -'!F46</f>
        <v>318.21218334545938</v>
      </c>
    </row>
    <row r="47" spans="1:10" ht="5.0999999999999996" customHeight="1">
      <c r="A47"/>
      <c r="B47"/>
      <c r="C47"/>
      <c r="D47"/>
      <c r="E47"/>
      <c r="F47"/>
      <c r="G47"/>
      <c r="H47"/>
      <c r="I47"/>
      <c r="J47"/>
    </row>
    <row r="48" spans="1:10" ht="14.1" customHeight="1">
      <c r="A48" s="360" t="s">
        <v>265</v>
      </c>
      <c r="B48" s="361">
        <f>SUM(B11:B46)</f>
        <v>21168434</v>
      </c>
      <c r="C48" s="362">
        <f>B48/'- 3 -'!D48*100</f>
        <v>0.98655021461874148</v>
      </c>
      <c r="D48" s="361">
        <f>SUM(D11:D46)</f>
        <v>74788230</v>
      </c>
      <c r="E48" s="362">
        <f>D48/'- 3 -'!D48*100</f>
        <v>3.4854890237726512</v>
      </c>
      <c r="F48" s="361">
        <f>D48/'- 7 -'!F48</f>
        <v>432.6625429982679</v>
      </c>
      <c r="G48" s="361">
        <f>SUM(G11:G46)</f>
        <v>74143662</v>
      </c>
      <c r="H48" s="362">
        <f>G48/'- 3 -'!D48*100</f>
        <v>3.4554490737821899</v>
      </c>
      <c r="I48" s="361">
        <f>G48/'- 7 -'!F48</f>
        <v>428.93360824455988</v>
      </c>
    </row>
    <row r="49" spans="1:9" ht="5.0999999999999996" customHeight="1">
      <c r="A49" s="25" t="s">
        <v>3</v>
      </c>
      <c r="B49" s="26"/>
      <c r="C49" s="349"/>
      <c r="D49" s="26"/>
      <c r="E49" s="349"/>
      <c r="G49" s="26"/>
      <c r="H49" s="349"/>
      <c r="I49" s="26"/>
    </row>
    <row r="50" spans="1:9" ht="14.1" customHeight="1">
      <c r="A50" s="23" t="s">
        <v>266</v>
      </c>
      <c r="B50" s="24">
        <f>SUM('- 25 -'!H50,'- 25 -'!F50,'- 25 -'!D50,'- 25 -'!B50)</f>
        <v>109716</v>
      </c>
      <c r="C50" s="350">
        <f>B50/'- 3 -'!D50*100</f>
        <v>3.2619903028659705</v>
      </c>
      <c r="D50" s="24">
        <f>SUM('- 26 -'!B50,'- 26 -'!E50,'- 26 -'!H50,'- 27 -'!B50)</f>
        <v>144906</v>
      </c>
      <c r="E50" s="350">
        <f>D50/'- 3 -'!D50*100</f>
        <v>4.3082318606866483</v>
      </c>
      <c r="F50" s="24">
        <f>D50/'- 7 -'!F50</f>
        <v>828.03428571428572</v>
      </c>
      <c r="G50" s="24">
        <f>SUM('- 28 -'!B50,'- 28 -'!E50,'- 28 -'!H50,'- 29 -'!B50,'- 29 -'!E50)</f>
        <v>87256</v>
      </c>
      <c r="H50" s="350">
        <f>G50/'- 3 -'!D50*100</f>
        <v>2.594227148883236</v>
      </c>
      <c r="I50" s="24">
        <f>G50/'- 7 -'!F50</f>
        <v>498.60571428571427</v>
      </c>
    </row>
    <row r="51" spans="1:9" ht="14.1" customHeight="1">
      <c r="A51" s="511" t="s">
        <v>691</v>
      </c>
      <c r="B51" s="358">
        <f>SUM('- 25 -'!H51,'- 25 -'!F51,'- 25 -'!D51,'- 25 -'!B51)</f>
        <v>8415887</v>
      </c>
      <c r="C51" s="359">
        <f>B51/'- 3 -'!D51*100</f>
        <v>37.383502584498025</v>
      </c>
      <c r="D51" s="358">
        <f>SUM('- 26 -'!B51,'- 26 -'!E51,'- 26 -'!H51,'- 27 -'!B51)</f>
        <v>2858717</v>
      </c>
      <c r="E51" s="359">
        <f>D51/'- 3 -'!D51*100</f>
        <v>12.698465932093484</v>
      </c>
      <c r="F51" s="358">
        <f>D51/'- 7 -'!F51</f>
        <v>4603.4090177133658</v>
      </c>
      <c r="G51" s="358">
        <f>SUM('- 28 -'!B51,'- 28 -'!E51,'- 28 -'!H51,'- 29 -'!B51,'- 29 -'!E51)</f>
        <v>469613</v>
      </c>
      <c r="H51" s="359">
        <f>G51/'- 3 -'!D51*100</f>
        <v>2.0860283413042344</v>
      </c>
      <c r="I51" s="358">
        <f>G51/'- 7 -'!F51</f>
        <v>756.22061191626403</v>
      </c>
    </row>
    <row r="52" spans="1:9" ht="50.1" customHeight="1"/>
    <row r="53" spans="1:9" ht="15" customHeight="1">
      <c r="E53" s="153"/>
    </row>
    <row r="54" spans="1:9" ht="14.45" customHeight="1">
      <c r="B54" s="92"/>
      <c r="C54" s="92"/>
      <c r="D54" s="92"/>
      <c r="E54" s="92"/>
      <c r="F54" s="92"/>
      <c r="G54" s="92"/>
      <c r="H54" s="92"/>
    </row>
    <row r="55" spans="1:9" ht="14.45" customHeight="1"/>
    <row r="56" spans="1:9" ht="14.45" customHeight="1"/>
    <row r="57" spans="1:9" ht="14.45" customHeight="1"/>
    <row r="58" spans="1:9" ht="14.45" customHeight="1"/>
    <row r="59" spans="1:9" ht="14.45" customHeight="1"/>
  </sheetData>
  <phoneticPr fontId="0" type="noConversion"/>
  <printOptions horizontalCentered="1"/>
  <pageMargins left="0.5" right="0.5" top="0.6" bottom="0" header="0.3" footer="0"/>
  <pageSetup scale="90" orientation="portrait" r:id="rId1"/>
  <headerFooter alignWithMargins="0">
    <oddHeader>&amp;C&amp;"Arial,Bold"&amp;10&amp;A</oddHeader>
  </headerFooter>
</worksheet>
</file>

<file path=xl/worksheets/sheet13.xml><?xml version="1.0" encoding="utf-8"?>
<worksheet xmlns="http://schemas.openxmlformats.org/spreadsheetml/2006/main" xmlns:r="http://schemas.openxmlformats.org/officeDocument/2006/relationships">
  <sheetPr codeName="Sheet12">
    <pageSetUpPr fitToPage="1"/>
  </sheetPr>
  <dimension ref="A1:K59"/>
  <sheetViews>
    <sheetView showGridLines="0" showZeros="0" workbookViewId="0"/>
  </sheetViews>
  <sheetFormatPr defaultColWidth="15.83203125" defaultRowHeight="12"/>
  <cols>
    <col min="1" max="1" width="32.83203125" style="1" customWidth="1"/>
    <col min="2" max="2" width="12.1640625" style="1" customWidth="1"/>
    <col min="3" max="3" width="7.83203125" style="1" customWidth="1"/>
    <col min="4" max="4" width="9.83203125" style="1" customWidth="1"/>
    <col min="5" max="5" width="13.33203125" style="1" bestFit="1" customWidth="1"/>
    <col min="6" max="6" width="7.83203125" style="1" customWidth="1"/>
    <col min="7" max="7" width="9.83203125" style="1" customWidth="1"/>
    <col min="8" max="8" width="12" style="1" bestFit="1" customWidth="1"/>
    <col min="9" max="9" width="7.83203125" style="1" customWidth="1"/>
    <col min="10" max="10" width="9.83203125" style="1" customWidth="1"/>
    <col min="11" max="16384" width="15.83203125" style="1"/>
  </cols>
  <sheetData>
    <row r="1" spans="1:10" ht="6.95" customHeight="1">
      <c r="A1" s="3"/>
      <c r="B1" s="4"/>
      <c r="C1" s="4"/>
      <c r="D1" s="4"/>
      <c r="E1" s="4"/>
      <c r="F1" s="4"/>
      <c r="G1" s="4"/>
      <c r="H1" s="4"/>
      <c r="I1" s="4"/>
      <c r="J1" s="4"/>
    </row>
    <row r="2" spans="1:10" ht="15.95" customHeight="1">
      <c r="A2" s="159"/>
      <c r="B2" s="5" t="s">
        <v>478</v>
      </c>
      <c r="C2" s="6"/>
      <c r="D2" s="6"/>
      <c r="E2" s="6"/>
      <c r="F2" s="6"/>
      <c r="G2" s="6"/>
      <c r="H2" s="106"/>
      <c r="I2" s="106"/>
      <c r="J2" s="182" t="s">
        <v>5</v>
      </c>
    </row>
    <row r="3" spans="1:10" ht="15.95" customHeight="1">
      <c r="A3" s="162"/>
      <c r="B3" s="7" t="str">
        <f>OPYEAR</f>
        <v>OPERATING FUND 2014/2015 BUDGET</v>
      </c>
      <c r="C3" s="8"/>
      <c r="D3" s="8"/>
      <c r="E3" s="8"/>
      <c r="F3" s="8"/>
      <c r="G3" s="8"/>
      <c r="H3" s="108"/>
      <c r="I3" s="108"/>
      <c r="J3" s="101"/>
    </row>
    <row r="4" spans="1:10" ht="15.95" customHeight="1">
      <c r="B4" s="4"/>
      <c r="C4" s="4"/>
      <c r="D4" s="4"/>
      <c r="E4" s="4"/>
      <c r="F4" s="4"/>
      <c r="G4" s="4"/>
      <c r="H4" s="4"/>
      <c r="I4" s="4"/>
      <c r="J4" s="4"/>
    </row>
    <row r="5" spans="1:10" ht="15.95" customHeight="1">
      <c r="B5" s="4"/>
      <c r="C5" s="4"/>
      <c r="D5" s="4"/>
      <c r="E5" s="4"/>
      <c r="F5" s="4"/>
      <c r="G5" s="4"/>
      <c r="H5" s="4"/>
      <c r="I5" s="4"/>
      <c r="J5" s="4"/>
    </row>
    <row r="6" spans="1:10" ht="15.95" customHeight="1">
      <c r="B6" s="351" t="s">
        <v>23</v>
      </c>
      <c r="C6" s="352"/>
      <c r="D6" s="353"/>
      <c r="E6" s="351" t="s">
        <v>24</v>
      </c>
      <c r="F6" s="352"/>
      <c r="G6" s="353"/>
      <c r="H6" s="351" t="s">
        <v>3</v>
      </c>
      <c r="I6" s="352"/>
      <c r="J6" s="353"/>
    </row>
    <row r="7" spans="1:10" ht="15.95" customHeight="1">
      <c r="B7" s="354" t="s">
        <v>51</v>
      </c>
      <c r="C7" s="355"/>
      <c r="D7" s="356"/>
      <c r="E7" s="354" t="s">
        <v>52</v>
      </c>
      <c r="F7" s="355"/>
      <c r="G7" s="356"/>
      <c r="H7" s="354" t="s">
        <v>53</v>
      </c>
      <c r="I7" s="355"/>
      <c r="J7" s="356"/>
    </row>
    <row r="8" spans="1:10" ht="15.95" customHeight="1">
      <c r="A8" s="102"/>
      <c r="B8" s="168"/>
      <c r="C8" s="167"/>
      <c r="D8" s="167" t="s">
        <v>60</v>
      </c>
      <c r="E8" s="168"/>
      <c r="F8" s="167"/>
      <c r="G8" s="167" t="s">
        <v>60</v>
      </c>
      <c r="H8" s="168"/>
      <c r="I8" s="167"/>
      <c r="J8" s="167" t="s">
        <v>60</v>
      </c>
    </row>
    <row r="9" spans="1:10" ht="15.95" customHeight="1">
      <c r="A9" s="35" t="s">
        <v>81</v>
      </c>
      <c r="B9" s="113" t="s">
        <v>82</v>
      </c>
      <c r="C9" s="113" t="s">
        <v>83</v>
      </c>
      <c r="D9" s="113" t="s">
        <v>84</v>
      </c>
      <c r="E9" s="113" t="s">
        <v>82</v>
      </c>
      <c r="F9" s="113" t="s">
        <v>83</v>
      </c>
      <c r="G9" s="113" t="s">
        <v>84</v>
      </c>
      <c r="H9" s="113" t="s">
        <v>82</v>
      </c>
      <c r="I9" s="113" t="s">
        <v>83</v>
      </c>
      <c r="J9" s="113" t="s">
        <v>84</v>
      </c>
    </row>
    <row r="10" spans="1:10" ht="5.0999999999999996" customHeight="1">
      <c r="A10" s="37"/>
    </row>
    <row r="11" spans="1:10" ht="14.1" customHeight="1">
      <c r="A11" s="357" t="s">
        <v>230</v>
      </c>
      <c r="B11" s="358">
        <f>SUM('- 31 -'!D11,'- 31 -'!B11,'- 30 -'!F11,'- 30 -'!D11,'- 30 -'!B11)</f>
        <v>1228450</v>
      </c>
      <c r="C11" s="359">
        <f>B11/'- 3 -'!D11*100</f>
        <v>7.0721068781902776</v>
      </c>
      <c r="D11" s="358">
        <f>B11/'- 7 -'!F11</f>
        <v>794.34206272227607</v>
      </c>
      <c r="E11" s="358">
        <f>SUM('- 33 -'!D11,'- 33 -'!B11,'- 32 -'!F11,'- 32 -'!D11,'- 32 -'!B11)</f>
        <v>1864895</v>
      </c>
      <c r="F11" s="359">
        <f>E11/'- 3 -'!D11*100</f>
        <v>10.736079414386143</v>
      </c>
      <c r="G11" s="358">
        <f>E11/'- 7 -'!F11</f>
        <v>1205.8810216618169</v>
      </c>
      <c r="H11" s="358">
        <f>SUM('- 34 -'!B11,'- 34 -'!D11)</f>
        <v>297000</v>
      </c>
      <c r="I11" s="359">
        <f>H11/'- 3 -'!D11*100</f>
        <v>1.7098097137225872</v>
      </c>
      <c r="J11" s="358">
        <f>H11/'- 7 -'!F11</f>
        <v>192.04655674102813</v>
      </c>
    </row>
    <row r="12" spans="1:10" ht="14.1" customHeight="1">
      <c r="A12" s="23" t="s">
        <v>231</v>
      </c>
      <c r="B12" s="24">
        <f>SUM('- 31 -'!D12,'- 31 -'!B12,'- 30 -'!F12,'- 30 -'!D12,'- 30 -'!B12)</f>
        <v>2439924</v>
      </c>
      <c r="C12" s="350">
        <f>B12/'- 3 -'!D12*100</f>
        <v>7.7548636666804924</v>
      </c>
      <c r="D12" s="24">
        <f>B12/'- 7 -'!F12</f>
        <v>1115.8120987067152</v>
      </c>
      <c r="E12" s="24">
        <f>SUM('- 33 -'!D12,'- 33 -'!B12,'- 32 -'!F12,'- 32 -'!D12,'- 32 -'!B12)</f>
        <v>3379444</v>
      </c>
      <c r="F12" s="350">
        <f>E12/'- 3 -'!D12*100</f>
        <v>10.74096057466601</v>
      </c>
      <c r="G12" s="24">
        <f>E12/'- 7 -'!F12</f>
        <v>1545.4680154389305</v>
      </c>
      <c r="H12" s="24">
        <f>SUM('- 34 -'!B12,'- 34 -'!D12)</f>
        <v>517668</v>
      </c>
      <c r="I12" s="350">
        <f>H12/'- 3 -'!D12*100</f>
        <v>1.6453154953200007</v>
      </c>
      <c r="J12" s="24">
        <f>H12/'- 7 -'!F12</f>
        <v>236.73697111602979</v>
      </c>
    </row>
    <row r="13" spans="1:10" ht="14.1" customHeight="1">
      <c r="A13" s="357" t="s">
        <v>232</v>
      </c>
      <c r="B13" s="358">
        <f>SUM('- 31 -'!D13,'- 31 -'!B13,'- 30 -'!F13,'- 30 -'!D13,'- 30 -'!B13)</f>
        <v>2151300</v>
      </c>
      <c r="C13" s="359">
        <f>B13/'- 3 -'!D13*100</f>
        <v>2.4101798252051054</v>
      </c>
      <c r="D13" s="358">
        <f>B13/'- 7 -'!F13</f>
        <v>264.92113199507912</v>
      </c>
      <c r="E13" s="358">
        <f>SUM('- 33 -'!D13,'- 33 -'!B13,'- 32 -'!F13,'- 32 -'!D13,'- 32 -'!B13)</f>
        <v>7560600</v>
      </c>
      <c r="F13" s="359">
        <f>E13/'- 3 -'!D13*100</f>
        <v>8.4704158352836529</v>
      </c>
      <c r="G13" s="358">
        <f>E13/'- 7 -'!F13</f>
        <v>931.04760403569719</v>
      </c>
      <c r="H13" s="358">
        <f>SUM('- 34 -'!B13,'- 34 -'!D13)</f>
        <v>1568200</v>
      </c>
      <c r="I13" s="359">
        <f>H13/'- 3 -'!D13*100</f>
        <v>1.7569116357024339</v>
      </c>
      <c r="J13" s="358">
        <f>H13/'- 7 -'!F13</f>
        <v>193.11547398999821</v>
      </c>
    </row>
    <row r="14" spans="1:10" ht="14.1" customHeight="1">
      <c r="A14" s="23" t="s">
        <v>566</v>
      </c>
      <c r="B14" s="24">
        <f>SUM('- 31 -'!D14,'- 31 -'!B14,'- 30 -'!F14,'- 30 -'!D14,'- 30 -'!B14)</f>
        <v>8538238</v>
      </c>
      <c r="C14" s="350">
        <f>B14/'- 3 -'!D14*100</f>
        <v>10.685374720314545</v>
      </c>
      <c r="D14" s="24">
        <f>B14/'- 7 -'!F14</f>
        <v>1606.441768579492</v>
      </c>
      <c r="E14" s="24">
        <f>SUM('- 33 -'!D14,'- 33 -'!B14,'- 32 -'!F14,'- 32 -'!D14,'- 32 -'!B14)</f>
        <v>8110049</v>
      </c>
      <c r="F14" s="350">
        <f>E14/'- 3 -'!D14*100</f>
        <v>10.149507728071326</v>
      </c>
      <c r="G14" s="24">
        <f>E14/'- 7 -'!F14</f>
        <v>1525.8793979303857</v>
      </c>
      <c r="H14" s="24">
        <f>SUM('- 34 -'!B14,'- 34 -'!D14)</f>
        <v>1166080</v>
      </c>
      <c r="I14" s="350">
        <f>H14/'- 3 -'!D14*100</f>
        <v>1.4593176898868814</v>
      </c>
      <c r="J14" s="24">
        <f>H14/'- 7 -'!F14</f>
        <v>219.39416745061149</v>
      </c>
    </row>
    <row r="15" spans="1:10" ht="14.1" customHeight="1">
      <c r="A15" s="357" t="s">
        <v>233</v>
      </c>
      <c r="B15" s="358">
        <f>SUM('- 31 -'!D15,'- 31 -'!B15,'- 30 -'!F15,'- 30 -'!D15,'- 30 -'!B15)</f>
        <v>1338700</v>
      </c>
      <c r="C15" s="359">
        <f>B15/'- 3 -'!D15*100</f>
        <v>6.7516989699510805</v>
      </c>
      <c r="D15" s="358">
        <f>B15/'- 7 -'!F15</f>
        <v>921.65232358003448</v>
      </c>
      <c r="E15" s="358">
        <f>SUM('- 33 -'!D15,'- 33 -'!B15,'- 32 -'!F15,'- 32 -'!D15,'- 32 -'!B15)</f>
        <v>2555400</v>
      </c>
      <c r="F15" s="359">
        <f>E15/'- 3 -'!D15*100</f>
        <v>12.888094082178975</v>
      </c>
      <c r="G15" s="358">
        <f>E15/'- 7 -'!F15</f>
        <v>1759.3115318416524</v>
      </c>
      <c r="H15" s="358">
        <f>SUM('- 34 -'!B15,'- 34 -'!D15)</f>
        <v>312000</v>
      </c>
      <c r="I15" s="359">
        <f>H15/'- 3 -'!D15*100</f>
        <v>1.5735639640133989</v>
      </c>
      <c r="J15" s="358">
        <f>H15/'- 7 -'!F15</f>
        <v>214.80206540447503</v>
      </c>
    </row>
    <row r="16" spans="1:10" ht="14.1" customHeight="1">
      <c r="A16" s="23" t="s">
        <v>234</v>
      </c>
      <c r="B16" s="24">
        <f>SUM('- 31 -'!D16,'- 31 -'!B16,'- 30 -'!F16,'- 30 -'!D16,'- 30 -'!B16)</f>
        <v>453734</v>
      </c>
      <c r="C16" s="350">
        <f>B16/'- 3 -'!D16*100</f>
        <v>3.3655837474290857</v>
      </c>
      <c r="D16" s="24">
        <f>B16/'- 7 -'!F16</f>
        <v>471.65696465696465</v>
      </c>
      <c r="E16" s="24">
        <f>SUM('- 33 -'!D16,'- 33 -'!B16,'- 32 -'!F16,'- 32 -'!D16,'- 32 -'!B16)</f>
        <v>1978519</v>
      </c>
      <c r="F16" s="350">
        <f>E16/'- 3 -'!D16*100</f>
        <v>14.675716147301385</v>
      </c>
      <c r="G16" s="24">
        <f>E16/'- 7 -'!F16</f>
        <v>2056.6725571725574</v>
      </c>
      <c r="H16" s="24">
        <f>SUM('- 34 -'!B16,'- 34 -'!D16)</f>
        <v>213500</v>
      </c>
      <c r="I16" s="350">
        <f>H16/'- 3 -'!D16*100</f>
        <v>1.5836418035150766</v>
      </c>
      <c r="J16" s="24">
        <f>H16/'- 7 -'!F16</f>
        <v>221.93347193347194</v>
      </c>
    </row>
    <row r="17" spans="1:10" ht="14.1" customHeight="1">
      <c r="A17" s="357" t="s">
        <v>235</v>
      </c>
      <c r="B17" s="358">
        <f>SUM('- 31 -'!D17,'- 31 -'!B17,'- 30 -'!F17,'- 30 -'!D17,'- 30 -'!B17)</f>
        <v>1382393</v>
      </c>
      <c r="C17" s="359">
        <f>B17/'- 3 -'!D17*100</f>
        <v>8.0546565752993011</v>
      </c>
      <c r="D17" s="358">
        <f>B17/'- 7 -'!F17</f>
        <v>1033.564859813084</v>
      </c>
      <c r="E17" s="358">
        <f>SUM('- 33 -'!D17,'- 33 -'!B17,'- 32 -'!F17,'- 32 -'!D17,'- 32 -'!B17)</f>
        <v>1825548</v>
      </c>
      <c r="F17" s="359">
        <f>E17/'- 3 -'!D17*100</f>
        <v>10.636745268331428</v>
      </c>
      <c r="G17" s="358">
        <f>E17/'- 7 -'!F17</f>
        <v>1364.8957009345795</v>
      </c>
      <c r="H17" s="358">
        <f>SUM('- 34 -'!B17,'- 34 -'!D17)</f>
        <v>339000</v>
      </c>
      <c r="I17" s="359">
        <f>H17/'- 3 -'!D17*100</f>
        <v>1.9752187540203567</v>
      </c>
      <c r="J17" s="358">
        <f>H17/'- 7 -'!F17</f>
        <v>253.45794392523365</v>
      </c>
    </row>
    <row r="18" spans="1:10" ht="14.1" customHeight="1">
      <c r="A18" s="23" t="s">
        <v>236</v>
      </c>
      <c r="B18" s="24">
        <f>SUM('- 31 -'!D18,'- 31 -'!B18,'- 30 -'!F18,'- 30 -'!D18,'- 30 -'!B18)</f>
        <v>10621308</v>
      </c>
      <c r="C18" s="350">
        <f>B18/'- 3 -'!D18*100</f>
        <v>8.5811171146488263</v>
      </c>
      <c r="D18" s="24">
        <f>B18/'- 7 -'!F18</f>
        <v>1721.2484807234189</v>
      </c>
      <c r="E18" s="24">
        <f>SUM('- 33 -'!D18,'- 33 -'!B18,'- 32 -'!F18,'- 32 -'!D18,'- 32 -'!B18)</f>
        <v>21321921</v>
      </c>
      <c r="F18" s="350">
        <f>E18/'- 3 -'!D18*100</f>
        <v>17.226305951234089</v>
      </c>
      <c r="G18" s="24">
        <f>E18/'- 7 -'!F18</f>
        <v>3455.3488259030582</v>
      </c>
      <c r="H18" s="24">
        <f>SUM('- 34 -'!B18,'- 34 -'!D18)</f>
        <v>2100000</v>
      </c>
      <c r="I18" s="350">
        <f>H18/'- 3 -'!D18*100</f>
        <v>1.6966221053718182</v>
      </c>
      <c r="J18" s="24">
        <f>H18/'- 7 -'!F18</f>
        <v>340.31795420292673</v>
      </c>
    </row>
    <row r="19" spans="1:10" ht="14.1" customHeight="1">
      <c r="A19" s="357" t="s">
        <v>237</v>
      </c>
      <c r="B19" s="358">
        <f>SUM('- 31 -'!D19,'- 31 -'!B19,'- 30 -'!F19,'- 30 -'!D19,'- 30 -'!B19)</f>
        <v>2766200</v>
      </c>
      <c r="C19" s="359">
        <f>B19/'- 3 -'!D19*100</f>
        <v>6.3664391853388231</v>
      </c>
      <c r="D19" s="358">
        <f>B19/'- 7 -'!F19</f>
        <v>678.07329329574702</v>
      </c>
      <c r="E19" s="358">
        <f>SUM('- 33 -'!D19,'- 33 -'!B19,'- 32 -'!F19,'- 32 -'!D19,'- 32 -'!B19)</f>
        <v>3984250</v>
      </c>
      <c r="F19" s="359">
        <f>E19/'- 3 -'!D19*100</f>
        <v>9.1697944198489658</v>
      </c>
      <c r="G19" s="358">
        <f>E19/'- 7 -'!F19</f>
        <v>976.65155043510231</v>
      </c>
      <c r="H19" s="358">
        <f>SUM('- 34 -'!B19,'- 34 -'!D19)</f>
        <v>745000</v>
      </c>
      <c r="I19" s="359">
        <f>H19/'- 3 -'!D19*100</f>
        <v>1.7146255487952511</v>
      </c>
      <c r="J19" s="358">
        <f>H19/'- 7 -'!F19</f>
        <v>182.6204191690158</v>
      </c>
    </row>
    <row r="20" spans="1:10" ht="14.1" customHeight="1">
      <c r="A20" s="23" t="s">
        <v>238</v>
      </c>
      <c r="B20" s="24">
        <f>SUM('- 31 -'!D20,'- 31 -'!B20,'- 30 -'!F20,'- 30 -'!D20,'- 30 -'!B20)</f>
        <v>3859600</v>
      </c>
      <c r="C20" s="350">
        <f>B20/'- 3 -'!D20*100</f>
        <v>5.0965540554816089</v>
      </c>
      <c r="D20" s="24">
        <f>B20/'- 7 -'!F20</f>
        <v>510.59663976716496</v>
      </c>
      <c r="E20" s="24">
        <f>SUM('- 33 -'!D20,'- 33 -'!B20,'- 32 -'!F20,'- 32 -'!D20,'- 32 -'!B20)</f>
        <v>9231200</v>
      </c>
      <c r="F20" s="350">
        <f>E20/'- 3 -'!D20*100</f>
        <v>12.189685407027106</v>
      </c>
      <c r="G20" s="24">
        <f>E20/'- 7 -'!F20</f>
        <v>1221.2197380605901</v>
      </c>
      <c r="H20" s="24">
        <f>SUM('- 34 -'!B20,'- 34 -'!D20)</f>
        <v>1335300</v>
      </c>
      <c r="I20" s="350">
        <f>H20/'- 3 -'!D20*100</f>
        <v>1.7632471319008685</v>
      </c>
      <c r="J20" s="24">
        <f>H20/'- 7 -'!F20</f>
        <v>176.65035057547294</v>
      </c>
    </row>
    <row r="21" spans="1:10" ht="14.1" customHeight="1">
      <c r="A21" s="357" t="s">
        <v>239</v>
      </c>
      <c r="B21" s="358">
        <f>SUM('- 31 -'!D21,'- 31 -'!B21,'- 30 -'!F21,'- 30 -'!D21,'- 30 -'!B21)</f>
        <v>2085000</v>
      </c>
      <c r="C21" s="359">
        <f>B21/'- 3 -'!D21*100</f>
        <v>6.0463342337006489</v>
      </c>
      <c r="D21" s="358">
        <f>B21/'- 7 -'!F21</f>
        <v>784.12937194433994</v>
      </c>
      <c r="E21" s="358">
        <f>SUM('- 33 -'!D21,'- 33 -'!B21,'- 32 -'!F21,'- 32 -'!D21,'- 32 -'!B21)</f>
        <v>3498000</v>
      </c>
      <c r="F21" s="359">
        <f>E21/'- 3 -'!D21*100</f>
        <v>10.143921894237348</v>
      </c>
      <c r="G21" s="358">
        <f>E21/'- 7 -'!F21</f>
        <v>1315.5321549454682</v>
      </c>
      <c r="H21" s="358">
        <f>SUM('- 34 -'!B21,'- 34 -'!D21)</f>
        <v>620000</v>
      </c>
      <c r="I21" s="359">
        <f>H21/'- 3 -'!D21*100</f>
        <v>1.7979507073834062</v>
      </c>
      <c r="J21" s="358">
        <f>H21/'- 7 -'!F21</f>
        <v>233.17036479879653</v>
      </c>
    </row>
    <row r="22" spans="1:10" ht="14.1" customHeight="1">
      <c r="A22" s="23" t="s">
        <v>240</v>
      </c>
      <c r="B22" s="24">
        <f>SUM('- 31 -'!D22,'- 31 -'!B22,'- 30 -'!F22,'- 30 -'!D22,'- 30 -'!B22)</f>
        <v>589015</v>
      </c>
      <c r="C22" s="350">
        <f>B22/'- 3 -'!D22*100</f>
        <v>3.0356044659665096</v>
      </c>
      <c r="D22" s="24">
        <f>B22/'- 7 -'!F22</f>
        <v>377.33183856502239</v>
      </c>
      <c r="E22" s="24">
        <f>SUM('- 33 -'!D22,'- 33 -'!B22,'- 32 -'!F22,'- 32 -'!D22,'- 32 -'!B22)</f>
        <v>2666695</v>
      </c>
      <c r="F22" s="350">
        <f>E22/'- 3 -'!D22*100</f>
        <v>13.743336335017888</v>
      </c>
      <c r="G22" s="24">
        <f>E22/'- 7 -'!F22</f>
        <v>1708.3247918001282</v>
      </c>
      <c r="H22" s="24">
        <f>SUM('- 34 -'!B22,'- 34 -'!D22)</f>
        <v>363000</v>
      </c>
      <c r="I22" s="350">
        <f>H22/'- 3 -'!D22*100</f>
        <v>1.8707917814416319</v>
      </c>
      <c r="J22" s="24">
        <f>H22/'- 7 -'!F22</f>
        <v>232.54324151185136</v>
      </c>
    </row>
    <row r="23" spans="1:10" ht="14.1" customHeight="1">
      <c r="A23" s="357" t="s">
        <v>241</v>
      </c>
      <c r="B23" s="358">
        <f>SUM('- 31 -'!D23,'- 31 -'!B23,'- 30 -'!F23,'- 30 -'!D23,'- 30 -'!B23)</f>
        <v>1620590</v>
      </c>
      <c r="C23" s="359">
        <f>B23/'- 3 -'!D23*100</f>
        <v>9.9460042666326256</v>
      </c>
      <c r="D23" s="358">
        <f>B23/'- 7 -'!F23</f>
        <v>1412.2788671023966</v>
      </c>
      <c r="E23" s="358">
        <f>SUM('- 33 -'!D23,'- 33 -'!B23,'- 32 -'!F23,'- 32 -'!D23,'- 32 -'!B23)</f>
        <v>1409082</v>
      </c>
      <c r="F23" s="359">
        <f>E23/'- 3 -'!D23*100</f>
        <v>8.647921796404539</v>
      </c>
      <c r="G23" s="358">
        <f>E23/'- 7 -'!F23</f>
        <v>1227.9581699346404</v>
      </c>
      <c r="H23" s="358">
        <f>SUM('- 34 -'!B23,'- 34 -'!D23)</f>
        <v>255000</v>
      </c>
      <c r="I23" s="359">
        <f>H23/'- 3 -'!D23*100</f>
        <v>1.5650047747988818</v>
      </c>
      <c r="J23" s="358">
        <f>H23/'- 7 -'!F23</f>
        <v>222.22222222222223</v>
      </c>
    </row>
    <row r="24" spans="1:10" ht="14.1" customHeight="1">
      <c r="A24" s="23" t="s">
        <v>242</v>
      </c>
      <c r="B24" s="24">
        <f>SUM('- 31 -'!D24,'- 31 -'!B24,'- 30 -'!F24,'- 30 -'!D24,'- 30 -'!B24)</f>
        <v>2562490</v>
      </c>
      <c r="C24" s="350">
        <f>B24/'- 3 -'!D24*100</f>
        <v>4.7165132556074685</v>
      </c>
      <c r="D24" s="24">
        <f>B24/'- 7 -'!F24</f>
        <v>632.86984440602623</v>
      </c>
      <c r="E24" s="24">
        <f>SUM('- 33 -'!D24,'- 33 -'!B24,'- 32 -'!F24,'- 32 -'!D24,'- 32 -'!B24)</f>
        <v>6101230</v>
      </c>
      <c r="F24" s="350">
        <f>E24/'- 3 -'!D24*100</f>
        <v>11.229910036921103</v>
      </c>
      <c r="G24" s="24">
        <f>E24/'- 7 -'!F24</f>
        <v>1506.8486045937268</v>
      </c>
      <c r="H24" s="24">
        <f>SUM('- 34 -'!B24,'- 34 -'!D24)</f>
        <v>934530</v>
      </c>
      <c r="I24" s="350">
        <f>H24/'- 3 -'!D24*100</f>
        <v>1.7200937887612626</v>
      </c>
      <c r="J24" s="24">
        <f>H24/'- 7 -'!F24</f>
        <v>230.8051370708817</v>
      </c>
    </row>
    <row r="25" spans="1:10" ht="14.1" customHeight="1">
      <c r="A25" s="357" t="s">
        <v>243</v>
      </c>
      <c r="B25" s="358">
        <f>SUM('- 31 -'!D25,'- 31 -'!B25,'- 30 -'!F25,'- 30 -'!D25,'- 30 -'!B25)</f>
        <v>3720008</v>
      </c>
      <c r="C25" s="359">
        <f>B25/'- 3 -'!D25*100</f>
        <v>2.3395480841786958</v>
      </c>
      <c r="D25" s="358">
        <f>B25/'- 7 -'!F25</f>
        <v>270.64445252819206</v>
      </c>
      <c r="E25" s="358">
        <f>SUM('- 33 -'!D25,'- 33 -'!B25,'- 32 -'!F25,'- 32 -'!D25,'- 32 -'!B25)</f>
        <v>16785731</v>
      </c>
      <c r="F25" s="359">
        <f>E25/'- 3 -'!D25*100</f>
        <v>10.55670439488005</v>
      </c>
      <c r="G25" s="358">
        <f>E25/'- 7 -'!F25</f>
        <v>1221.2245180065479</v>
      </c>
      <c r="H25" s="358">
        <f>SUM('- 34 -'!B25,'- 34 -'!D25)</f>
        <v>2687281</v>
      </c>
      <c r="I25" s="359">
        <f>H25/'- 3 -'!D25*100</f>
        <v>1.690056342674481</v>
      </c>
      <c r="J25" s="358">
        <f>H25/'- 7 -'!F25</f>
        <v>195.50971262277193</v>
      </c>
    </row>
    <row r="26" spans="1:10" ht="14.1" customHeight="1">
      <c r="A26" s="23" t="s">
        <v>244</v>
      </c>
      <c r="B26" s="24">
        <f>SUM('- 31 -'!D26,'- 31 -'!B26,'- 30 -'!F26,'- 30 -'!D26,'- 30 -'!B26)</f>
        <v>3051340</v>
      </c>
      <c r="C26" s="350">
        <f>B26/'- 3 -'!D26*100</f>
        <v>7.8402830430208086</v>
      </c>
      <c r="D26" s="24">
        <f>B26/'- 7 -'!F26</f>
        <v>988.12823834196888</v>
      </c>
      <c r="E26" s="24">
        <f>SUM('- 33 -'!D26,'- 33 -'!B26,'- 32 -'!F26,'- 32 -'!D26,'- 32 -'!B26)</f>
        <v>4925881</v>
      </c>
      <c r="F26" s="350">
        <f>E26/'- 3 -'!D26*100</f>
        <v>12.656833154036711</v>
      </c>
      <c r="G26" s="24">
        <f>E26/'- 7 -'!F26</f>
        <v>1595.1687176165804</v>
      </c>
      <c r="H26" s="24">
        <f>SUM('- 34 -'!B26,'- 34 -'!D26)</f>
        <v>703605</v>
      </c>
      <c r="I26" s="350">
        <f>H26/'- 3 -'!D26*100</f>
        <v>1.8078818979480018</v>
      </c>
      <c r="J26" s="24">
        <f>H26/'- 7 -'!F26</f>
        <v>227.85136010362694</v>
      </c>
    </row>
    <row r="27" spans="1:10" ht="14.1" customHeight="1">
      <c r="A27" s="357" t="s">
        <v>245</v>
      </c>
      <c r="B27" s="358">
        <f>SUM('- 31 -'!D27,'- 31 -'!B27,'- 30 -'!F27,'- 30 -'!D27,'- 30 -'!B27)</f>
        <v>340000</v>
      </c>
      <c r="C27" s="359">
        <f>B27/'- 3 -'!D27*100</f>
        <v>0.86975881102128694</v>
      </c>
      <c r="D27" s="358">
        <f>B27/'- 7 -'!F27</f>
        <v>117.64705882352941</v>
      </c>
      <c r="E27" s="358">
        <f>SUM('- 33 -'!D27,'- 33 -'!B27,'- 32 -'!F27,'- 32 -'!D27,'- 32 -'!B27)</f>
        <v>4997555</v>
      </c>
      <c r="F27" s="359">
        <f>E27/'- 3 -'!D27*100</f>
        <v>12.78431616121614</v>
      </c>
      <c r="G27" s="358">
        <f>E27/'- 7 -'!F27</f>
        <v>1729.2577854671281</v>
      </c>
      <c r="H27" s="358">
        <f>SUM('- 34 -'!B27,'- 34 -'!D27)</f>
        <v>693559</v>
      </c>
      <c r="I27" s="359">
        <f>H27/'- 3 -'!D27*100</f>
        <v>1.774203091803273</v>
      </c>
      <c r="J27" s="358">
        <f>H27/'- 7 -'!F27</f>
        <v>239.98581314878894</v>
      </c>
    </row>
    <row r="28" spans="1:10" ht="14.1" customHeight="1">
      <c r="A28" s="23" t="s">
        <v>246</v>
      </c>
      <c r="B28" s="24">
        <f>SUM('- 31 -'!D28,'- 31 -'!B28,'- 30 -'!F28,'- 30 -'!D28,'- 30 -'!B28)</f>
        <v>2167624</v>
      </c>
      <c r="C28" s="350">
        <f>B28/'- 3 -'!D28*100</f>
        <v>7.9255312516990468</v>
      </c>
      <c r="D28" s="24">
        <f>B28/'- 7 -'!F28</f>
        <v>1093.3790668348045</v>
      </c>
      <c r="E28" s="24">
        <f>SUM('- 33 -'!D28,'- 33 -'!B28,'- 32 -'!F28,'- 32 -'!D28,'- 32 -'!B28)</f>
        <v>2944735</v>
      </c>
      <c r="F28" s="350">
        <f>E28/'- 3 -'!D28*100</f>
        <v>10.766899273338916</v>
      </c>
      <c r="G28" s="24">
        <f>E28/'- 7 -'!F28</f>
        <v>1485.3644388398486</v>
      </c>
      <c r="H28" s="24">
        <f>SUM('- 34 -'!B28,'- 34 -'!D28)</f>
        <v>459000</v>
      </c>
      <c r="I28" s="350">
        <f>H28/'- 3 -'!D28*100</f>
        <v>1.6782517837640949</v>
      </c>
      <c r="J28" s="24">
        <f>H28/'- 7 -'!F28</f>
        <v>231.52585119798235</v>
      </c>
    </row>
    <row r="29" spans="1:10" ht="14.1" customHeight="1">
      <c r="A29" s="357" t="s">
        <v>247</v>
      </c>
      <c r="B29" s="358">
        <f>SUM('- 31 -'!D29,'- 31 -'!B29,'- 30 -'!F29,'- 30 -'!D29,'- 30 -'!B29)</f>
        <v>2626839</v>
      </c>
      <c r="C29" s="359">
        <f>B29/'- 3 -'!D29*100</f>
        <v>1.7859842540371089</v>
      </c>
      <c r="D29" s="358">
        <f>B29/'- 7 -'!F29</f>
        <v>217.80514904025537</v>
      </c>
      <c r="E29" s="358">
        <f>SUM('- 33 -'!D29,'- 33 -'!B29,'- 32 -'!F29,'- 32 -'!D29,'- 32 -'!B29)</f>
        <v>17638636</v>
      </c>
      <c r="F29" s="359">
        <f>E29/'- 3 -'!D29*100</f>
        <v>11.99248456364935</v>
      </c>
      <c r="G29" s="358">
        <f>E29/'- 7 -'!F29</f>
        <v>1462.5128311429874</v>
      </c>
      <c r="H29" s="358">
        <f>SUM('- 34 -'!B29,'- 34 -'!D29)</f>
        <v>2565000</v>
      </c>
      <c r="I29" s="359">
        <f>H29/'- 3 -'!D29*100</f>
        <v>1.7439400022632465</v>
      </c>
      <c r="J29" s="358">
        <f>H29/'- 7 -'!F29</f>
        <v>212.67774967870321</v>
      </c>
    </row>
    <row r="30" spans="1:10" ht="14.1" customHeight="1">
      <c r="A30" s="23" t="s">
        <v>248</v>
      </c>
      <c r="B30" s="24">
        <f>SUM('- 31 -'!D30,'- 31 -'!B30,'- 30 -'!F30,'- 30 -'!D30,'- 30 -'!B30)</f>
        <v>1187615</v>
      </c>
      <c r="C30" s="350">
        <f>B30/'- 3 -'!D30*100</f>
        <v>8.8625306473946122</v>
      </c>
      <c r="D30" s="24">
        <f>B30/'- 7 -'!F30</f>
        <v>1158.0838615309606</v>
      </c>
      <c r="E30" s="24">
        <f>SUM('- 33 -'!D30,'- 33 -'!B30,'- 32 -'!F30,'- 32 -'!D30,'- 32 -'!B30)</f>
        <v>1493450</v>
      </c>
      <c r="F30" s="350">
        <f>E30/'- 3 -'!D30*100</f>
        <v>11.144812414251659</v>
      </c>
      <c r="G30" s="24">
        <f>E30/'- 7 -'!F30</f>
        <v>1456.3139931740614</v>
      </c>
      <c r="H30" s="24">
        <f>SUM('- 34 -'!B30,'- 34 -'!D30)</f>
        <v>220131</v>
      </c>
      <c r="I30" s="350">
        <f>H30/'- 3 -'!D30*100</f>
        <v>1.6427190073732847</v>
      </c>
      <c r="J30" s="24">
        <f>H30/'- 7 -'!F30</f>
        <v>214.65724037055094</v>
      </c>
    </row>
    <row r="31" spans="1:10" ht="14.1" customHeight="1">
      <c r="A31" s="357" t="s">
        <v>249</v>
      </c>
      <c r="B31" s="358">
        <f>SUM('- 31 -'!D31,'- 31 -'!B31,'- 30 -'!F31,'- 30 -'!D31,'- 30 -'!B31)</f>
        <v>1098825</v>
      </c>
      <c r="C31" s="359">
        <f>B31/'- 3 -'!D31*100</f>
        <v>3.1416853563338654</v>
      </c>
      <c r="D31" s="358">
        <f>B31/'- 7 -'!F31</f>
        <v>344.35130053274838</v>
      </c>
      <c r="E31" s="358">
        <f>SUM('- 33 -'!D31,'- 33 -'!B31,'- 32 -'!F31,'- 32 -'!D31,'- 32 -'!B31)</f>
        <v>3957776</v>
      </c>
      <c r="F31" s="359">
        <f>E31/'- 3 -'!D31*100</f>
        <v>11.315802700930195</v>
      </c>
      <c r="G31" s="358">
        <f>E31/'- 7 -'!F31</f>
        <v>1240.2933249764965</v>
      </c>
      <c r="H31" s="358">
        <f>SUM('- 34 -'!B31,'- 34 -'!D31)</f>
        <v>629071</v>
      </c>
      <c r="I31" s="359">
        <f>H31/'- 3 -'!D31*100</f>
        <v>1.7985968182324767</v>
      </c>
      <c r="J31" s="358">
        <f>H31/'- 7 -'!F31</f>
        <v>197.13914133500469</v>
      </c>
    </row>
    <row r="32" spans="1:10" ht="14.1" customHeight="1">
      <c r="A32" s="23" t="s">
        <v>250</v>
      </c>
      <c r="B32" s="24">
        <f>SUM('- 31 -'!D32,'- 31 -'!B32,'- 30 -'!F32,'- 30 -'!D32,'- 30 -'!B32)</f>
        <v>2021885</v>
      </c>
      <c r="C32" s="350">
        <f>B32/'- 3 -'!D32*100</f>
        <v>7.596023214346495</v>
      </c>
      <c r="D32" s="24">
        <f>B32/'- 7 -'!F32</f>
        <v>961.20038031851675</v>
      </c>
      <c r="E32" s="24">
        <f>SUM('- 33 -'!D32,'- 33 -'!B32,'- 32 -'!F32,'- 32 -'!D32,'- 32 -'!B32)</f>
        <v>2819500</v>
      </c>
      <c r="F32" s="350">
        <f>E32/'- 3 -'!D32*100</f>
        <v>10.592584371935072</v>
      </c>
      <c r="G32" s="24">
        <f>E32/'- 7 -'!F32</f>
        <v>1340.3850724982174</v>
      </c>
      <c r="H32" s="24">
        <f>SUM('- 34 -'!B32,'- 34 -'!D32)</f>
        <v>454375</v>
      </c>
      <c r="I32" s="350">
        <f>H32/'- 3 -'!D32*100</f>
        <v>1.7070422145763426</v>
      </c>
      <c r="J32" s="24">
        <f>H32/'- 7 -'!F32</f>
        <v>216.00903256477301</v>
      </c>
    </row>
    <row r="33" spans="1:11" ht="14.1" customHeight="1">
      <c r="A33" s="357" t="s">
        <v>251</v>
      </c>
      <c r="B33" s="358">
        <f>SUM('- 31 -'!D33,'- 31 -'!B33,'- 30 -'!F33,'- 30 -'!D33,'- 30 -'!B33)</f>
        <v>2478900</v>
      </c>
      <c r="C33" s="359">
        <f>B33/'- 3 -'!D33*100</f>
        <v>9.1469881026056719</v>
      </c>
      <c r="D33" s="358">
        <f>B33/'- 7 -'!F33</f>
        <v>1243.4913468773514</v>
      </c>
      <c r="E33" s="358">
        <f>SUM('- 33 -'!D33,'- 33 -'!B33,'- 32 -'!F33,'- 32 -'!D33,'- 32 -'!B33)</f>
        <v>3330300</v>
      </c>
      <c r="F33" s="359">
        <f>E33/'- 3 -'!D33*100</f>
        <v>12.288601588651286</v>
      </c>
      <c r="G33" s="358">
        <f>E33/'- 7 -'!F33</f>
        <v>1670.5793829947329</v>
      </c>
      <c r="H33" s="358">
        <f>SUM('- 34 -'!B33,'- 34 -'!D33)</f>
        <v>415000</v>
      </c>
      <c r="I33" s="359">
        <f>H33/'- 3 -'!D33*100</f>
        <v>1.5313244029938093</v>
      </c>
      <c r="J33" s="358">
        <f>H33/'- 7 -'!F33</f>
        <v>208.17657386506144</v>
      </c>
    </row>
    <row r="34" spans="1:11" ht="14.1" customHeight="1">
      <c r="A34" s="23" t="s">
        <v>252</v>
      </c>
      <c r="B34" s="24">
        <f>SUM('- 31 -'!D34,'- 31 -'!B34,'- 30 -'!F34,'- 30 -'!D34,'- 30 -'!B34)</f>
        <v>2561552</v>
      </c>
      <c r="C34" s="350">
        <f>B34/'- 3 -'!D34*100</f>
        <v>9.7275103027300016</v>
      </c>
      <c r="D34" s="24">
        <f>B34/'- 7 -'!F34</f>
        <v>1290.1294384286075</v>
      </c>
      <c r="E34" s="24">
        <f>SUM('- 33 -'!D34,'- 33 -'!B34,'- 32 -'!F34,'- 32 -'!D34,'- 32 -'!B34)</f>
        <v>2839292</v>
      </c>
      <c r="F34" s="350">
        <f>E34/'- 3 -'!D34*100</f>
        <v>10.782229750736612</v>
      </c>
      <c r="G34" s="24">
        <f>E34/'- 7 -'!F34</f>
        <v>1430.0135985897759</v>
      </c>
      <c r="H34" s="24">
        <f>SUM('- 34 -'!B34,'- 34 -'!D34)</f>
        <v>465291</v>
      </c>
      <c r="I34" s="350">
        <f>H34/'- 3 -'!D34*100</f>
        <v>1.7669455846563118</v>
      </c>
      <c r="J34" s="24">
        <f>H34/'- 7 -'!F34</f>
        <v>234.34449760765551</v>
      </c>
    </row>
    <row r="35" spans="1:11" ht="14.1" customHeight="1">
      <c r="A35" s="357" t="s">
        <v>253</v>
      </c>
      <c r="B35" s="358">
        <f>SUM('- 31 -'!D35,'- 31 -'!B35,'- 30 -'!F35,'- 30 -'!D35,'- 30 -'!B35)</f>
        <v>3667300</v>
      </c>
      <c r="C35" s="359">
        <f>B35/'- 3 -'!D35*100</f>
        <v>2.1514934642951995</v>
      </c>
      <c r="D35" s="358">
        <f>B35/'- 7 -'!F35</f>
        <v>236.64580241337032</v>
      </c>
      <c r="E35" s="358">
        <f>SUM('- 33 -'!D35,'- 33 -'!B35,'- 32 -'!F35,'- 32 -'!D35,'- 32 -'!B35)</f>
        <v>20514875</v>
      </c>
      <c r="F35" s="359">
        <f>E35/'- 3 -'!D35*100</f>
        <v>12.035453735263813</v>
      </c>
      <c r="G35" s="358">
        <f>E35/'- 7 -'!F35</f>
        <v>1323.7965412660515</v>
      </c>
      <c r="H35" s="358">
        <f>SUM('- 34 -'!B35,'- 34 -'!D35)</f>
        <v>3031000</v>
      </c>
      <c r="I35" s="359">
        <f>H35/'- 3 -'!D35*100</f>
        <v>1.7781955908376053</v>
      </c>
      <c r="J35" s="358">
        <f>H35/'- 7 -'!F35</f>
        <v>195.5862424985481</v>
      </c>
    </row>
    <row r="36" spans="1:11" ht="14.1" customHeight="1">
      <c r="A36" s="23" t="s">
        <v>254</v>
      </c>
      <c r="B36" s="24">
        <f>SUM('- 31 -'!D36,'- 31 -'!B36,'- 30 -'!F36,'- 30 -'!D36,'- 30 -'!B36)</f>
        <v>1628275</v>
      </c>
      <c r="C36" s="350">
        <f>B36/'- 3 -'!D36*100</f>
        <v>7.3607408319894043</v>
      </c>
      <c r="D36" s="24">
        <f>B36/'- 7 -'!F36</f>
        <v>987.73127085228998</v>
      </c>
      <c r="E36" s="24">
        <f>SUM('- 33 -'!D36,'- 33 -'!B36,'- 32 -'!F36,'- 32 -'!D36,'- 32 -'!B36)</f>
        <v>2614125</v>
      </c>
      <c r="F36" s="350">
        <f>E36/'- 3 -'!D36*100</f>
        <v>11.817350648646144</v>
      </c>
      <c r="G36" s="24">
        <f>E36/'- 7 -'!F36</f>
        <v>1585.7597816196542</v>
      </c>
      <c r="H36" s="24">
        <f>SUM('- 34 -'!B36,'- 34 -'!D36)</f>
        <v>405000</v>
      </c>
      <c r="I36" s="350">
        <f>H36/'- 3 -'!D36*100</f>
        <v>1.8308332664664806</v>
      </c>
      <c r="J36" s="24">
        <f>H36/'- 7 -'!F36</f>
        <v>245.67788898999089</v>
      </c>
    </row>
    <row r="37" spans="1:11" ht="14.1" customHeight="1">
      <c r="A37" s="357" t="s">
        <v>255</v>
      </c>
      <c r="B37" s="358">
        <f>SUM('- 31 -'!D37,'- 31 -'!B37,'- 30 -'!F37,'- 30 -'!D37,'- 30 -'!B37)</f>
        <v>2867160</v>
      </c>
      <c r="C37" s="359">
        <f>B37/'- 3 -'!D37*100</f>
        <v>6.413876644344997</v>
      </c>
      <c r="D37" s="358">
        <f>B37/'- 7 -'!F37</f>
        <v>732.63319279417397</v>
      </c>
      <c r="E37" s="358">
        <f>SUM('- 33 -'!D37,'- 33 -'!B37,'- 32 -'!F37,'- 32 -'!D37,'- 32 -'!B37)</f>
        <v>4594165</v>
      </c>
      <c r="F37" s="359">
        <f>E37/'- 3 -'!D37*100</f>
        <v>10.277210756904823</v>
      </c>
      <c r="G37" s="358">
        <f>E37/'- 7 -'!F37</f>
        <v>1173.9274306886418</v>
      </c>
      <c r="H37" s="358">
        <f>SUM('- 34 -'!B37,'- 34 -'!D37)</f>
        <v>755000</v>
      </c>
      <c r="I37" s="359">
        <f>H37/'- 3 -'!D37*100</f>
        <v>1.6889454604837095</v>
      </c>
      <c r="J37" s="358">
        <f>H37/'- 7 -'!F37</f>
        <v>192.92193688514118</v>
      </c>
    </row>
    <row r="38" spans="1:11" ht="14.1" customHeight="1">
      <c r="A38" s="23" t="s">
        <v>256</v>
      </c>
      <c r="B38" s="24">
        <f>SUM('- 31 -'!D38,'- 31 -'!B38,'- 30 -'!F38,'- 30 -'!D38,'- 30 -'!B38)</f>
        <v>3460860</v>
      </c>
      <c r="C38" s="350">
        <f>B38/'- 3 -'!D38*100</f>
        <v>2.8306068453974258</v>
      </c>
      <c r="D38" s="24">
        <f>B38/'- 7 -'!F38</f>
        <v>322.67586592699644</v>
      </c>
      <c r="E38" s="24">
        <f>SUM('- 33 -'!D38,'- 33 -'!B38,'- 32 -'!F38,'- 32 -'!D38,'- 32 -'!B38)</f>
        <v>12551940</v>
      </c>
      <c r="F38" s="350">
        <f>E38/'- 3 -'!D38*100</f>
        <v>10.266120931507707</v>
      </c>
      <c r="G38" s="24">
        <f>E38/'- 7 -'!F38</f>
        <v>1170.2894969931472</v>
      </c>
      <c r="H38" s="24">
        <f>SUM('- 34 -'!B38,'- 34 -'!D38)</f>
        <v>2237590</v>
      </c>
      <c r="I38" s="350">
        <f>H38/'- 3 -'!D38*100</f>
        <v>1.8301051100572765</v>
      </c>
      <c r="J38" s="24">
        <f>H38/'- 7 -'!F38</f>
        <v>208.62337420166892</v>
      </c>
    </row>
    <row r="39" spans="1:11" ht="14.1" customHeight="1">
      <c r="A39" s="357" t="s">
        <v>257</v>
      </c>
      <c r="B39" s="358">
        <f>SUM('- 31 -'!D39,'- 31 -'!B39,'- 30 -'!F39,'- 30 -'!D39,'- 30 -'!B39)</f>
        <v>1907630</v>
      </c>
      <c r="C39" s="359">
        <f>B39/'- 3 -'!D39*100</f>
        <v>9.1457638078917363</v>
      </c>
      <c r="D39" s="358">
        <f>B39/'- 7 -'!F39</f>
        <v>1230.3321509190584</v>
      </c>
      <c r="E39" s="358">
        <f>SUM('- 33 -'!D39,'- 33 -'!B39,'- 32 -'!F39,'- 32 -'!D39,'- 32 -'!B39)</f>
        <v>2356030</v>
      </c>
      <c r="F39" s="359">
        <f>E39/'- 3 -'!D39*100</f>
        <v>11.295531053876887</v>
      </c>
      <c r="G39" s="358">
        <f>E39/'- 7 -'!F39</f>
        <v>1519.5291841341502</v>
      </c>
      <c r="H39" s="358">
        <f>SUM('- 34 -'!B39,'- 34 -'!D39)</f>
        <v>435000</v>
      </c>
      <c r="I39" s="359">
        <f>H39/'- 3 -'!D39*100</f>
        <v>2.0855235325681107</v>
      </c>
      <c r="J39" s="358">
        <f>H39/'- 7 -'!F39</f>
        <v>280.55465978716541</v>
      </c>
    </row>
    <row r="40" spans="1:11" ht="14.1" customHeight="1">
      <c r="A40" s="23" t="s">
        <v>258</v>
      </c>
      <c r="B40" s="24">
        <f>SUM('- 31 -'!D40,'- 31 -'!B40,'- 30 -'!F40,'- 30 -'!D40,'- 30 -'!B40)</f>
        <v>1905739</v>
      </c>
      <c r="C40" s="350">
        <f>B40/'- 3 -'!D40*100</f>
        <v>1.9198217951839176</v>
      </c>
      <c r="D40" s="24">
        <f>B40/'- 7 -'!F40</f>
        <v>239.99060558703115</v>
      </c>
      <c r="E40" s="24">
        <f>SUM('- 33 -'!D40,'- 33 -'!B40,'- 32 -'!F40,'- 32 -'!D40,'- 32 -'!B40)</f>
        <v>10154693</v>
      </c>
      <c r="F40" s="350">
        <f>E40/'- 3 -'!D40*100</f>
        <v>10.229732898787065</v>
      </c>
      <c r="G40" s="24">
        <f>E40/'- 7 -'!F40</f>
        <v>1278.7852495123343</v>
      </c>
      <c r="H40" s="24">
        <f>SUM('- 34 -'!B40,'- 34 -'!D40)</f>
        <v>1662274</v>
      </c>
      <c r="I40" s="350">
        <f>H40/'- 3 -'!D40*100</f>
        <v>1.6745576675334617</v>
      </c>
      <c r="J40" s="24">
        <f>H40/'- 7 -'!F40</f>
        <v>209.3309440125729</v>
      </c>
    </row>
    <row r="41" spans="1:11" ht="14.1" customHeight="1">
      <c r="A41" s="357" t="s">
        <v>259</v>
      </c>
      <c r="B41" s="358">
        <f>SUM('- 31 -'!D41,'- 31 -'!B41,'- 30 -'!F41,'- 30 -'!D41,'- 30 -'!B41)</f>
        <v>4991509</v>
      </c>
      <c r="C41" s="359">
        <f>B41/'- 3 -'!D41*100</f>
        <v>8.4055268811851818</v>
      </c>
      <c r="D41" s="358">
        <f>B41/'- 7 -'!F41</f>
        <v>1138.0549475604196</v>
      </c>
      <c r="E41" s="358">
        <f>SUM('- 33 -'!D41,'- 33 -'!B41,'- 32 -'!F41,'- 32 -'!D41,'- 32 -'!B41)</f>
        <v>5638754</v>
      </c>
      <c r="F41" s="359">
        <f>E41/'- 3 -'!D41*100</f>
        <v>9.4954648631086247</v>
      </c>
      <c r="G41" s="358">
        <f>E41/'- 7 -'!F41</f>
        <v>1285.625626994984</v>
      </c>
      <c r="H41" s="358">
        <f>SUM('- 34 -'!B41,'- 34 -'!D41)</f>
        <v>1103000</v>
      </c>
      <c r="I41" s="359">
        <f>H41/'- 3 -'!D41*100</f>
        <v>1.8574134895774517</v>
      </c>
      <c r="J41" s="358">
        <f>H41/'- 7 -'!F41</f>
        <v>251.48198814409486</v>
      </c>
    </row>
    <row r="42" spans="1:11" ht="14.1" customHeight="1">
      <c r="A42" s="23" t="s">
        <v>260</v>
      </c>
      <c r="B42" s="24">
        <f>SUM('- 31 -'!D42,'- 31 -'!B42,'- 30 -'!F42,'- 30 -'!D42,'- 30 -'!B42)</f>
        <v>1739424</v>
      </c>
      <c r="C42" s="350">
        <f>B42/'- 3 -'!D42*100</f>
        <v>8.5424487150751069</v>
      </c>
      <c r="D42" s="24">
        <f>B42/'- 7 -'!F42</f>
        <v>1241.1159471994292</v>
      </c>
      <c r="E42" s="24">
        <f>SUM('- 33 -'!D42,'- 33 -'!B42,'- 32 -'!F42,'- 32 -'!D42,'- 32 -'!B42)</f>
        <v>2252577</v>
      </c>
      <c r="F42" s="350">
        <f>E42/'- 3 -'!D42*100</f>
        <v>11.062583647953424</v>
      </c>
      <c r="G42" s="24">
        <f>E42/'- 7 -'!F42</f>
        <v>1607.2615055297895</v>
      </c>
      <c r="H42" s="24">
        <f>SUM('- 34 -'!B42,'- 34 -'!D42)</f>
        <v>321000</v>
      </c>
      <c r="I42" s="350">
        <f>H42/'- 3 -'!D42*100</f>
        <v>1.5764563657504491</v>
      </c>
      <c r="J42" s="24">
        <f>H42/'- 7 -'!F42</f>
        <v>229.04031394934</v>
      </c>
    </row>
    <row r="43" spans="1:11" ht="14.1" customHeight="1">
      <c r="A43" s="357" t="s">
        <v>261</v>
      </c>
      <c r="B43" s="358">
        <f>SUM('- 31 -'!D43,'- 31 -'!B43,'- 30 -'!F43,'- 30 -'!D43,'- 30 -'!B43)</f>
        <v>1032157</v>
      </c>
      <c r="C43" s="359">
        <f>B43/'- 3 -'!D43*100</f>
        <v>8.2945182939838933</v>
      </c>
      <c r="D43" s="358">
        <f>B43/'- 7 -'!F43</f>
        <v>1075.1635416666666</v>
      </c>
      <c r="E43" s="358">
        <f>SUM('- 33 -'!D43,'- 33 -'!B43,'- 32 -'!F43,'- 32 -'!D43,'- 32 -'!B43)</f>
        <v>1049061</v>
      </c>
      <c r="F43" s="359">
        <f>E43/'- 3 -'!D43*100</f>
        <v>8.4303605517426483</v>
      </c>
      <c r="G43" s="358">
        <f>E43/'- 7 -'!F43</f>
        <v>1092.7718749999999</v>
      </c>
      <c r="H43" s="358">
        <f>SUM('- 34 -'!B43,'- 34 -'!D43)</f>
        <v>226000</v>
      </c>
      <c r="I43" s="359">
        <f>H43/'- 3 -'!D43*100</f>
        <v>1.8161589122976058</v>
      </c>
      <c r="J43" s="358">
        <f>H43/'- 7 -'!F43</f>
        <v>235.41666666666666</v>
      </c>
    </row>
    <row r="44" spans="1:11" ht="14.1" customHeight="1">
      <c r="A44" s="23" t="s">
        <v>262</v>
      </c>
      <c r="B44" s="24">
        <f>SUM('- 31 -'!D44,'- 31 -'!B44,'- 30 -'!F44,'- 30 -'!D44,'- 30 -'!B44)</f>
        <v>1134610</v>
      </c>
      <c r="C44" s="350">
        <f>B44/'- 3 -'!D44*100</f>
        <v>10.540271965604049</v>
      </c>
      <c r="D44" s="24">
        <f>B44/'- 7 -'!F44</f>
        <v>1616.2535612535612</v>
      </c>
      <c r="E44" s="24">
        <f>SUM('- 33 -'!D44,'- 33 -'!B44,'- 32 -'!F44,'- 32 -'!D44,'- 32 -'!B44)</f>
        <v>1160129</v>
      </c>
      <c r="F44" s="350">
        <f>E44/'- 3 -'!D44*100</f>
        <v>10.777337741765242</v>
      </c>
      <c r="G44" s="24">
        <f>E44/'- 7 -'!F44</f>
        <v>1652.6054131054132</v>
      </c>
      <c r="H44" s="24">
        <f>SUM('- 34 -'!B44,'- 34 -'!D44)</f>
        <v>167909</v>
      </c>
      <c r="I44" s="350">
        <f>H44/'- 3 -'!D44*100</f>
        <v>1.5598368826932694</v>
      </c>
      <c r="J44" s="24">
        <f>H44/'- 7 -'!F44</f>
        <v>239.1866096866097</v>
      </c>
    </row>
    <row r="45" spans="1:11" ht="14.1" customHeight="1">
      <c r="A45" s="357" t="s">
        <v>263</v>
      </c>
      <c r="B45" s="358">
        <f>SUM('- 31 -'!D45,'- 31 -'!B45,'- 30 -'!F45,'- 30 -'!D45,'- 30 -'!B45)</f>
        <v>759333</v>
      </c>
      <c r="C45" s="359">
        <f>B45/'- 3 -'!D45*100</f>
        <v>4.3248311065379514</v>
      </c>
      <c r="D45" s="358">
        <f>B45/'- 7 -'!F45</f>
        <v>451.71505056513979</v>
      </c>
      <c r="E45" s="358">
        <f>SUM('- 33 -'!D45,'- 33 -'!B45,'- 32 -'!F45,'- 32 -'!D45,'- 32 -'!B45)</f>
        <v>1713598</v>
      </c>
      <c r="F45" s="359">
        <f>E45/'- 3 -'!D45*100</f>
        <v>9.759910256107954</v>
      </c>
      <c r="G45" s="358">
        <f>E45/'- 7 -'!F45</f>
        <v>1019.3920285544319</v>
      </c>
      <c r="H45" s="358">
        <f>SUM('- 34 -'!B45,'- 34 -'!D45)</f>
        <v>314208</v>
      </c>
      <c r="I45" s="359">
        <f>H45/'- 3 -'!D45*100</f>
        <v>1.7895923558215916</v>
      </c>
      <c r="J45" s="358">
        <f>H45/'- 7 -'!F45</f>
        <v>186.91731112433075</v>
      </c>
    </row>
    <row r="46" spans="1:11" ht="14.1" customHeight="1">
      <c r="A46" s="23" t="s">
        <v>264</v>
      </c>
      <c r="B46" s="24">
        <f>SUM('- 31 -'!D46,'- 31 -'!B46,'- 30 -'!F46,'- 30 -'!D46,'- 30 -'!B46)</f>
        <v>5047100</v>
      </c>
      <c r="C46" s="350">
        <f>B46/'- 3 -'!D46*100</f>
        <v>1.3651366637824545</v>
      </c>
      <c r="D46" s="24">
        <f>B46/'- 7 -'!F46</f>
        <v>166.91249421258019</v>
      </c>
      <c r="E46" s="24">
        <f>SUM('- 33 -'!D46,'- 33 -'!B46,'- 32 -'!F46,'- 32 -'!D46,'- 32 -'!B46)</f>
        <v>46431100</v>
      </c>
      <c r="F46" s="350">
        <f>E46/'- 3 -'!D46*100</f>
        <v>12.558656842493615</v>
      </c>
      <c r="G46" s="24">
        <f>E46/'- 7 -'!F46</f>
        <v>1535.5215292016667</v>
      </c>
      <c r="H46" s="24">
        <f>SUM('- 34 -'!B46,'- 34 -'!D46)</f>
        <v>6942100</v>
      </c>
      <c r="I46" s="350">
        <f>H46/'- 3 -'!D46*100</f>
        <v>1.8776951583372983</v>
      </c>
      <c r="J46" s="24">
        <f>H46/'- 7 -'!F46</f>
        <v>229.58198293537933</v>
      </c>
    </row>
    <row r="47" spans="1:11" ht="5.0999999999999996" customHeight="1">
      <c r="A47"/>
      <c r="B47"/>
      <c r="C47"/>
      <c r="D47"/>
      <c r="E47"/>
      <c r="F47"/>
      <c r="G47"/>
      <c r="H47"/>
      <c r="I47"/>
      <c r="J47"/>
      <c r="K47"/>
    </row>
    <row r="48" spans="1:11" ht="14.1" customHeight="1">
      <c r="A48" s="360" t="s">
        <v>265</v>
      </c>
      <c r="B48" s="361">
        <f>SUM(B11:B46)</f>
        <v>93032627</v>
      </c>
      <c r="C48" s="362">
        <f>B48/'- 3 -'!D48*100</f>
        <v>4.335765136589476</v>
      </c>
      <c r="D48" s="361">
        <f>B48/'- 7 -'!F48</f>
        <v>538.20946129664139</v>
      </c>
      <c r="E48" s="361">
        <f>SUM(E11:E46)</f>
        <v>248250736</v>
      </c>
      <c r="F48" s="362">
        <f>E48/'- 3 -'!D48*100</f>
        <v>11.569670995977337</v>
      </c>
      <c r="G48" s="361">
        <f>E48/'- 7 -'!F48</f>
        <v>1436.1724396867214</v>
      </c>
      <c r="H48" s="361">
        <f>SUM(H11:H46)</f>
        <v>37658672</v>
      </c>
      <c r="I48" s="362">
        <f>H48/'- 3 -'!D48*100</f>
        <v>1.7550741327325765</v>
      </c>
      <c r="J48" s="361">
        <f>H48/'- 7 -'!F48</f>
        <v>217.8617784303448</v>
      </c>
    </row>
    <row r="49" spans="1:10" ht="5.0999999999999996" customHeight="1">
      <c r="A49" s="25" t="s">
        <v>3</v>
      </c>
      <c r="B49" s="26"/>
      <c r="C49" s="349"/>
      <c r="D49" s="26"/>
      <c r="E49" s="26"/>
      <c r="F49" s="349"/>
      <c r="H49" s="26"/>
      <c r="I49" s="349"/>
      <c r="J49" s="26"/>
    </row>
    <row r="50" spans="1:10" ht="14.1" customHeight="1">
      <c r="A50" s="23" t="s">
        <v>266</v>
      </c>
      <c r="B50" s="24">
        <f>SUM('- 31 -'!D50,'- 31 -'!B50,'- 30 -'!F50,'- 30 -'!D50,'- 30 -'!B50)</f>
        <v>49706</v>
      </c>
      <c r="C50" s="350">
        <f>B50/'- 3 -'!D50*100</f>
        <v>1.477819916823945</v>
      </c>
      <c r="D50" s="24">
        <f>B50/'- 7 -'!F50</f>
        <v>284.03428571428572</v>
      </c>
      <c r="E50" s="24">
        <f>SUM('- 33 -'!D50,'- 33 -'!B50,'- 32 -'!F50,'- 32 -'!D50,'- 32 -'!B50)</f>
        <v>440005</v>
      </c>
      <c r="F50" s="350">
        <f>E50/'- 3 -'!D50*100</f>
        <v>13.081884531085178</v>
      </c>
      <c r="G50" s="24">
        <f>E50/'- 7 -'!F50</f>
        <v>2514.3142857142857</v>
      </c>
      <c r="H50" s="24">
        <f>SUM('- 34 -'!B50,'- 34 -'!D50)</f>
        <v>50673</v>
      </c>
      <c r="I50" s="350">
        <f>H50/'- 3 -'!D50*100</f>
        <v>1.5065700045310377</v>
      </c>
      <c r="J50" s="24">
        <f>H50/'- 7 -'!F50</f>
        <v>289.56</v>
      </c>
    </row>
    <row r="51" spans="1:10" ht="14.1" customHeight="1">
      <c r="A51" s="511" t="s">
        <v>691</v>
      </c>
      <c r="B51" s="358">
        <f>SUM('- 31 -'!D51,'- 31 -'!B51,'- 30 -'!F51,'- 30 -'!D51,'- 30 -'!B51)</f>
        <v>0</v>
      </c>
      <c r="C51" s="359">
        <f>B51/'- 3 -'!D51*100</f>
        <v>0</v>
      </c>
      <c r="D51" s="358">
        <f>B51/'- 7 -'!F51</f>
        <v>0</v>
      </c>
      <c r="E51" s="358">
        <f>SUM('- 33 -'!D51,'- 33 -'!B51,'- 32 -'!F51,'- 32 -'!D51,'- 32 -'!B51)</f>
        <v>2177115</v>
      </c>
      <c r="F51" s="359">
        <f>E51/'- 3 -'!D51*100</f>
        <v>9.6707791144592861</v>
      </c>
      <c r="G51" s="358">
        <f>E51/'- 7 -'!F51</f>
        <v>3505.8212560386473</v>
      </c>
      <c r="H51" s="358">
        <f>SUM('- 34 -'!B51,'- 34 -'!D51)</f>
        <v>165115</v>
      </c>
      <c r="I51" s="359">
        <f>H51/'- 3 -'!D51*100</f>
        <v>0.73344343017431091</v>
      </c>
      <c r="J51" s="358">
        <f>H51/'- 7 -'!F51</f>
        <v>265.88566827697264</v>
      </c>
    </row>
    <row r="52" spans="1:10" ht="50.1" customHeight="1">
      <c r="B52" s="558" t="str">
        <f>IF(B48='- 10 -'!K22,"","check with page 10")</f>
        <v/>
      </c>
      <c r="C52" s="558"/>
      <c r="D52" s="558"/>
      <c r="E52" s="558"/>
      <c r="F52" s="558"/>
      <c r="G52" s="558"/>
      <c r="H52" s="558" t="str">
        <f>IF($H$48='- 10 -'!K24," ","check with page 10")</f>
        <v xml:space="preserve"> </v>
      </c>
    </row>
    <row r="53" spans="1:10" ht="15" customHeight="1">
      <c r="B53" s="1">
        <f>B48-'- 10 -'!K22</f>
        <v>0</v>
      </c>
    </row>
    <row r="54" spans="1:10" ht="14.45" customHeight="1">
      <c r="B54" s="92"/>
      <c r="C54" s="92"/>
      <c r="E54" s="92"/>
      <c r="F54" s="92"/>
      <c r="H54" s="92"/>
    </row>
    <row r="55" spans="1:10" ht="14.45" customHeight="1"/>
    <row r="56" spans="1:10" ht="14.45" customHeight="1"/>
    <row r="57" spans="1:10" ht="14.45" customHeight="1"/>
    <row r="58" spans="1:10" ht="14.45" customHeight="1"/>
    <row r="59" spans="1:10" ht="14.45" customHeight="1"/>
  </sheetData>
  <phoneticPr fontId="0" type="noConversion"/>
  <printOptions horizontalCentered="1"/>
  <pageMargins left="0.5" right="0.5" top="0.6" bottom="0" header="0.3" footer="0"/>
  <pageSetup scale="90" orientation="portrait" r:id="rId1"/>
  <headerFooter alignWithMargins="0">
    <oddHeader>&amp;C&amp;"Arial,Bold"&amp;10&amp;A</oddHeader>
  </headerFooter>
</worksheet>
</file>

<file path=xl/worksheets/sheet14.xml><?xml version="1.0" encoding="utf-8"?>
<worksheet xmlns="http://schemas.openxmlformats.org/spreadsheetml/2006/main" xmlns:r="http://schemas.openxmlformats.org/officeDocument/2006/relationships">
  <sheetPr codeName="Sheet13">
    <pageSetUpPr fitToPage="1"/>
  </sheetPr>
  <dimension ref="A1:G59"/>
  <sheetViews>
    <sheetView showGridLines="0" showZeros="0" workbookViewId="0"/>
  </sheetViews>
  <sheetFormatPr defaultColWidth="15.83203125" defaultRowHeight="12"/>
  <cols>
    <col min="1" max="1" width="35.83203125" style="1" customWidth="1"/>
    <col min="2" max="2" width="17.5" style="1" customWidth="1"/>
    <col min="3" max="3" width="9.33203125" style="1" customWidth="1"/>
    <col min="4" max="4" width="13" style="1" customWidth="1"/>
    <col min="5" max="5" width="13.5" style="1" customWidth="1"/>
    <col min="6" max="6" width="10.1640625" style="1" customWidth="1"/>
    <col min="7" max="7" width="12" style="1" customWidth="1"/>
    <col min="8" max="16384" width="15.83203125" style="1"/>
  </cols>
  <sheetData>
    <row r="1" spans="1:7" ht="6.95" customHeight="1">
      <c r="A1" s="3"/>
      <c r="B1" s="40"/>
      <c r="C1" s="40"/>
      <c r="D1" s="40"/>
      <c r="E1" s="40"/>
      <c r="F1" s="40"/>
      <c r="G1" s="40"/>
    </row>
    <row r="2" spans="1:7" ht="15.95" customHeight="1">
      <c r="A2" s="159"/>
      <c r="B2" s="5" t="s">
        <v>474</v>
      </c>
      <c r="C2" s="195"/>
      <c r="D2" s="43"/>
      <c r="E2" s="43"/>
      <c r="F2" s="43"/>
      <c r="G2" s="182" t="s">
        <v>423</v>
      </c>
    </row>
    <row r="3" spans="1:7" ht="15.95" customHeight="1">
      <c r="A3" s="162"/>
      <c r="B3" s="232" t="str">
        <f>OPYEAR</f>
        <v>OPERATING FUND 2014/2015 BUDGET</v>
      </c>
      <c r="C3" s="47"/>
      <c r="D3" s="196"/>
      <c r="E3" s="47"/>
      <c r="F3" s="47"/>
      <c r="G3" s="49"/>
    </row>
    <row r="4" spans="1:7" ht="15.95" customHeight="1">
      <c r="B4" s="40"/>
      <c r="C4" s="40"/>
      <c r="D4" s="40"/>
      <c r="E4" s="40"/>
      <c r="F4" s="40"/>
      <c r="G4" s="40"/>
    </row>
    <row r="5" spans="1:7" ht="15.95" customHeight="1">
      <c r="B5" s="213" t="s">
        <v>9</v>
      </c>
      <c r="C5" s="197"/>
      <c r="D5" s="198"/>
      <c r="E5" s="198"/>
      <c r="F5" s="198"/>
      <c r="G5" s="199"/>
    </row>
    <row r="6" spans="1:7" ht="15.95" customHeight="1">
      <c r="B6" s="395"/>
      <c r="C6" s="396"/>
      <c r="D6" s="397"/>
      <c r="E6" s="398" t="s">
        <v>187</v>
      </c>
      <c r="F6" s="399"/>
      <c r="G6" s="400"/>
    </row>
    <row r="7" spans="1:7" ht="15.95" customHeight="1">
      <c r="B7" s="401" t="s">
        <v>30</v>
      </c>
      <c r="C7" s="402"/>
      <c r="D7" s="403"/>
      <c r="E7" s="401" t="s">
        <v>225</v>
      </c>
      <c r="F7" s="402"/>
      <c r="G7" s="403"/>
    </row>
    <row r="8" spans="1:7" ht="15.95" customHeight="1">
      <c r="A8" s="102"/>
      <c r="B8" s="200"/>
      <c r="C8" s="201"/>
      <c r="D8" s="202" t="s">
        <v>60</v>
      </c>
      <c r="E8" s="203"/>
      <c r="F8" s="201"/>
      <c r="G8" s="202" t="s">
        <v>60</v>
      </c>
    </row>
    <row r="9" spans="1:7" ht="15.95" customHeight="1">
      <c r="A9" s="35" t="s">
        <v>81</v>
      </c>
      <c r="B9" s="54" t="s">
        <v>82</v>
      </c>
      <c r="C9" s="54" t="s">
        <v>83</v>
      </c>
      <c r="D9" s="54" t="s">
        <v>84</v>
      </c>
      <c r="E9" s="204" t="s">
        <v>82</v>
      </c>
      <c r="F9" s="54" t="s">
        <v>83</v>
      </c>
      <c r="G9" s="54" t="s">
        <v>84</v>
      </c>
    </row>
    <row r="10" spans="1:7" ht="5.0999999999999996" customHeight="1">
      <c r="A10" s="37"/>
      <c r="B10" s="66"/>
      <c r="C10" s="66"/>
      <c r="D10" s="66"/>
      <c r="E10" s="66"/>
      <c r="F10" s="66"/>
      <c r="G10" s="66"/>
    </row>
    <row r="11" spans="1:7" ht="14.1" customHeight="1">
      <c r="A11" s="357" t="s">
        <v>230</v>
      </c>
      <c r="B11" s="358">
        <v>1126969</v>
      </c>
      <c r="C11" s="359">
        <f>B11/'- 3 -'!$D11*100</f>
        <v>6.4878873510580153</v>
      </c>
      <c r="D11" s="358">
        <f>B11/'- 7 -'!$C11</f>
        <v>728.7222761073391</v>
      </c>
      <c r="E11" s="358">
        <v>0</v>
      </c>
      <c r="F11" s="359">
        <f>E11/'- 3 -'!$D11*100</f>
        <v>0</v>
      </c>
      <c r="G11" s="358" t="str">
        <f>IF('- 7 -'!$B11=0,"",E11/'- 7 -'!$B11)</f>
        <v/>
      </c>
    </row>
    <row r="12" spans="1:7" ht="14.1" customHeight="1">
      <c r="A12" s="23" t="s">
        <v>231</v>
      </c>
      <c r="B12" s="24">
        <v>2556384</v>
      </c>
      <c r="C12" s="350">
        <f>B12/'- 3 -'!$D12*100</f>
        <v>8.1250110248037828</v>
      </c>
      <c r="D12" s="24">
        <f>B12/'- 7 -'!$C12</f>
        <v>1169.0709202992666</v>
      </c>
      <c r="E12" s="24">
        <v>1268988</v>
      </c>
      <c r="F12" s="350">
        <f>E12/'- 3 -'!$D12*100</f>
        <v>4.0332522384523228</v>
      </c>
      <c r="G12" s="24">
        <f>IF('- 7 -'!$B12=0,"",E12/'- 7 -'!$B12)</f>
        <v>8301.6354834489066</v>
      </c>
    </row>
    <row r="13" spans="1:7" ht="14.1" customHeight="1">
      <c r="A13" s="357" t="s">
        <v>232</v>
      </c>
      <c r="B13" s="358">
        <v>5972400</v>
      </c>
      <c r="C13" s="359">
        <f>B13/'- 3 -'!$D13*100</f>
        <v>6.6910974703923083</v>
      </c>
      <c r="D13" s="358">
        <f>B13/'- 7 -'!$C13</f>
        <v>735.46923661386631</v>
      </c>
      <c r="E13" s="358">
        <v>3363100</v>
      </c>
      <c r="F13" s="359">
        <f>E13/'- 3 -'!$D13*100</f>
        <v>3.7678035467611637</v>
      </c>
      <c r="G13" s="358">
        <f>IF('- 7 -'!$B13=0,"",E13/'- 7 -'!$B13)</f>
        <v>8727.8436664677029</v>
      </c>
    </row>
    <row r="14" spans="1:7" ht="14.1" customHeight="1">
      <c r="A14" s="23" t="s">
        <v>566</v>
      </c>
      <c r="B14" s="24">
        <v>5566451</v>
      </c>
      <c r="C14" s="350">
        <f>B14/'- 3 -'!$D14*100</f>
        <v>6.9662633903235811</v>
      </c>
      <c r="D14" s="24">
        <f>B14/'- 7 -'!$C14</f>
        <v>1047.3096895578551</v>
      </c>
      <c r="E14" s="24">
        <v>0</v>
      </c>
      <c r="F14" s="350">
        <f>E14/'- 3 -'!$D14*100</f>
        <v>0</v>
      </c>
      <c r="G14" s="24" t="str">
        <f>IF('- 7 -'!$B14=0,"",E14/'- 7 -'!$B14)</f>
        <v/>
      </c>
    </row>
    <row r="15" spans="1:7" ht="14.1" customHeight="1">
      <c r="A15" s="357" t="s">
        <v>233</v>
      </c>
      <c r="B15" s="358">
        <v>1573100</v>
      </c>
      <c r="C15" s="359">
        <f>B15/'- 3 -'!$D15*100</f>
        <v>7.933889332658584</v>
      </c>
      <c r="D15" s="358">
        <f>B15/'- 7 -'!$C15</f>
        <v>1083.0292598967299</v>
      </c>
      <c r="E15" s="358">
        <v>123200</v>
      </c>
      <c r="F15" s="359">
        <f>E15/'- 3 -'!$D15*100</f>
        <v>0.62135602681554736</v>
      </c>
      <c r="G15" s="358">
        <f>IF('- 7 -'!$B15=0,"",E15/'- 7 -'!$B15)</f>
        <v>6160</v>
      </c>
    </row>
    <row r="16" spans="1:7" ht="14.1" customHeight="1">
      <c r="A16" s="23" t="s">
        <v>234</v>
      </c>
      <c r="B16" s="24">
        <v>1093513</v>
      </c>
      <c r="C16" s="350">
        <f>B16/'- 3 -'!$D16*100</f>
        <v>8.111161121719821</v>
      </c>
      <c r="D16" s="24">
        <f>B16/'- 7 -'!$C16</f>
        <v>1136.7079002079001</v>
      </c>
      <c r="E16" s="24">
        <v>106032</v>
      </c>
      <c r="F16" s="350">
        <f>E16/'- 3 -'!$D16*100</f>
        <v>0.78649511808108008</v>
      </c>
      <c r="G16" s="24">
        <f>IF('- 7 -'!$B16=0,"",E16/'- 7 -'!$B16)</f>
        <v>5670.1604278074865</v>
      </c>
    </row>
    <row r="17" spans="1:7" ht="14.1" customHeight="1">
      <c r="A17" s="357" t="s">
        <v>235</v>
      </c>
      <c r="B17" s="358">
        <v>1320654</v>
      </c>
      <c r="C17" s="359">
        <f>B17/'- 3 -'!$D17*100</f>
        <v>7.694927871303836</v>
      </c>
      <c r="D17" s="358">
        <f>B17/'- 7 -'!$C17</f>
        <v>987.40485981308416</v>
      </c>
      <c r="E17" s="358">
        <v>179000</v>
      </c>
      <c r="F17" s="359">
        <f>E17/'- 3 -'!$D17*100</f>
        <v>1.0429621149547017</v>
      </c>
      <c r="G17" s="358">
        <f>IF('- 7 -'!$B17=0,"",E17/'- 7 -'!$B17)</f>
        <v>5114.2857142857147</v>
      </c>
    </row>
    <row r="18" spans="1:7" ht="14.1" customHeight="1">
      <c r="A18" s="23" t="s">
        <v>236</v>
      </c>
      <c r="B18" s="24">
        <v>7041945</v>
      </c>
      <c r="C18" s="350">
        <f>B18/'- 3 -'!$D18*100</f>
        <v>5.6892950246726421</v>
      </c>
      <c r="D18" s="24">
        <f>B18/'- 7 -'!$C18</f>
        <v>1141.1906266712042</v>
      </c>
      <c r="E18" s="24">
        <v>372351</v>
      </c>
      <c r="F18" s="350">
        <f>E18/'- 3 -'!$D18*100</f>
        <v>0.30082806550347713</v>
      </c>
      <c r="G18" s="24">
        <f>IF('- 7 -'!$B18=0,"",E18/'- 7 -'!$B18)</f>
        <v>8462.5227272727279</v>
      </c>
    </row>
    <row r="19" spans="1:7" ht="14.1" customHeight="1">
      <c r="A19" s="357" t="s">
        <v>237</v>
      </c>
      <c r="B19" s="358">
        <v>2890000</v>
      </c>
      <c r="C19" s="359">
        <f>B19/'- 3 -'!$D19*100</f>
        <v>6.6513662228433228</v>
      </c>
      <c r="D19" s="358">
        <f>B19/'- 7 -'!$C19</f>
        <v>708.42014952812849</v>
      </c>
      <c r="E19" s="358">
        <v>1264200</v>
      </c>
      <c r="F19" s="359">
        <f>E19/'- 3 -'!$D19*100</f>
        <v>2.9095699581032974</v>
      </c>
      <c r="G19" s="358">
        <f>IF('- 7 -'!$B19=0,"",E19/'- 7 -'!$B19)</f>
        <v>12642</v>
      </c>
    </row>
    <row r="20" spans="1:7" ht="14.1" customHeight="1">
      <c r="A20" s="23" t="s">
        <v>238</v>
      </c>
      <c r="B20" s="24">
        <v>6131500</v>
      </c>
      <c r="C20" s="350">
        <f>B20/'- 3 -'!$D20*100</f>
        <v>8.0965699013331651</v>
      </c>
      <c r="D20" s="24">
        <f>B20/'- 7 -'!$C20</f>
        <v>811.15226881862679</v>
      </c>
      <c r="E20" s="24">
        <v>3014400</v>
      </c>
      <c r="F20" s="350">
        <f>E20/'- 3 -'!$D20*100</f>
        <v>3.9804779108829305</v>
      </c>
      <c r="G20" s="24">
        <f>IF('- 7 -'!$B20=0,"",E20/'- 7 -'!$B20)</f>
        <v>6568.7513619524952</v>
      </c>
    </row>
    <row r="21" spans="1:7" ht="14.1" customHeight="1">
      <c r="A21" s="357" t="s">
        <v>239</v>
      </c>
      <c r="B21" s="358">
        <v>2921930</v>
      </c>
      <c r="C21" s="359">
        <f>B21/'- 3 -'!$D21*100</f>
        <v>8.4733646942335419</v>
      </c>
      <c r="D21" s="358">
        <f>B21/'- 7 -'!$C21</f>
        <v>1098.8830387363671</v>
      </c>
      <c r="E21" s="358">
        <v>0</v>
      </c>
      <c r="F21" s="359">
        <f>E21/'- 3 -'!$D21*100</f>
        <v>0</v>
      </c>
      <c r="G21" s="358" t="str">
        <f>IF('- 7 -'!$B21=0,"",E21/'- 7 -'!$B21)</f>
        <v/>
      </c>
    </row>
    <row r="22" spans="1:7" ht="14.1" customHeight="1">
      <c r="A22" s="23" t="s">
        <v>240</v>
      </c>
      <c r="B22" s="24">
        <v>1359604</v>
      </c>
      <c r="C22" s="350">
        <f>B22/'- 3 -'!$D22*100</f>
        <v>7.0069861961850375</v>
      </c>
      <c r="D22" s="24">
        <f>B22/'- 7 -'!$C22</f>
        <v>870.98270339525948</v>
      </c>
      <c r="E22" s="24">
        <v>0</v>
      </c>
      <c r="F22" s="350">
        <f>E22/'- 3 -'!$D22*100</f>
        <v>0</v>
      </c>
      <c r="G22" s="24" t="str">
        <f>IF('- 7 -'!$B22=0,"",E22/'- 7 -'!$B22)</f>
        <v/>
      </c>
    </row>
    <row r="23" spans="1:7" ht="14.1" customHeight="1">
      <c r="A23" s="357" t="s">
        <v>241</v>
      </c>
      <c r="B23" s="358">
        <v>1028300</v>
      </c>
      <c r="C23" s="359">
        <f>B23/'- 3 -'!$D23*100</f>
        <v>6.3109584702968231</v>
      </c>
      <c r="D23" s="358">
        <f>B23/'- 7 -'!$C23</f>
        <v>896.12200435729847</v>
      </c>
      <c r="E23" s="358">
        <v>187500</v>
      </c>
      <c r="F23" s="359">
        <f>E23/'- 3 -'!$D23*100</f>
        <v>1.1507388049991776</v>
      </c>
      <c r="G23" s="358">
        <f>IF('- 7 -'!$B23=0,"",E23/'- 7 -'!$B23)</f>
        <v>9375</v>
      </c>
    </row>
    <row r="24" spans="1:7" ht="14.1" customHeight="1">
      <c r="A24" s="23" t="s">
        <v>242</v>
      </c>
      <c r="B24" s="24">
        <v>4267425</v>
      </c>
      <c r="C24" s="350">
        <f>B24/'- 3 -'!$D24*100</f>
        <v>7.8546127320733738</v>
      </c>
      <c r="D24" s="24">
        <f>B24/'- 7 -'!$C24</f>
        <v>1053.945418621882</v>
      </c>
      <c r="E24" s="24">
        <v>1933790</v>
      </c>
      <c r="F24" s="350">
        <f>E24/'- 3 -'!$D24*100</f>
        <v>3.5593294680413066</v>
      </c>
      <c r="G24" s="24">
        <f>IF('- 7 -'!$B24=0,"",E24/'- 7 -'!$B24)</f>
        <v>5670.9384164222874</v>
      </c>
    </row>
    <row r="25" spans="1:7" ht="14.1" customHeight="1">
      <c r="A25" s="357" t="s">
        <v>243</v>
      </c>
      <c r="B25" s="358">
        <v>13594401</v>
      </c>
      <c r="C25" s="359">
        <f>B25/'- 3 -'!$D25*100</f>
        <v>8.5496468865408222</v>
      </c>
      <c r="D25" s="358">
        <f>B25/'- 7 -'!$C25</f>
        <v>989.04336122226266</v>
      </c>
      <c r="E25" s="358">
        <v>2023227</v>
      </c>
      <c r="F25" s="359">
        <f>E25/'- 3 -'!$D25*100</f>
        <v>1.2724265248108635</v>
      </c>
      <c r="G25" s="358">
        <f>IF('- 7 -'!$B25=0,"",E25/'- 7 -'!$B25)</f>
        <v>13137.837662337663</v>
      </c>
    </row>
    <row r="26" spans="1:7" ht="14.1" customHeight="1">
      <c r="A26" s="23" t="s">
        <v>244</v>
      </c>
      <c r="B26" s="24">
        <v>3115510</v>
      </c>
      <c r="C26" s="350">
        <f>B26/'- 3 -'!$D26*100</f>
        <v>8.005165017127478</v>
      </c>
      <c r="D26" s="24">
        <f>B26/'- 7 -'!$C26</f>
        <v>1008.9086787564767</v>
      </c>
      <c r="E26" s="24">
        <v>929447</v>
      </c>
      <c r="F26" s="350">
        <f>E26/'- 3 -'!$D26*100</f>
        <v>2.3881729186149565</v>
      </c>
      <c r="G26" s="24">
        <f>IF('- 7 -'!$B26=0,"",E26/'- 7 -'!$B26)</f>
        <v>6192.1852098600939</v>
      </c>
    </row>
    <row r="27" spans="1:7" ht="14.1" customHeight="1">
      <c r="A27" s="357" t="s">
        <v>245</v>
      </c>
      <c r="B27" s="358">
        <v>2811348</v>
      </c>
      <c r="C27" s="359">
        <f>B27/'- 3 -'!$D27*100</f>
        <v>7.191749099550214</v>
      </c>
      <c r="D27" s="358">
        <f>B27/'- 7 -'!$C27</f>
        <v>972.78477508650519</v>
      </c>
      <c r="E27" s="358">
        <v>866106</v>
      </c>
      <c r="F27" s="359">
        <f>E27/'- 3 -'!$D27*100</f>
        <v>2.2155980140541258</v>
      </c>
      <c r="G27" s="358">
        <f>IF('- 7 -'!$B27=0,"",E27/'- 7 -'!$B27)</f>
        <v>4028.4</v>
      </c>
    </row>
    <row r="28" spans="1:7" ht="14.1" customHeight="1">
      <c r="A28" s="23" t="s">
        <v>246</v>
      </c>
      <c r="B28" s="24">
        <v>1971597</v>
      </c>
      <c r="C28" s="350">
        <f>B28/'- 3 -'!$D28*100</f>
        <v>7.2087934250848331</v>
      </c>
      <c r="D28" s="24">
        <f>B28/'- 7 -'!$C28</f>
        <v>994.50037831021439</v>
      </c>
      <c r="E28" s="24">
        <v>0</v>
      </c>
      <c r="F28" s="350">
        <f>E28/'- 3 -'!$D28*100</f>
        <v>0</v>
      </c>
      <c r="G28" s="24" t="str">
        <f>IF('- 7 -'!$B28=0,"",E28/'- 7 -'!$B28)</f>
        <v/>
      </c>
    </row>
    <row r="29" spans="1:7" ht="14.1" customHeight="1">
      <c r="A29" s="357" t="s">
        <v>247</v>
      </c>
      <c r="B29" s="358">
        <v>11396815</v>
      </c>
      <c r="C29" s="359">
        <f>B29/'- 3 -'!$D29*100</f>
        <v>7.7486789773465112</v>
      </c>
      <c r="D29" s="358">
        <f>B29/'- 7 -'!$C29</f>
        <v>944.97035777952817</v>
      </c>
      <c r="E29" s="358">
        <v>0</v>
      </c>
      <c r="F29" s="359">
        <f>E29/'- 3 -'!$D29*100</f>
        <v>0</v>
      </c>
      <c r="G29" s="358" t="str">
        <f>IF('- 7 -'!$B29=0,"",E29/'- 7 -'!$B29)</f>
        <v/>
      </c>
    </row>
    <row r="30" spans="1:7" ht="14.1" customHeight="1">
      <c r="A30" s="23" t="s">
        <v>248</v>
      </c>
      <c r="B30" s="24">
        <v>957240</v>
      </c>
      <c r="C30" s="350">
        <f>B30/'- 3 -'!$D30*100</f>
        <v>7.1433661893054721</v>
      </c>
      <c r="D30" s="24">
        <f>B30/'- 7 -'!$C30</f>
        <v>933.43734763529983</v>
      </c>
      <c r="E30" s="24">
        <v>0</v>
      </c>
      <c r="F30" s="350">
        <f>E30/'- 3 -'!$D30*100</f>
        <v>0</v>
      </c>
      <c r="G30" s="24" t="str">
        <f>IF('- 7 -'!$B30=0,"",E30/'- 7 -'!$B30)</f>
        <v/>
      </c>
    </row>
    <row r="31" spans="1:7" ht="14.1" customHeight="1">
      <c r="A31" s="357" t="s">
        <v>249</v>
      </c>
      <c r="B31" s="358">
        <v>2638977</v>
      </c>
      <c r="C31" s="359">
        <f>B31/'- 3 -'!$D31*100</f>
        <v>7.545182714810708</v>
      </c>
      <c r="D31" s="358">
        <f>B31/'- 7 -'!$C31</f>
        <v>827.00626762770287</v>
      </c>
      <c r="E31" s="358">
        <v>729360</v>
      </c>
      <c r="F31" s="359">
        <f>E31/'- 3 -'!$D31*100</f>
        <v>2.0853362741980463</v>
      </c>
      <c r="G31" s="358">
        <f>IF('- 7 -'!$B31=0,"",E31/'- 7 -'!$B31)</f>
        <v>8787.469879518072</v>
      </c>
    </row>
    <row r="32" spans="1:7" ht="14.1" customHeight="1">
      <c r="A32" s="23" t="s">
        <v>250</v>
      </c>
      <c r="B32" s="24">
        <v>2083750</v>
      </c>
      <c r="C32" s="350">
        <f>B32/'- 3 -'!$D32*100</f>
        <v>7.8284439386485927</v>
      </c>
      <c r="D32" s="24">
        <f>B32/'- 7 -'!$C32</f>
        <v>990.61088661754218</v>
      </c>
      <c r="E32" s="24">
        <v>260398</v>
      </c>
      <c r="F32" s="350">
        <f>E32/'- 3 -'!$D32*100</f>
        <v>0.97828969153507683</v>
      </c>
      <c r="G32" s="24">
        <f>IF('- 7 -'!$B32=0,"",E32/'- 7 -'!$B32)</f>
        <v>6509.95</v>
      </c>
    </row>
    <row r="33" spans="1:7" ht="14.1" customHeight="1">
      <c r="A33" s="357" t="s">
        <v>251</v>
      </c>
      <c r="B33" s="358">
        <v>2218900</v>
      </c>
      <c r="C33" s="359">
        <f>B33/'- 3 -'!$D33*100</f>
        <v>8.1876041392842485</v>
      </c>
      <c r="D33" s="358">
        <f>B33/'- 7 -'!$C33</f>
        <v>1113.0674692751443</v>
      </c>
      <c r="E33" s="358">
        <v>228600</v>
      </c>
      <c r="F33" s="359">
        <f>E33/'- 3 -'!$D33*100</f>
        <v>0.84351990005875865</v>
      </c>
      <c r="G33" s="358">
        <f>IF('- 7 -'!$B33=0,"",E33/'- 7 -'!$B33)</f>
        <v>4156.363636363636</v>
      </c>
    </row>
    <row r="34" spans="1:7" ht="14.1" customHeight="1">
      <c r="A34" s="23" t="s">
        <v>252</v>
      </c>
      <c r="B34" s="24">
        <v>2099872</v>
      </c>
      <c r="C34" s="350">
        <f>B34/'- 3 -'!$D34*100</f>
        <v>7.974277513950236</v>
      </c>
      <c r="D34" s="24">
        <f>B34/'- 7 -'!$C34</f>
        <v>1057.6036262906068</v>
      </c>
      <c r="E34" s="24">
        <v>313888</v>
      </c>
      <c r="F34" s="350">
        <f>E34/'- 3 -'!$D34*100</f>
        <v>1.1919917120180712</v>
      </c>
      <c r="G34" s="24">
        <f>IF('- 7 -'!$B34=0,"",E34/'- 7 -'!$B34)</f>
        <v>14947.047619047618</v>
      </c>
    </row>
    <row r="35" spans="1:7" ht="14.1" customHeight="1">
      <c r="A35" s="357" t="s">
        <v>253</v>
      </c>
      <c r="B35" s="358">
        <v>12284059</v>
      </c>
      <c r="C35" s="359">
        <f>B35/'- 3 -'!$D35*100</f>
        <v>7.2066841146120098</v>
      </c>
      <c r="D35" s="358">
        <f>B35/'- 7 -'!$C35</f>
        <v>792.67335613344517</v>
      </c>
      <c r="E35" s="358">
        <v>3864185</v>
      </c>
      <c r="F35" s="359">
        <f>E35/'- 3 -'!$D35*100</f>
        <v>2.2669999106502181</v>
      </c>
      <c r="G35" s="358">
        <f>IF('- 7 -'!$B35=0,"",E35/'- 7 -'!$B35)</f>
        <v>4758.8485221674873</v>
      </c>
    </row>
    <row r="36" spans="1:7" ht="14.1" customHeight="1">
      <c r="A36" s="23" t="s">
        <v>254</v>
      </c>
      <c r="B36" s="24">
        <v>1695050</v>
      </c>
      <c r="C36" s="350">
        <f>B36/'- 3 -'!$D36*100</f>
        <v>7.6626022921580441</v>
      </c>
      <c r="D36" s="24">
        <f>B36/'- 7 -'!$C36</f>
        <v>1028.2377919320595</v>
      </c>
      <c r="E36" s="24">
        <v>129580</v>
      </c>
      <c r="F36" s="350">
        <f>E36/'- 3 -'!$D36*100</f>
        <v>0.58577623374994203</v>
      </c>
      <c r="G36" s="24">
        <f>IF('- 7 -'!$B36=0,"",E36/'- 7 -'!$B36)</f>
        <v>13497.916666666668</v>
      </c>
    </row>
    <row r="37" spans="1:7" ht="14.1" customHeight="1">
      <c r="A37" s="357" t="s">
        <v>255</v>
      </c>
      <c r="B37" s="358">
        <v>3853121</v>
      </c>
      <c r="C37" s="359">
        <f>B37/'- 3 -'!$D37*100</f>
        <v>8.619485061780729</v>
      </c>
      <c r="D37" s="358">
        <f>B37/'- 7 -'!$C37</f>
        <v>984.57161108981734</v>
      </c>
      <c r="E37" s="358">
        <v>0</v>
      </c>
      <c r="F37" s="359">
        <f>E37/'- 3 -'!$D37*100</f>
        <v>0</v>
      </c>
      <c r="G37" s="358" t="str">
        <f>IF('- 7 -'!$B37=0,"",E37/'- 7 -'!$B37)</f>
        <v/>
      </c>
    </row>
    <row r="38" spans="1:7" ht="14.1" customHeight="1">
      <c r="A38" s="23" t="s">
        <v>256</v>
      </c>
      <c r="B38" s="24">
        <v>9639045</v>
      </c>
      <c r="C38" s="350">
        <f>B38/'- 3 -'!$D38*100</f>
        <v>7.8836898227879288</v>
      </c>
      <c r="D38" s="24">
        <f>B38/'- 7 -'!$C38</f>
        <v>898.70355694373222</v>
      </c>
      <c r="E38" s="24">
        <v>913160</v>
      </c>
      <c r="F38" s="350">
        <f>E38/'- 3 -'!$D38*100</f>
        <v>0.74686550364450266</v>
      </c>
      <c r="G38" s="24">
        <f>IF('- 7 -'!$B38=0,"",E38/'- 7 -'!$B38)</f>
        <v>5309.0697674418607</v>
      </c>
    </row>
    <row r="39" spans="1:7" ht="14.1" customHeight="1">
      <c r="A39" s="357" t="s">
        <v>257</v>
      </c>
      <c r="B39" s="358">
        <v>1389000</v>
      </c>
      <c r="C39" s="359">
        <f>B39/'- 3 -'!$D39*100</f>
        <v>6.6592923833036917</v>
      </c>
      <c r="D39" s="358">
        <f>B39/'- 7 -'!$C39</f>
        <v>895.84005159625929</v>
      </c>
      <c r="E39" s="358">
        <v>137000</v>
      </c>
      <c r="F39" s="359">
        <f>E39/'- 3 -'!$D39*100</f>
        <v>0.65682005508466934</v>
      </c>
      <c r="G39" s="358">
        <f>IF('- 7 -'!$B39=0,"",E39/'- 7 -'!$B39)</f>
        <v>6850</v>
      </c>
    </row>
    <row r="40" spans="1:7" ht="14.1" customHeight="1">
      <c r="A40" s="23" t="s">
        <v>258</v>
      </c>
      <c r="B40" s="24">
        <v>8429722</v>
      </c>
      <c r="C40" s="350">
        <f>B40/'- 3 -'!$D40*100</f>
        <v>8.4920149206902753</v>
      </c>
      <c r="D40" s="24">
        <f>B40/'- 7 -'!$C40</f>
        <v>1061.5588429004808</v>
      </c>
      <c r="E40" s="24">
        <v>1955292</v>
      </c>
      <c r="F40" s="350">
        <f>E40/'- 3 -'!$D40*100</f>
        <v>1.9697409758360158</v>
      </c>
      <c r="G40" s="24">
        <f>IF('- 7 -'!$B40=0,"",E40/'- 7 -'!$B40)</f>
        <v>7292.3283481893113</v>
      </c>
    </row>
    <row r="41" spans="1:7" ht="14.1" customHeight="1">
      <c r="A41" s="357" t="s">
        <v>259</v>
      </c>
      <c r="B41" s="358">
        <v>3847740</v>
      </c>
      <c r="C41" s="359">
        <f>B41/'- 3 -'!$D41*100</f>
        <v>6.4794598190269674</v>
      </c>
      <c r="D41" s="358">
        <f>B41/'- 7 -'!$C41</f>
        <v>877.27770177838579</v>
      </c>
      <c r="E41" s="358">
        <v>0</v>
      </c>
      <c r="F41" s="359">
        <f>E41/'- 3 -'!$D41*100</f>
        <v>0</v>
      </c>
      <c r="G41" s="358" t="str">
        <f>IF('- 7 -'!$B41=0,"",E41/'- 7 -'!$B41)</f>
        <v/>
      </c>
    </row>
    <row r="42" spans="1:7" ht="14.1" customHeight="1">
      <c r="A42" s="23" t="s">
        <v>260</v>
      </c>
      <c r="B42" s="24">
        <v>1562428</v>
      </c>
      <c r="C42" s="350">
        <f>B42/'- 3 -'!$D42*100</f>
        <v>7.6732073726689807</v>
      </c>
      <c r="D42" s="24">
        <f>B42/'- 7 -'!$C42</f>
        <v>1114.8255440599357</v>
      </c>
      <c r="E42" s="24">
        <v>1211545</v>
      </c>
      <c r="F42" s="350">
        <f>E42/'- 3 -'!$D42*100</f>
        <v>5.9499932325331084</v>
      </c>
      <c r="G42" s="24">
        <f>IF('- 7 -'!$B42=0,"",E42/'- 7 -'!$B42)</f>
        <v>7272.17887154862</v>
      </c>
    </row>
    <row r="43" spans="1:7" ht="14.1" customHeight="1">
      <c r="A43" s="357" t="s">
        <v>261</v>
      </c>
      <c r="B43" s="358">
        <v>727481</v>
      </c>
      <c r="C43" s="359">
        <f>B43/'- 3 -'!$D43*100</f>
        <v>5.8461110693680292</v>
      </c>
      <c r="D43" s="358">
        <f>B43/'- 7 -'!$C43</f>
        <v>757.79270833333328</v>
      </c>
      <c r="E43" s="358">
        <v>130784</v>
      </c>
      <c r="F43" s="359">
        <f>E43/'- 3 -'!$D43*100</f>
        <v>1.0509934831235845</v>
      </c>
      <c r="G43" s="358">
        <f>IF('- 7 -'!$B43=0,"",E43/'- 7 -'!$B43)</f>
        <v>5231.3599999999997</v>
      </c>
    </row>
    <row r="44" spans="1:7" ht="14.1" customHeight="1">
      <c r="A44" s="23" t="s">
        <v>262</v>
      </c>
      <c r="B44" s="24">
        <v>616468</v>
      </c>
      <c r="C44" s="350">
        <f>B44/'- 3 -'!$D44*100</f>
        <v>5.7268492064162988</v>
      </c>
      <c r="D44" s="24">
        <f>B44/'- 7 -'!$C44</f>
        <v>878.15954415954411</v>
      </c>
      <c r="E44" s="24">
        <v>0</v>
      </c>
      <c r="F44" s="350">
        <f>E44/'- 3 -'!$D44*100</f>
        <v>0</v>
      </c>
      <c r="G44" s="24" t="str">
        <f>IF('- 7 -'!$B44=0,"",E44/'- 7 -'!$B44)</f>
        <v/>
      </c>
    </row>
    <row r="45" spans="1:7" ht="14.1" customHeight="1">
      <c r="A45" s="357" t="s">
        <v>263</v>
      </c>
      <c r="B45" s="358">
        <v>1251328</v>
      </c>
      <c r="C45" s="359">
        <f>B45/'- 3 -'!$D45*100</f>
        <v>7.1270210288265119</v>
      </c>
      <c r="D45" s="358">
        <f>B45/'- 7 -'!$C45</f>
        <v>744.39500297441998</v>
      </c>
      <c r="E45" s="358">
        <v>346016</v>
      </c>
      <c r="F45" s="359">
        <f>E45/'- 3 -'!$D45*100</f>
        <v>1.97075691450238</v>
      </c>
      <c r="G45" s="358">
        <f>IF('- 7 -'!$B45=0,"",E45/'- 7 -'!$B45)</f>
        <v>8650.4</v>
      </c>
    </row>
    <row r="46" spans="1:7" ht="14.1" customHeight="1">
      <c r="A46" s="23" t="s">
        <v>264</v>
      </c>
      <c r="B46" s="24">
        <v>27921400</v>
      </c>
      <c r="C46" s="350">
        <f>B46/'- 3 -'!$D46*100</f>
        <v>7.5521639840968922</v>
      </c>
      <c r="D46" s="24">
        <f>B46/'- 7 -'!$C46</f>
        <v>923.38779019776439</v>
      </c>
      <c r="E46" s="24">
        <v>5220800</v>
      </c>
      <c r="F46" s="350">
        <f>E46/'- 3 -'!$D46*100</f>
        <v>1.4121189384548432</v>
      </c>
      <c r="G46" s="24">
        <f>IF('- 7 -'!$B46=0,"",E46/'- 7 -'!$B46)</f>
        <v>7888.7881535207016</v>
      </c>
    </row>
    <row r="47" spans="1:7" ht="5.0999999999999996" customHeight="1">
      <c r="A47"/>
      <c r="B47"/>
      <c r="C47"/>
      <c r="D47"/>
      <c r="E47"/>
      <c r="F47"/>
      <c r="G47"/>
    </row>
    <row r="48" spans="1:7" ht="14.1" customHeight="1">
      <c r="A48" s="360" t="s">
        <v>265</v>
      </c>
      <c r="B48" s="361">
        <f>SUM(B11:B46)</f>
        <v>160955427</v>
      </c>
      <c r="C48" s="362">
        <f>B48/'- 3 -'!$D48*100</f>
        <v>7.5012923039513053</v>
      </c>
      <c r="D48" s="361">
        <f>B48/'- 7 -'!$C48</f>
        <v>931.15433210803451</v>
      </c>
      <c r="E48" s="361">
        <f>SUM(E11:E46)</f>
        <v>31071949</v>
      </c>
      <c r="F48" s="362">
        <f>E48/'- 3 -'!$D48*100</f>
        <v>1.4481013548084183</v>
      </c>
      <c r="G48" s="361">
        <f>E48/'- 7 -'!$B48</f>
        <v>6952.7433307526044</v>
      </c>
    </row>
    <row r="49" spans="1:7" ht="5.0999999999999996" customHeight="1">
      <c r="A49" s="25" t="s">
        <v>3</v>
      </c>
      <c r="B49" s="26"/>
      <c r="C49" s="349"/>
      <c r="D49" s="26"/>
      <c r="E49" s="26"/>
      <c r="F49" s="349"/>
    </row>
    <row r="50" spans="1:7" ht="14.1" customHeight="1">
      <c r="A50" s="23" t="s">
        <v>266</v>
      </c>
      <c r="B50" s="24">
        <v>239057</v>
      </c>
      <c r="C50" s="350">
        <f>B50/'- 3 -'!$D50*100</f>
        <v>7.1074557569746473</v>
      </c>
      <c r="D50" s="24">
        <f>B50/'- 7 -'!$C50</f>
        <v>1366.04</v>
      </c>
      <c r="E50" s="24">
        <v>0</v>
      </c>
      <c r="F50" s="350">
        <f>E50/'- 3 -'!$D50*100</f>
        <v>0</v>
      </c>
      <c r="G50" s="24" t="str">
        <f>IF('- 7 -'!$B50=0,"",E50/'- 7 -'!$B50)</f>
        <v/>
      </c>
    </row>
    <row r="51" spans="1:7" ht="14.1" customHeight="1">
      <c r="A51" s="511" t="s">
        <v>691</v>
      </c>
      <c r="B51" s="358">
        <v>514230</v>
      </c>
      <c r="C51" s="359">
        <f>B51/'- 3 -'!$D51*100</f>
        <v>2.2842177579174265</v>
      </c>
      <c r="D51" s="358">
        <f>B51/'- 7 -'!$C51</f>
        <v>828.06763285024158</v>
      </c>
      <c r="E51" s="358">
        <v>4117400</v>
      </c>
      <c r="F51" s="359">
        <f>E51/'- 3 -'!$D51*100</f>
        <v>18.289555639401069</v>
      </c>
      <c r="G51" s="358">
        <f>IF('- 7 -'!$B51=0,"",E51/'- 7 -'!$B51)</f>
        <v>7287.4336283185839</v>
      </c>
    </row>
    <row r="52" spans="1:7" ht="50.1" customHeight="1">
      <c r="B52" s="66"/>
      <c r="C52" s="66"/>
      <c r="D52" s="66"/>
      <c r="E52" s="66"/>
      <c r="F52" s="66"/>
      <c r="G52" s="66"/>
    </row>
    <row r="53" spans="1:7" ht="15" customHeight="1">
      <c r="C53" s="66"/>
      <c r="D53" s="66"/>
      <c r="E53" s="66"/>
      <c r="F53" s="66"/>
      <c r="G53" s="66"/>
    </row>
    <row r="54" spans="1:7" ht="14.45" customHeight="1"/>
    <row r="55" spans="1:7" ht="14.45" customHeight="1"/>
    <row r="56" spans="1:7" ht="14.45" customHeight="1"/>
    <row r="57" spans="1:7" ht="14.45" customHeight="1"/>
    <row r="58" spans="1:7" ht="14.45" customHeight="1"/>
    <row r="59" spans="1:7"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15.xml><?xml version="1.0" encoding="utf-8"?>
<worksheet xmlns="http://schemas.openxmlformats.org/spreadsheetml/2006/main" xmlns:r="http://schemas.openxmlformats.org/officeDocument/2006/relationships">
  <sheetPr codeName="Sheet14">
    <pageSetUpPr fitToPage="1"/>
  </sheetPr>
  <dimension ref="A1:J59"/>
  <sheetViews>
    <sheetView showGridLines="0" showZeros="0" workbookViewId="0"/>
  </sheetViews>
  <sheetFormatPr defaultColWidth="15.83203125" defaultRowHeight="12"/>
  <cols>
    <col min="1" max="1" width="32.83203125" style="1" customWidth="1"/>
    <col min="2" max="2" width="14.83203125" style="1" customWidth="1"/>
    <col min="3" max="3" width="7.83203125" style="1" customWidth="1"/>
    <col min="4" max="4" width="9.83203125" style="1" customWidth="1"/>
    <col min="5" max="5" width="12.33203125" style="1" customWidth="1"/>
    <col min="6" max="6" width="7.83203125" style="1" customWidth="1"/>
    <col min="7" max="7" width="9.83203125" style="1" customWidth="1"/>
    <col min="8" max="8" width="12.5" style="1" customWidth="1"/>
    <col min="9" max="9" width="7.83203125" style="1" customWidth="1"/>
    <col min="10" max="10" width="9.83203125" style="1" customWidth="1"/>
    <col min="11" max="16384" width="15.83203125" style="1"/>
  </cols>
  <sheetData>
    <row r="1" spans="1:10" ht="6.95" customHeight="1">
      <c r="A1" s="3"/>
      <c r="B1" s="3"/>
      <c r="C1" s="3"/>
      <c r="D1" s="3"/>
      <c r="E1" s="3"/>
      <c r="F1" s="3"/>
      <c r="G1" s="3"/>
      <c r="H1" s="40"/>
      <c r="I1" s="40"/>
      <c r="J1" s="40"/>
    </row>
    <row r="2" spans="1:10" ht="15.95" customHeight="1">
      <c r="A2" s="159"/>
      <c r="B2" s="5" t="s">
        <v>474</v>
      </c>
      <c r="C2" s="43"/>
      <c r="D2" s="43"/>
      <c r="E2" s="188"/>
      <c r="F2" s="188"/>
      <c r="G2" s="188"/>
      <c r="H2" s="188"/>
      <c r="I2" s="41"/>
      <c r="J2" s="182" t="s">
        <v>437</v>
      </c>
    </row>
    <row r="3" spans="1:10" ht="15.95" customHeight="1">
      <c r="A3" s="162"/>
      <c r="B3" s="107" t="str">
        <f>OPYEAR</f>
        <v>OPERATING FUND 2014/2015 BUDGET</v>
      </c>
      <c r="C3" s="47"/>
      <c r="D3" s="47"/>
      <c r="E3" s="189"/>
      <c r="F3" s="189"/>
      <c r="G3" s="189"/>
      <c r="H3" s="189"/>
      <c r="I3" s="45"/>
      <c r="J3" s="211"/>
    </row>
    <row r="4" spans="1:10" ht="15.95" customHeight="1">
      <c r="H4" s="40"/>
      <c r="I4" s="40"/>
      <c r="J4" s="40"/>
    </row>
    <row r="5" spans="1:10" ht="15.95" customHeight="1">
      <c r="B5" s="213" t="s">
        <v>398</v>
      </c>
      <c r="C5" s="72"/>
      <c r="D5" s="72"/>
      <c r="E5" s="72"/>
      <c r="F5" s="72"/>
      <c r="G5" s="72"/>
      <c r="H5" s="72"/>
      <c r="I5" s="229"/>
      <c r="J5" s="230"/>
    </row>
    <row r="6" spans="1:10" ht="15.95" customHeight="1">
      <c r="B6" s="404" t="s">
        <v>400</v>
      </c>
      <c r="C6" s="405"/>
      <c r="D6" s="405"/>
      <c r="E6" s="405"/>
      <c r="F6" s="405"/>
      <c r="G6" s="406"/>
      <c r="H6" s="407"/>
      <c r="I6" s="405"/>
      <c r="J6" s="406"/>
    </row>
    <row r="7" spans="1:10" ht="15.95" customHeight="1">
      <c r="B7" s="388" t="s">
        <v>31</v>
      </c>
      <c r="C7" s="389"/>
      <c r="D7" s="391"/>
      <c r="E7" s="388" t="s">
        <v>32</v>
      </c>
      <c r="F7" s="389"/>
      <c r="G7" s="391"/>
      <c r="H7" s="388" t="s">
        <v>33</v>
      </c>
      <c r="I7" s="389"/>
      <c r="J7" s="391"/>
    </row>
    <row r="8" spans="1:10" ht="15.95" customHeight="1">
      <c r="A8" s="102"/>
      <c r="B8" s="231"/>
      <c r="C8" s="216"/>
      <c r="D8" s="202" t="s">
        <v>60</v>
      </c>
      <c r="E8" s="231"/>
      <c r="F8" s="216"/>
      <c r="G8" s="202" t="s">
        <v>60</v>
      </c>
      <c r="H8" s="203"/>
      <c r="I8" s="201"/>
      <c r="J8" s="202" t="s">
        <v>60</v>
      </c>
    </row>
    <row r="9" spans="1:10" ht="15.95" customHeight="1">
      <c r="A9" s="35" t="s">
        <v>81</v>
      </c>
      <c r="B9" s="54" t="s">
        <v>82</v>
      </c>
      <c r="C9" s="54" t="s">
        <v>83</v>
      </c>
      <c r="D9" s="54" t="s">
        <v>84</v>
      </c>
      <c r="E9" s="54" t="s">
        <v>82</v>
      </c>
      <c r="F9" s="54" t="s">
        <v>83</v>
      </c>
      <c r="G9" s="54" t="s">
        <v>84</v>
      </c>
      <c r="H9" s="204" t="s">
        <v>82</v>
      </c>
      <c r="I9" s="54" t="s">
        <v>83</v>
      </c>
      <c r="J9" s="54" t="s">
        <v>84</v>
      </c>
    </row>
    <row r="10" spans="1:10" ht="5.0999999999999996" customHeight="1">
      <c r="A10" s="37"/>
      <c r="B10" s="66"/>
      <c r="C10" s="66"/>
      <c r="D10" s="66"/>
      <c r="E10" s="66"/>
      <c r="F10" s="66"/>
      <c r="G10" s="66"/>
      <c r="H10" s="66"/>
      <c r="I10" s="66"/>
      <c r="J10" s="66"/>
    </row>
    <row r="11" spans="1:10" ht="14.1" customHeight="1">
      <c r="A11" s="357" t="s">
        <v>230</v>
      </c>
      <c r="B11" s="358">
        <v>9521832</v>
      </c>
      <c r="C11" s="359">
        <f>B11/'- 3 -'!$D11*100</f>
        <v>54.816568505166906</v>
      </c>
      <c r="D11" s="358">
        <f>B11/'- 6 -'!$B11</f>
        <v>6157.0203685741999</v>
      </c>
      <c r="E11" s="358">
        <v>0</v>
      </c>
      <c r="F11" s="359">
        <f>E11/'- 3 -'!$D11*100</f>
        <v>0</v>
      </c>
      <c r="G11" s="358" t="str">
        <f>IF('- 6 -'!$C11=0,"",E11/'- 6 -'!$C11)</f>
        <v/>
      </c>
      <c r="H11" s="358">
        <v>0</v>
      </c>
      <c r="I11" s="359">
        <f>H11/'- 3 -'!$D11*100</f>
        <v>0</v>
      </c>
      <c r="J11" s="358" t="str">
        <f>IF('- 6 -'!$D11=0,"",H11/'- 6 -'!$D11)</f>
        <v/>
      </c>
    </row>
    <row r="12" spans="1:10" ht="14.1" customHeight="1">
      <c r="A12" s="23" t="s">
        <v>231</v>
      </c>
      <c r="B12" s="24">
        <v>13937703</v>
      </c>
      <c r="C12" s="350">
        <f>B12/'- 3 -'!$D12*100</f>
        <v>44.298505441843147</v>
      </c>
      <c r="D12" s="24">
        <f>B12/'- 6 -'!$B12</f>
        <v>6852.9678142608491</v>
      </c>
      <c r="E12" s="24">
        <v>0</v>
      </c>
      <c r="F12" s="350">
        <f>E12/'- 3 -'!$D12*100</f>
        <v>0</v>
      </c>
      <c r="G12" s="24" t="str">
        <f>IF('- 6 -'!$C12=0,"",E12/'- 6 -'!$C12)</f>
        <v/>
      </c>
      <c r="H12" s="24">
        <v>0</v>
      </c>
      <c r="I12" s="350">
        <f>H12/'- 3 -'!$D12*100</f>
        <v>0</v>
      </c>
      <c r="J12" s="24" t="str">
        <f>IF('- 6 -'!$D12=0,"",H12/'- 6 -'!$D12)</f>
        <v/>
      </c>
    </row>
    <row r="13" spans="1:10" ht="14.1" customHeight="1">
      <c r="A13" s="357" t="s">
        <v>232</v>
      </c>
      <c r="B13" s="358">
        <v>35302900</v>
      </c>
      <c r="C13" s="359">
        <f>B13/'- 3 -'!$D13*100</f>
        <v>39.551125994158568</v>
      </c>
      <c r="D13" s="358">
        <f>B13/'- 6 -'!$B13</f>
        <v>5919.1341671976124</v>
      </c>
      <c r="E13" s="358">
        <v>0</v>
      </c>
      <c r="F13" s="359">
        <f>E13/'- 3 -'!$D13*100</f>
        <v>0</v>
      </c>
      <c r="G13" s="358" t="str">
        <f>IF('- 6 -'!$C13=0,"",E13/'- 6 -'!$C13)</f>
        <v/>
      </c>
      <c r="H13" s="358">
        <v>1673600</v>
      </c>
      <c r="I13" s="359">
        <f>H13/'- 3 -'!$D13*100</f>
        <v>1.87499509852799</v>
      </c>
      <c r="J13" s="358">
        <f>IF('- 6 -'!$D13=0,"",H13/'- 6 -'!$D13)</f>
        <v>5338.4370015948962</v>
      </c>
    </row>
    <row r="14" spans="1:10" ht="14.1" customHeight="1">
      <c r="A14" s="23" t="s">
        <v>566</v>
      </c>
      <c r="B14" s="24">
        <v>0</v>
      </c>
      <c r="C14" s="350">
        <f>B14/'- 3 -'!$D14*100</f>
        <v>0</v>
      </c>
      <c r="D14" s="24"/>
      <c r="E14" s="24">
        <v>38811057</v>
      </c>
      <c r="F14" s="350">
        <f>E14/'- 3 -'!$D14*100</f>
        <v>48.570991735822652</v>
      </c>
      <c r="G14" s="24">
        <f>IF('- 6 -'!$C14=0,"",E14/'- 6 -'!$C14)</f>
        <v>7302.1744120413923</v>
      </c>
      <c r="H14" s="24">
        <v>0</v>
      </c>
      <c r="I14" s="350">
        <f>H14/'- 3 -'!$D14*100</f>
        <v>0</v>
      </c>
      <c r="J14" s="24" t="str">
        <f>IF('- 6 -'!$D14=0,"",H14/'- 6 -'!$D14)</f>
        <v/>
      </c>
    </row>
    <row r="15" spans="1:10" ht="14.1" customHeight="1">
      <c r="A15" s="357" t="s">
        <v>233</v>
      </c>
      <c r="B15" s="358">
        <v>8890631</v>
      </c>
      <c r="C15" s="359">
        <f>B15/'- 3 -'!$D15*100</f>
        <v>44.839668458142341</v>
      </c>
      <c r="D15" s="358">
        <f>B15/'- 6 -'!$B15</f>
        <v>6206.3741710296681</v>
      </c>
      <c r="E15" s="358">
        <v>0</v>
      </c>
      <c r="F15" s="359">
        <f>E15/'- 3 -'!$D15*100</f>
        <v>0</v>
      </c>
      <c r="G15" s="358" t="str">
        <f>IF('- 6 -'!$C15=0,"",E15/'- 6 -'!$C15)</f>
        <v/>
      </c>
      <c r="H15" s="358">
        <v>0</v>
      </c>
      <c r="I15" s="359">
        <f>H15/'- 3 -'!$D15*100</f>
        <v>0</v>
      </c>
      <c r="J15" s="358" t="str">
        <f>IF('- 6 -'!$D15=0,"",H15/'- 6 -'!$D15)</f>
        <v/>
      </c>
    </row>
    <row r="16" spans="1:10" ht="14.1" customHeight="1">
      <c r="A16" s="23" t="s">
        <v>234</v>
      </c>
      <c r="B16" s="24">
        <v>3795226</v>
      </c>
      <c r="C16" s="350">
        <f>B16/'- 3 -'!$D16*100</f>
        <v>28.15118757558459</v>
      </c>
      <c r="D16" s="24">
        <f>B16/'- 6 -'!$B16</f>
        <v>6797.825541823393</v>
      </c>
      <c r="E16" s="24">
        <v>0</v>
      </c>
      <c r="F16" s="350">
        <f>E16/'- 3 -'!$D16*100</f>
        <v>0</v>
      </c>
      <c r="G16" s="24" t="str">
        <f>IF('- 6 -'!$C16=0,"",E16/'- 6 -'!$C16)</f>
        <v/>
      </c>
      <c r="H16" s="24">
        <v>0</v>
      </c>
      <c r="I16" s="350">
        <f>H16/'- 3 -'!$D16*100</f>
        <v>0</v>
      </c>
      <c r="J16" s="24" t="str">
        <f>IF('- 6 -'!$D16=0,"",H16/'- 6 -'!$D16)</f>
        <v/>
      </c>
    </row>
    <row r="17" spans="1:10" ht="14.1" customHeight="1">
      <c r="A17" s="357" t="s">
        <v>235</v>
      </c>
      <c r="B17" s="358">
        <v>8115118</v>
      </c>
      <c r="C17" s="359">
        <f>B17/'- 3 -'!$D17*100</f>
        <v>47.283578951882504</v>
      </c>
      <c r="D17" s="358">
        <f>B17/'- 6 -'!$B17</f>
        <v>6230.41689059501</v>
      </c>
      <c r="E17" s="358">
        <v>0</v>
      </c>
      <c r="F17" s="359">
        <f>E17/'- 3 -'!$D17*100</f>
        <v>0</v>
      </c>
      <c r="G17" s="358" t="str">
        <f>IF('- 6 -'!$C17=0,"",E17/'- 6 -'!$C17)</f>
        <v/>
      </c>
      <c r="H17" s="358">
        <v>0</v>
      </c>
      <c r="I17" s="359">
        <f>H17/'- 3 -'!$D17*100</f>
        <v>0</v>
      </c>
      <c r="J17" s="358" t="str">
        <f>IF('- 6 -'!$D17=0,"",H17/'- 6 -'!$D17)</f>
        <v/>
      </c>
    </row>
    <row r="18" spans="1:10" ht="14.1" customHeight="1">
      <c r="A18" s="23" t="s">
        <v>236</v>
      </c>
      <c r="B18" s="24">
        <v>45064510</v>
      </c>
      <c r="C18" s="350">
        <f>B18/'- 3 -'!$D18*100</f>
        <v>36.408306587499695</v>
      </c>
      <c r="D18" s="24">
        <f>B18/'- 6 -'!$B18</f>
        <v>7355.4295134411677</v>
      </c>
      <c r="E18" s="24">
        <v>0</v>
      </c>
      <c r="F18" s="350">
        <f>E18/'- 3 -'!$D18*100</f>
        <v>0</v>
      </c>
      <c r="G18" s="24" t="str">
        <f>IF('- 6 -'!$C18=0,"",E18/'- 6 -'!$C18)</f>
        <v/>
      </c>
      <c r="H18" s="24">
        <v>0</v>
      </c>
      <c r="I18" s="350">
        <f>H18/'- 3 -'!$D18*100</f>
        <v>0</v>
      </c>
      <c r="J18" s="24" t="str">
        <f>IF('- 6 -'!$D18=0,"",H18/'- 6 -'!$D18)</f>
        <v/>
      </c>
    </row>
    <row r="19" spans="1:10" ht="14.1" customHeight="1">
      <c r="A19" s="357" t="s">
        <v>237</v>
      </c>
      <c r="B19" s="358">
        <v>20808150</v>
      </c>
      <c r="C19" s="359">
        <f>B19/'- 3 -'!$D19*100</f>
        <v>47.890182031092493</v>
      </c>
      <c r="D19" s="358">
        <f>B19/'- 6 -'!$B19</f>
        <v>5228.8352808141726</v>
      </c>
      <c r="E19" s="358">
        <v>0</v>
      </c>
      <c r="F19" s="359">
        <f>E19/'- 3 -'!$D19*100</f>
        <v>0</v>
      </c>
      <c r="G19" s="358" t="str">
        <f>IF('- 6 -'!$C19=0,"",E19/'- 6 -'!$C19)</f>
        <v/>
      </c>
      <c r="H19" s="358">
        <v>0</v>
      </c>
      <c r="I19" s="359">
        <f>H19/'- 3 -'!$D19*100</f>
        <v>0</v>
      </c>
      <c r="J19" s="358" t="str">
        <f>IF('- 6 -'!$D19=0,"",H19/'- 6 -'!$D19)</f>
        <v/>
      </c>
    </row>
    <row r="20" spans="1:10" ht="14.1" customHeight="1">
      <c r="A20" s="23" t="s">
        <v>238</v>
      </c>
      <c r="B20" s="24">
        <v>36708500</v>
      </c>
      <c r="C20" s="350">
        <f>B20/'- 3 -'!$D20*100</f>
        <v>48.473120153810399</v>
      </c>
      <c r="D20" s="24">
        <f>B20/'- 6 -'!$B20</f>
        <v>5170.1384487542427</v>
      </c>
      <c r="E20" s="24">
        <v>0</v>
      </c>
      <c r="F20" s="350">
        <f>E20/'- 3 -'!$D20*100</f>
        <v>0</v>
      </c>
      <c r="G20" s="24" t="str">
        <f>IF('- 6 -'!$C20=0,"",E20/'- 6 -'!$C20)</f>
        <v/>
      </c>
      <c r="H20" s="24">
        <v>0</v>
      </c>
      <c r="I20" s="350">
        <f>H20/'- 3 -'!$D20*100</f>
        <v>0</v>
      </c>
      <c r="J20" s="24" t="str">
        <f>IF('- 6 -'!$D20=0,"",H20/'- 6 -'!$D20)</f>
        <v/>
      </c>
    </row>
    <row r="21" spans="1:10" ht="14.1" customHeight="1">
      <c r="A21" s="357" t="s">
        <v>239</v>
      </c>
      <c r="B21" s="358">
        <v>13084286</v>
      </c>
      <c r="C21" s="359">
        <f>B21/'- 3 -'!$D21*100</f>
        <v>37.943389144043223</v>
      </c>
      <c r="D21" s="358">
        <f>B21/'- 6 -'!$B21</f>
        <v>6474.1642751113313</v>
      </c>
      <c r="E21" s="358">
        <v>0</v>
      </c>
      <c r="F21" s="359">
        <f>E21/'- 3 -'!$D21*100</f>
        <v>0</v>
      </c>
      <c r="G21" s="358" t="str">
        <f>IF('- 6 -'!$C21=0,"",E21/'- 6 -'!$C21)</f>
        <v/>
      </c>
      <c r="H21" s="358">
        <v>0</v>
      </c>
      <c r="I21" s="359">
        <f>H21/'- 3 -'!$D21*100</f>
        <v>0</v>
      </c>
      <c r="J21" s="358" t="str">
        <f>IF('- 6 -'!$D21=0,"",H21/'- 6 -'!$D21)</f>
        <v/>
      </c>
    </row>
    <row r="22" spans="1:10" ht="14.1" customHeight="1">
      <c r="A22" s="23" t="s">
        <v>240</v>
      </c>
      <c r="B22" s="24">
        <v>4541515</v>
      </c>
      <c r="C22" s="350">
        <f>B22/'- 3 -'!$D22*100</f>
        <v>23.405589358936346</v>
      </c>
      <c r="D22" s="24">
        <f>B22/'- 6 -'!$B22</f>
        <v>5137.4604072398188</v>
      </c>
      <c r="E22" s="24">
        <v>0</v>
      </c>
      <c r="F22" s="350">
        <f>E22/'- 3 -'!$D22*100</f>
        <v>0</v>
      </c>
      <c r="G22" s="24" t="str">
        <f>IF('- 6 -'!$C22=0,"",E22/'- 6 -'!$C22)</f>
        <v/>
      </c>
      <c r="H22" s="24">
        <v>0</v>
      </c>
      <c r="I22" s="350">
        <f>H22/'- 3 -'!$D22*100</f>
        <v>0</v>
      </c>
      <c r="J22" s="24" t="str">
        <f>IF('- 6 -'!$D22=0,"",H22/'- 6 -'!$D22)</f>
        <v/>
      </c>
    </row>
    <row r="23" spans="1:10" ht="14.1" customHeight="1">
      <c r="A23" s="357" t="s">
        <v>241</v>
      </c>
      <c r="B23" s="358">
        <v>7343408</v>
      </c>
      <c r="C23" s="359">
        <f>B23/'- 3 -'!$D23*100</f>
        <v>45.068504248220805</v>
      </c>
      <c r="D23" s="358">
        <f>B23/'- 6 -'!$B23</f>
        <v>6513.00044345898</v>
      </c>
      <c r="E23" s="358">
        <v>0</v>
      </c>
      <c r="F23" s="359">
        <f>E23/'- 3 -'!$D23*100</f>
        <v>0</v>
      </c>
      <c r="G23" s="358" t="str">
        <f>IF('- 6 -'!$C23=0,"",E23/'- 6 -'!$C23)</f>
        <v/>
      </c>
      <c r="H23" s="358">
        <v>0</v>
      </c>
      <c r="I23" s="359">
        <f>H23/'- 3 -'!$D23*100</f>
        <v>0</v>
      </c>
      <c r="J23" s="358" t="str">
        <f>IF('- 6 -'!$D23=0,"",H23/'- 6 -'!$D23)</f>
        <v/>
      </c>
    </row>
    <row r="24" spans="1:10" ht="14.1" customHeight="1">
      <c r="A24" s="23" t="s">
        <v>242</v>
      </c>
      <c r="B24" s="24">
        <v>19441097</v>
      </c>
      <c r="C24" s="350">
        <f>B24/'- 3 -'!$D24*100</f>
        <v>35.783238843488398</v>
      </c>
      <c r="D24" s="24">
        <f>B24/'- 6 -'!$B24</f>
        <v>6921.0028479886078</v>
      </c>
      <c r="E24" s="24">
        <v>0</v>
      </c>
      <c r="F24" s="350">
        <f>E24/'- 3 -'!$D24*100</f>
        <v>0</v>
      </c>
      <c r="G24" s="24" t="str">
        <f>IF('- 6 -'!$C24=0,"",E24/'- 6 -'!$C24)</f>
        <v/>
      </c>
      <c r="H24" s="24">
        <v>1500420</v>
      </c>
      <c r="I24" s="350">
        <f>H24/'- 3 -'!$D24*100</f>
        <v>2.7616696334341042</v>
      </c>
      <c r="J24" s="24">
        <f>IF('- 6 -'!$D24=0,"",H24/'- 6 -'!$D24)</f>
        <v>5705.0190114068437</v>
      </c>
    </row>
    <row r="25" spans="1:10" ht="14.1" customHeight="1">
      <c r="A25" s="357" t="s">
        <v>243</v>
      </c>
      <c r="B25" s="358">
        <v>54707758</v>
      </c>
      <c r="C25" s="359">
        <f>B25/'- 3 -'!$D25*100</f>
        <v>34.406224507746145</v>
      </c>
      <c r="D25" s="358">
        <f>B25/'- 6 -'!$B25</f>
        <v>5896.821126381029</v>
      </c>
      <c r="E25" s="358">
        <v>0</v>
      </c>
      <c r="F25" s="359">
        <f>E25/'- 3 -'!$D25*100</f>
        <v>0</v>
      </c>
      <c r="G25" s="358" t="str">
        <f>IF('- 6 -'!$C25=0,"",E25/'- 6 -'!$C25)</f>
        <v/>
      </c>
      <c r="H25" s="358">
        <v>21482216</v>
      </c>
      <c r="I25" s="359">
        <f>H25/'- 3 -'!$D25*100</f>
        <v>13.510368065529141</v>
      </c>
      <c r="J25" s="358">
        <f>IF('- 6 -'!$D25=0,"",H25/'- 6 -'!$D25)</f>
        <v>4980.2285846760169</v>
      </c>
    </row>
    <row r="26" spans="1:10" ht="14.1" customHeight="1">
      <c r="A26" s="23" t="s">
        <v>244</v>
      </c>
      <c r="B26" s="24">
        <v>15149607</v>
      </c>
      <c r="C26" s="350">
        <f>B26/'- 3 -'!$D26*100</f>
        <v>38.926244492757064</v>
      </c>
      <c r="D26" s="24">
        <f>B26/'- 6 -'!$B26</f>
        <v>6419.5970168227468</v>
      </c>
      <c r="E26" s="24">
        <v>0</v>
      </c>
      <c r="F26" s="350">
        <f>E26/'- 3 -'!$D26*100</f>
        <v>0</v>
      </c>
      <c r="G26" s="24" t="str">
        <f>IF('- 6 -'!$C26=0,"",E26/'- 6 -'!$C26)</f>
        <v/>
      </c>
      <c r="H26" s="24">
        <v>1015777</v>
      </c>
      <c r="I26" s="350">
        <f>H26/'- 3 -'!$D26*100</f>
        <v>2.6099940316682337</v>
      </c>
      <c r="J26" s="24">
        <f>IF('- 6 -'!$D26=0,"",H26/'- 6 -'!$D26)</f>
        <v>4416.4217391304346</v>
      </c>
    </row>
    <row r="27" spans="1:10" ht="14.1" customHeight="1">
      <c r="A27" s="357" t="s">
        <v>245</v>
      </c>
      <c r="B27" s="358">
        <v>15797669</v>
      </c>
      <c r="C27" s="359">
        <f>B27/'- 3 -'!$D27*100</f>
        <v>40.412240606905421</v>
      </c>
      <c r="D27" s="358">
        <f>B27/'- 6 -'!$B27</f>
        <v>6768.4957155098546</v>
      </c>
      <c r="E27" s="358">
        <v>0</v>
      </c>
      <c r="F27" s="359">
        <f>E27/'- 3 -'!$D27*100</f>
        <v>0</v>
      </c>
      <c r="G27" s="358" t="str">
        <f>IF('- 6 -'!$C27=0,"",E27/'- 6 -'!$C27)</f>
        <v/>
      </c>
      <c r="H27" s="358">
        <v>0</v>
      </c>
      <c r="I27" s="359">
        <f>H27/'- 3 -'!$D27*100</f>
        <v>0</v>
      </c>
      <c r="J27" s="358" t="str">
        <f>IF('- 6 -'!$D27=0,"",H27/'- 6 -'!$D27)</f>
        <v/>
      </c>
    </row>
    <row r="28" spans="1:10" ht="14.1" customHeight="1">
      <c r="A28" s="23" t="s">
        <v>246</v>
      </c>
      <c r="B28" s="24">
        <v>14052483</v>
      </c>
      <c r="C28" s="350">
        <f>B28/'- 3 -'!$D28*100</f>
        <v>51.380402311687625</v>
      </c>
      <c r="D28" s="24">
        <f>B28/'- 6 -'!$B28</f>
        <v>7088.2638083228248</v>
      </c>
      <c r="E28" s="24">
        <v>0</v>
      </c>
      <c r="F28" s="350">
        <f>E28/'- 3 -'!$D28*100</f>
        <v>0</v>
      </c>
      <c r="G28" s="24" t="str">
        <f>IF('- 6 -'!$C28=0,"",E28/'- 6 -'!$C28)</f>
        <v/>
      </c>
      <c r="H28" s="24">
        <v>0</v>
      </c>
      <c r="I28" s="350">
        <f>H28/'- 3 -'!$D28*100</f>
        <v>0</v>
      </c>
      <c r="J28" s="24" t="str">
        <f>IF('- 6 -'!$D28=0,"",H28/'- 6 -'!$D28)</f>
        <v/>
      </c>
    </row>
    <row r="29" spans="1:10" ht="14.1" customHeight="1">
      <c r="A29" s="357" t="s">
        <v>247</v>
      </c>
      <c r="B29" s="358">
        <v>46503508</v>
      </c>
      <c r="C29" s="359">
        <f>B29/'- 3 -'!$D29*100</f>
        <v>31.61767167515357</v>
      </c>
      <c r="D29" s="358">
        <f>B29/'- 6 -'!$B29</f>
        <v>5846.9237442635322</v>
      </c>
      <c r="E29" s="358">
        <v>0</v>
      </c>
      <c r="F29" s="359">
        <f>E29/'- 3 -'!$D29*100</f>
        <v>0</v>
      </c>
      <c r="G29" s="358" t="str">
        <f>IF('- 6 -'!$C29=0,"",E29/'- 6 -'!$C29)</f>
        <v/>
      </c>
      <c r="H29" s="358">
        <v>7638701</v>
      </c>
      <c r="I29" s="359">
        <f>H29/'- 3 -'!$D29*100</f>
        <v>5.1935423934613114</v>
      </c>
      <c r="J29" s="358">
        <f>IF('- 6 -'!$D29=0,"",H29/'- 6 -'!$D29)</f>
        <v>5855.6542736680722</v>
      </c>
    </row>
    <row r="30" spans="1:10" ht="14.1" customHeight="1">
      <c r="A30" s="23" t="s">
        <v>248</v>
      </c>
      <c r="B30" s="24">
        <v>7071243</v>
      </c>
      <c r="C30" s="350">
        <f>B30/'- 3 -'!$D30*100</f>
        <v>52.76887526906836</v>
      </c>
      <c r="D30" s="24">
        <f>B30/'- 6 -'!$B30</f>
        <v>6895.4100438810337</v>
      </c>
      <c r="E30" s="24">
        <v>0</v>
      </c>
      <c r="F30" s="350">
        <f>E30/'- 3 -'!$D30*100</f>
        <v>0</v>
      </c>
      <c r="G30" s="24" t="str">
        <f>IF('- 6 -'!$C30=0,"",E30/'- 6 -'!$C30)</f>
        <v/>
      </c>
      <c r="H30" s="24">
        <v>0</v>
      </c>
      <c r="I30" s="350">
        <f>H30/'- 3 -'!$D30*100</f>
        <v>0</v>
      </c>
      <c r="J30" s="24" t="str">
        <f>IF('- 6 -'!$D30=0,"",H30/'- 6 -'!$D30)</f>
        <v/>
      </c>
    </row>
    <row r="31" spans="1:10" ht="14.1" customHeight="1">
      <c r="A31" s="357" t="s">
        <v>249</v>
      </c>
      <c r="B31" s="358">
        <v>13449725</v>
      </c>
      <c r="C31" s="359">
        <f>B31/'- 3 -'!$D31*100</f>
        <v>38.454534688615119</v>
      </c>
      <c r="D31" s="358">
        <f>B31/'- 6 -'!$B31</f>
        <v>5606.3880783659861</v>
      </c>
      <c r="E31" s="358">
        <v>0</v>
      </c>
      <c r="F31" s="359">
        <f>E31/'- 3 -'!$D31*100</f>
        <v>0</v>
      </c>
      <c r="G31" s="358" t="str">
        <f>IF('- 6 -'!$C31=0,"",E31/'- 6 -'!$C31)</f>
        <v/>
      </c>
      <c r="H31" s="358">
        <v>0</v>
      </c>
      <c r="I31" s="359">
        <f>H31/'- 3 -'!$D31*100</f>
        <v>0</v>
      </c>
      <c r="J31" s="358" t="str">
        <f>IF('- 6 -'!$D31=0,"",H31/'- 6 -'!$D31)</f>
        <v/>
      </c>
    </row>
    <row r="32" spans="1:10" ht="14.1" customHeight="1">
      <c r="A32" s="23" t="s">
        <v>250</v>
      </c>
      <c r="B32" s="24">
        <v>11265004</v>
      </c>
      <c r="C32" s="350">
        <f>B32/'- 3 -'!$D32*100</f>
        <v>42.321512793114415</v>
      </c>
      <c r="D32" s="24">
        <f>B32/'- 6 -'!$B32</f>
        <v>6326.8767200224656</v>
      </c>
      <c r="E32" s="24">
        <v>0</v>
      </c>
      <c r="F32" s="350">
        <f>E32/'- 3 -'!$D32*100</f>
        <v>0</v>
      </c>
      <c r="G32" s="24" t="str">
        <f>IF('- 6 -'!$C32=0,"",E32/'- 6 -'!$C32)</f>
        <v/>
      </c>
      <c r="H32" s="24">
        <v>540598</v>
      </c>
      <c r="I32" s="350">
        <f>H32/'- 3 -'!$D32*100</f>
        <v>2.0309735507357178</v>
      </c>
      <c r="J32" s="24">
        <f>IF('- 6 -'!$D32=0,"",H32/'- 6 -'!$D32)</f>
        <v>4914.5272727272732</v>
      </c>
    </row>
    <row r="33" spans="1:10" ht="14.1" customHeight="1">
      <c r="A33" s="357" t="s">
        <v>251</v>
      </c>
      <c r="B33" s="358">
        <v>10143000</v>
      </c>
      <c r="C33" s="359">
        <f>B33/'- 3 -'!$D33*100</f>
        <v>37.427044384496888</v>
      </c>
      <c r="D33" s="358">
        <f>B33/'- 6 -'!$B33</f>
        <v>6717.2185430463578</v>
      </c>
      <c r="E33" s="358">
        <v>0</v>
      </c>
      <c r="F33" s="359">
        <f>E33/'- 3 -'!$D33*100</f>
        <v>0</v>
      </c>
      <c r="G33" s="358" t="str">
        <f>IF('- 6 -'!$C33=0,"",E33/'- 6 -'!$C33)</f>
        <v/>
      </c>
      <c r="H33" s="358">
        <v>0</v>
      </c>
      <c r="I33" s="359">
        <f>H33/'- 3 -'!$D33*100</f>
        <v>0</v>
      </c>
      <c r="J33" s="358" t="str">
        <f>IF('- 6 -'!$D33=0,"",H33/'- 6 -'!$D33)</f>
        <v/>
      </c>
    </row>
    <row r="34" spans="1:10" ht="14.1" customHeight="1">
      <c r="A34" s="23" t="s">
        <v>252</v>
      </c>
      <c r="B34" s="24">
        <v>9735171</v>
      </c>
      <c r="C34" s="350">
        <f>B34/'- 3 -'!$D34*100</f>
        <v>36.969374895117618</v>
      </c>
      <c r="D34" s="24">
        <f>B34/'- 6 -'!$B34</f>
        <v>6056.093934681182</v>
      </c>
      <c r="E34" s="24">
        <v>0</v>
      </c>
      <c r="F34" s="350">
        <f>E34/'- 3 -'!$D34*100</f>
        <v>0</v>
      </c>
      <c r="G34" s="24" t="str">
        <f>IF('- 6 -'!$C34=0,"",E34/'- 6 -'!$C34)</f>
        <v/>
      </c>
      <c r="H34" s="24">
        <v>1516714</v>
      </c>
      <c r="I34" s="350">
        <f>H34/'- 3 -'!$D34*100</f>
        <v>5.7597312337578277</v>
      </c>
      <c r="J34" s="24">
        <f>IF('- 6 -'!$D34=0,"",H34/'- 6 -'!$D34)</f>
        <v>7660.1717171717173</v>
      </c>
    </row>
    <row r="35" spans="1:10" ht="14.1" customHeight="1">
      <c r="A35" s="357" t="s">
        <v>253</v>
      </c>
      <c r="B35" s="358">
        <v>53676634</v>
      </c>
      <c r="C35" s="359">
        <f>B35/'- 3 -'!$D35*100</f>
        <v>31.490449986738334</v>
      </c>
      <c r="D35" s="358">
        <f>B35/'- 6 -'!$B35</f>
        <v>6022.6237307152878</v>
      </c>
      <c r="E35" s="358">
        <v>0</v>
      </c>
      <c r="F35" s="359">
        <f>E35/'- 3 -'!$D35*100</f>
        <v>0</v>
      </c>
      <c r="G35" s="358" t="str">
        <f>IF('- 6 -'!$C35=0,"",E35/'- 6 -'!$C35)</f>
        <v/>
      </c>
      <c r="H35" s="358">
        <v>5529891</v>
      </c>
      <c r="I35" s="359">
        <f>H35/'- 3 -'!$D35*100</f>
        <v>3.2442190016537626</v>
      </c>
      <c r="J35" s="358">
        <f>IF('- 6 -'!$D35=0,"",H35/'- 6 -'!$D35)</f>
        <v>4911.0932504440498</v>
      </c>
    </row>
    <row r="36" spans="1:10" ht="14.1" customHeight="1">
      <c r="A36" s="23" t="s">
        <v>254</v>
      </c>
      <c r="B36" s="24">
        <v>11017410</v>
      </c>
      <c r="C36" s="350">
        <f>B36/'- 3 -'!$D36*100</f>
        <v>49.805038860001154</v>
      </c>
      <c r="D36" s="24">
        <f>B36/'- 6 -'!$B36</f>
        <v>6722.4418817499536</v>
      </c>
      <c r="E36" s="24">
        <v>0</v>
      </c>
      <c r="F36" s="350">
        <f>E36/'- 3 -'!$D36*100</f>
        <v>0</v>
      </c>
      <c r="G36" s="24" t="str">
        <f>IF('- 6 -'!$C36=0,"",E36/'- 6 -'!$C36)</f>
        <v/>
      </c>
      <c r="H36" s="24">
        <v>0</v>
      </c>
      <c r="I36" s="350">
        <f>H36/'- 3 -'!$D36*100</f>
        <v>0</v>
      </c>
      <c r="J36" s="24" t="str">
        <f>IF('- 6 -'!$D36=0,"",H36/'- 6 -'!$D36)</f>
        <v/>
      </c>
    </row>
    <row r="37" spans="1:10" ht="14.1" customHeight="1">
      <c r="A37" s="357" t="s">
        <v>255</v>
      </c>
      <c r="B37" s="358">
        <v>11142675</v>
      </c>
      <c r="C37" s="359">
        <f>B37/'- 3 -'!$D37*100</f>
        <v>24.926318356152738</v>
      </c>
      <c r="D37" s="358">
        <f>B37/'- 6 -'!$B37</f>
        <v>5513.4463137060857</v>
      </c>
      <c r="E37" s="358">
        <v>0</v>
      </c>
      <c r="F37" s="359">
        <f>E37/'- 3 -'!$D37*100</f>
        <v>0</v>
      </c>
      <c r="G37" s="358" t="str">
        <f>IF('- 6 -'!$C37=0,"",E37/'- 6 -'!$C37)</f>
        <v/>
      </c>
      <c r="H37" s="358">
        <v>3831034</v>
      </c>
      <c r="I37" s="359">
        <f>H37/'- 3 -'!$D37*100</f>
        <v>8.5700761367665539</v>
      </c>
      <c r="J37" s="358">
        <f>IF('- 6 -'!$D37=0,"",H37/'- 6 -'!$D37)</f>
        <v>5584.5976676384844</v>
      </c>
    </row>
    <row r="38" spans="1:10" ht="14.1" customHeight="1">
      <c r="A38" s="23" t="s">
        <v>256</v>
      </c>
      <c r="B38" s="24">
        <v>36187026</v>
      </c>
      <c r="C38" s="350">
        <f>B38/'- 3 -'!$D38*100</f>
        <v>29.59704914679433</v>
      </c>
      <c r="D38" s="24">
        <f>B38/'- 6 -'!$B38</f>
        <v>6256.9423359557359</v>
      </c>
      <c r="E38" s="24">
        <v>0</v>
      </c>
      <c r="F38" s="350">
        <f>E38/'- 3 -'!$D38*100</f>
        <v>0</v>
      </c>
      <c r="G38" s="24" t="str">
        <f>IF('- 6 -'!$C38=0,"",E38/'- 6 -'!$C38)</f>
        <v/>
      </c>
      <c r="H38" s="24">
        <v>1628837</v>
      </c>
      <c r="I38" s="350">
        <f>H38/'- 3 -'!$D38*100</f>
        <v>1.3322114047481282</v>
      </c>
      <c r="J38" s="24">
        <f>IF('- 6 -'!$D38=0,"",H38/'- 6 -'!$D38)</f>
        <v>5402.4444444444443</v>
      </c>
    </row>
    <row r="39" spans="1:10" ht="14.1" customHeight="1">
      <c r="A39" s="357" t="s">
        <v>257</v>
      </c>
      <c r="B39" s="358">
        <v>9979314</v>
      </c>
      <c r="C39" s="359">
        <f>B39/'- 3 -'!$D39*100</f>
        <v>47.84389468019863</v>
      </c>
      <c r="D39" s="358">
        <f>B39/'- 6 -'!$B39</f>
        <v>6520.2966350865727</v>
      </c>
      <c r="E39" s="358">
        <v>0</v>
      </c>
      <c r="F39" s="359">
        <f>E39/'- 3 -'!$D39*100</f>
        <v>0</v>
      </c>
      <c r="G39" s="358" t="str">
        <f>IF('- 6 -'!$C39=0,"",E39/'- 6 -'!$C39)</f>
        <v/>
      </c>
      <c r="H39" s="358">
        <v>0</v>
      </c>
      <c r="I39" s="359">
        <f>H39/'- 3 -'!$D39*100</f>
        <v>0</v>
      </c>
      <c r="J39" s="358" t="str">
        <f>IF('- 6 -'!$D39=0,"",H39/'- 6 -'!$D39)</f>
        <v/>
      </c>
    </row>
    <row r="40" spans="1:10" ht="14.1" customHeight="1">
      <c r="A40" s="23" t="s">
        <v>258</v>
      </c>
      <c r="B40" s="24">
        <v>33641408</v>
      </c>
      <c r="C40" s="350">
        <f>B40/'- 3 -'!$D40*100</f>
        <v>33.89000713060635</v>
      </c>
      <c r="D40" s="24">
        <f>B40/'- 6 -'!$B40</f>
        <v>6302.7218225419656</v>
      </c>
      <c r="E40" s="24">
        <v>0</v>
      </c>
      <c r="F40" s="350">
        <f>E40/'- 3 -'!$D40*100</f>
        <v>0</v>
      </c>
      <c r="G40" s="24" t="str">
        <f>IF('- 6 -'!$C40=0,"",E40/'- 6 -'!$C40)</f>
        <v/>
      </c>
      <c r="H40" s="24">
        <v>4041232</v>
      </c>
      <c r="I40" s="350">
        <f>H40/'- 3 -'!$D40*100</f>
        <v>4.0710953981603435</v>
      </c>
      <c r="J40" s="24">
        <f>IF('- 6 -'!$D40=0,"",H40/'- 6 -'!$D40)</f>
        <v>4796.7145400593472</v>
      </c>
    </row>
    <row r="41" spans="1:10" ht="14.1" customHeight="1">
      <c r="A41" s="357" t="s">
        <v>259</v>
      </c>
      <c r="B41" s="358">
        <v>14018079</v>
      </c>
      <c r="C41" s="359">
        <f>B41/'- 3 -'!$D41*100</f>
        <v>23.605955605224295</v>
      </c>
      <c r="D41" s="358">
        <f>B41/'- 6 -'!$B41</f>
        <v>7884.183914510686</v>
      </c>
      <c r="E41" s="358">
        <v>0</v>
      </c>
      <c r="F41" s="359">
        <f>E41/'- 3 -'!$D41*100</f>
        <v>0</v>
      </c>
      <c r="G41" s="358" t="str">
        <f>IF('- 6 -'!$C41=0,"",E41/'- 6 -'!$C41)</f>
        <v/>
      </c>
      <c r="H41" s="358">
        <v>0</v>
      </c>
      <c r="I41" s="359">
        <f>H41/'- 3 -'!$D41*100</f>
        <v>0</v>
      </c>
      <c r="J41" s="358" t="str">
        <f>IF('- 6 -'!$D41=0,"",H41/'- 6 -'!$D41)</f>
        <v/>
      </c>
    </row>
    <row r="42" spans="1:10" ht="14.1" customHeight="1">
      <c r="A42" s="23" t="s">
        <v>260</v>
      </c>
      <c r="B42" s="24">
        <v>6903469</v>
      </c>
      <c r="C42" s="350">
        <f>B42/'- 3 -'!$D42*100</f>
        <v>33.903481778227061</v>
      </c>
      <c r="D42" s="24">
        <f>B42/'- 6 -'!$B42</f>
        <v>6876.650064747485</v>
      </c>
      <c r="E42" s="24">
        <v>0</v>
      </c>
      <c r="F42" s="350">
        <f>E42/'- 3 -'!$D42*100</f>
        <v>0</v>
      </c>
      <c r="G42" s="24" t="str">
        <f>IF('- 6 -'!$C42=0,"",E42/'- 6 -'!$C42)</f>
        <v/>
      </c>
      <c r="H42" s="24">
        <v>0</v>
      </c>
      <c r="I42" s="350">
        <f>H42/'- 3 -'!$D42*100</f>
        <v>0</v>
      </c>
      <c r="J42" s="24" t="str">
        <f>IF('- 6 -'!$D42=0,"",H42/'- 6 -'!$D42)</f>
        <v/>
      </c>
    </row>
    <row r="43" spans="1:10" ht="14.1" customHeight="1">
      <c r="A43" s="357" t="s">
        <v>261</v>
      </c>
      <c r="B43" s="358">
        <v>5832395</v>
      </c>
      <c r="C43" s="359">
        <f>B43/'- 3 -'!$D43*100</f>
        <v>46.86971751898227</v>
      </c>
      <c r="D43" s="358">
        <f>B43/'- 6 -'!$B43</f>
        <v>6237.8556149732622</v>
      </c>
      <c r="E43" s="358">
        <v>0</v>
      </c>
      <c r="F43" s="359">
        <f>E43/'- 3 -'!$D43*100</f>
        <v>0</v>
      </c>
      <c r="G43" s="358" t="str">
        <f>IF('- 6 -'!$C43=0,"",E43/'- 6 -'!$C43)</f>
        <v/>
      </c>
      <c r="H43" s="358">
        <v>0</v>
      </c>
      <c r="I43" s="359">
        <f>H43/'- 3 -'!$D43*100</f>
        <v>0</v>
      </c>
      <c r="J43" s="358" t="str">
        <f>IF('- 6 -'!$D43=0,"",H43/'- 6 -'!$D43)</f>
        <v/>
      </c>
    </row>
    <row r="44" spans="1:10" ht="14.1" customHeight="1">
      <c r="A44" s="23" t="s">
        <v>262</v>
      </c>
      <c r="B44" s="24">
        <v>4904631</v>
      </c>
      <c r="C44" s="350">
        <f>B44/'- 3 -'!$D44*100</f>
        <v>45.562919973323481</v>
      </c>
      <c r="D44" s="24">
        <f>B44/'- 6 -'!$B44</f>
        <v>7442.5356600910472</v>
      </c>
      <c r="E44" s="24">
        <v>383381</v>
      </c>
      <c r="F44" s="350">
        <f>E44/'- 3 -'!$D44*100</f>
        <v>3.5615233485032269</v>
      </c>
      <c r="G44" s="24">
        <f>IF('- 6 -'!$C44=0,"",E44/'- 6 -'!$C44)</f>
        <v>8915.8372093023263</v>
      </c>
      <c r="H44" s="24">
        <v>0</v>
      </c>
      <c r="I44" s="350">
        <f>H44/'- 3 -'!$D44*100</f>
        <v>0</v>
      </c>
      <c r="J44" s="24" t="str">
        <f>IF('- 6 -'!$D44=0,"",H44/'- 6 -'!$D44)</f>
        <v/>
      </c>
    </row>
    <row r="45" spans="1:10" ht="14.1" customHeight="1">
      <c r="A45" s="357" t="s">
        <v>263</v>
      </c>
      <c r="B45" s="358">
        <v>4313260</v>
      </c>
      <c r="C45" s="359">
        <f>B45/'- 3 -'!$D45*100</f>
        <v>24.56645637498421</v>
      </c>
      <c r="D45" s="358">
        <f>B45/'- 6 -'!$B45</f>
        <v>5774.1097724230258</v>
      </c>
      <c r="E45" s="358">
        <v>0</v>
      </c>
      <c r="F45" s="359">
        <f>E45/'- 3 -'!$D45*100</f>
        <v>0</v>
      </c>
      <c r="G45" s="358" t="str">
        <f>IF('- 6 -'!$C45=0,"",E45/'- 6 -'!$C45)</f>
        <v/>
      </c>
      <c r="H45" s="358">
        <v>0</v>
      </c>
      <c r="I45" s="359">
        <f>H45/'- 3 -'!$D45*100</f>
        <v>0</v>
      </c>
      <c r="J45" s="358" t="str">
        <f>IF('- 6 -'!$D45=0,"",H45/'- 6 -'!$D45)</f>
        <v/>
      </c>
    </row>
    <row r="46" spans="1:10" ht="14.1" customHeight="1">
      <c r="A46" s="23" t="s">
        <v>264</v>
      </c>
      <c r="B46" s="24">
        <v>127877100</v>
      </c>
      <c r="C46" s="350">
        <f>B46/'- 3 -'!$D46*100</f>
        <v>34.58812341110248</v>
      </c>
      <c r="D46" s="24">
        <f>B46/'- 6 -'!$B46</f>
        <v>5768.3626013252915</v>
      </c>
      <c r="E46" s="24">
        <v>0</v>
      </c>
      <c r="F46" s="350">
        <f>E46/'- 3 -'!$D46*100</f>
        <v>0</v>
      </c>
      <c r="G46" s="24" t="str">
        <f>IF('- 6 -'!$C46=0,"",E46/'- 6 -'!$C46)</f>
        <v/>
      </c>
      <c r="H46" s="24">
        <v>6826100</v>
      </c>
      <c r="I46" s="350">
        <f>H46/'- 3 -'!$D46*100</f>
        <v>1.8463195460057087</v>
      </c>
      <c r="J46" s="24">
        <f>IF('- 6 -'!$D46=0,"",H46/'- 6 -'!$D46)</f>
        <v>5743.4581405132521</v>
      </c>
    </row>
    <row r="47" spans="1:10" ht="5.0999999999999996" customHeight="1">
      <c r="A47"/>
      <c r="B47"/>
      <c r="C47"/>
      <c r="D47"/>
      <c r="E47"/>
      <c r="F47"/>
      <c r="G47"/>
      <c r="H47"/>
      <c r="I47"/>
      <c r="J47"/>
    </row>
    <row r="48" spans="1:10" ht="14.1" customHeight="1">
      <c r="A48" s="360" t="s">
        <v>265</v>
      </c>
      <c r="B48" s="361">
        <f>SUM(B11:B46)</f>
        <v>743923445</v>
      </c>
      <c r="C48" s="362">
        <f>B48/'- 3 -'!$D48*100</f>
        <v>34.670388670445035</v>
      </c>
      <c r="D48" s="361">
        <f>B48/'- 6 -'!$B48</f>
        <v>6116.2262174351436</v>
      </c>
      <c r="E48" s="361">
        <f>SUM(E11:E46)</f>
        <v>39194438</v>
      </c>
      <c r="F48" s="362">
        <f>E48/'- 3 -'!$D48*100</f>
        <v>1.8266481696643668</v>
      </c>
      <c r="G48" s="361">
        <f>E48/'- 6 -'!$C48</f>
        <v>7315.1246733855914</v>
      </c>
      <c r="H48" s="361">
        <f>SUM(H11:H46)</f>
        <v>57225120</v>
      </c>
      <c r="I48" s="362">
        <f>H48/'- 3 -'!$D48*100</f>
        <v>2.6669641418719605</v>
      </c>
      <c r="J48" s="361">
        <f>H48/'- 6 -'!$D48</f>
        <v>5261.1124390916611</v>
      </c>
    </row>
    <row r="49" spans="1:10" ht="5.0999999999999996" customHeight="1">
      <c r="A49" s="25" t="s">
        <v>3</v>
      </c>
      <c r="B49" s="26"/>
      <c r="C49" s="349"/>
      <c r="D49" s="26"/>
      <c r="E49" s="26"/>
      <c r="F49" s="349"/>
      <c r="H49" s="26"/>
      <c r="I49" s="349"/>
      <c r="J49" s="26"/>
    </row>
    <row r="50" spans="1:10" ht="14.1" customHeight="1">
      <c r="A50" s="23" t="s">
        <v>266</v>
      </c>
      <c r="B50" s="24">
        <v>1693501</v>
      </c>
      <c r="C50" s="350">
        <f>B50/'- 3 -'!$D50*100</f>
        <v>50.349847241002443</v>
      </c>
      <c r="D50" s="24">
        <f>B50/'- 6 -'!$B50</f>
        <v>9677.1485714285718</v>
      </c>
      <c r="E50" s="24">
        <v>0</v>
      </c>
      <c r="F50" s="350">
        <f>E50/'- 3 -'!$D50*100</f>
        <v>0</v>
      </c>
      <c r="G50" s="24" t="str">
        <f>IF('- 6 -'!$C50=0,"",E50/'- 6 -'!$C50)</f>
        <v/>
      </c>
      <c r="H50" s="24">
        <v>0</v>
      </c>
      <c r="I50" s="350">
        <f>H50/'- 3 -'!$D50*100</f>
        <v>0</v>
      </c>
      <c r="J50" s="24" t="str">
        <f>IF('- 6 -'!$D50=0,"",H50/'- 6 -'!$D50)</f>
        <v/>
      </c>
    </row>
    <row r="51" spans="1:10" ht="14.1" customHeight="1">
      <c r="A51" s="511" t="s">
        <v>691</v>
      </c>
      <c r="B51" s="358">
        <v>211681</v>
      </c>
      <c r="C51" s="359">
        <f>B51/'- 3 -'!$D51*100</f>
        <v>0.94029033547968577</v>
      </c>
      <c r="D51" s="358">
        <f>B51/'- 6 -'!$B51</f>
        <v>3780.0178571428573</v>
      </c>
      <c r="E51" s="358">
        <v>0</v>
      </c>
      <c r="F51" s="359">
        <f>E51/'- 3 -'!$D51*100</f>
        <v>0</v>
      </c>
      <c r="G51" s="358" t="str">
        <f>IF('- 6 -'!$C51=0,"",E51/'- 6 -'!$C51)</f>
        <v/>
      </c>
      <c r="H51" s="358">
        <v>0</v>
      </c>
      <c r="I51" s="359">
        <f>H51/'- 3 -'!$D51*100</f>
        <v>0</v>
      </c>
      <c r="J51" s="358" t="str">
        <f>IF('- 6 -'!$D51=0,"",H51/'- 6 -'!$D51)</f>
        <v/>
      </c>
    </row>
    <row r="52" spans="1:10" ht="50.1" customHeight="1">
      <c r="A52" s="27"/>
      <c r="B52" s="27"/>
      <c r="C52" s="27"/>
      <c r="D52" s="27"/>
      <c r="E52" s="27"/>
      <c r="F52" s="27"/>
      <c r="G52" s="27"/>
      <c r="H52" s="71"/>
      <c r="I52" s="71"/>
      <c r="J52" s="71"/>
    </row>
    <row r="53" spans="1:10" ht="15" customHeight="1">
      <c r="A53" s="66" t="s">
        <v>595</v>
      </c>
      <c r="B53" s="66"/>
      <c r="C53" s="66"/>
      <c r="D53" s="66"/>
      <c r="E53" s="66"/>
      <c r="F53" s="66"/>
      <c r="G53" s="66"/>
      <c r="I53" s="66"/>
      <c r="J53" s="66"/>
    </row>
    <row r="54" spans="1:10" ht="14.45" customHeight="1"/>
    <row r="55" spans="1:10" ht="14.45" customHeight="1">
      <c r="A55" s="28"/>
    </row>
    <row r="56" spans="1:10" ht="14.45" customHeight="1"/>
    <row r="57" spans="1:10" ht="14.45" customHeight="1"/>
    <row r="58" spans="1:10" ht="14.45" customHeight="1"/>
    <row r="59" spans="1:10" ht="14.45" customHeight="1"/>
  </sheetData>
  <phoneticPr fontId="0" type="noConversion"/>
  <printOptions horizontalCentered="1"/>
  <pageMargins left="0.5" right="0.5" top="0.6" bottom="0" header="0.3" footer="0"/>
  <pageSetup scale="90" orientation="portrait" r:id="rId1"/>
  <headerFooter alignWithMargins="0">
    <oddHeader>&amp;C&amp;"Arial,Bold"&amp;10&amp;A</oddHeader>
  </headerFooter>
</worksheet>
</file>

<file path=xl/worksheets/sheet16.xml><?xml version="1.0" encoding="utf-8"?>
<worksheet xmlns="http://schemas.openxmlformats.org/spreadsheetml/2006/main" xmlns:r="http://schemas.openxmlformats.org/officeDocument/2006/relationships">
  <sheetPr codeName="Sheet15">
    <pageSetUpPr fitToPage="1"/>
  </sheetPr>
  <dimension ref="A1:I59"/>
  <sheetViews>
    <sheetView showGridLines="0" showZeros="0" workbookViewId="0"/>
  </sheetViews>
  <sheetFormatPr defaultColWidth="15.83203125" defaultRowHeight="12"/>
  <cols>
    <col min="1" max="1" width="31.83203125" style="1" customWidth="1"/>
    <col min="2" max="2" width="14.33203125" style="1" customWidth="1"/>
    <col min="3" max="3" width="7.83203125" style="1" customWidth="1"/>
    <col min="4" max="4" width="9.83203125" style="1" customWidth="1"/>
    <col min="5" max="5" width="10.83203125" style="1" customWidth="1"/>
    <col min="6" max="6" width="10.1640625" style="1" customWidth="1"/>
    <col min="7" max="7" width="11.83203125" style="1" customWidth="1"/>
    <col min="8" max="8" width="14.83203125" style="1" customWidth="1"/>
    <col min="9" max="9" width="11" style="1" customWidth="1"/>
    <col min="10" max="16384" width="15.83203125" style="1"/>
  </cols>
  <sheetData>
    <row r="1" spans="1:9" ht="6.95" customHeight="1">
      <c r="A1" s="3"/>
      <c r="B1" s="40"/>
      <c r="C1" s="40"/>
      <c r="D1" s="40"/>
      <c r="E1" s="40"/>
      <c r="F1" s="40"/>
      <c r="G1" s="40"/>
      <c r="H1" s="40"/>
      <c r="I1" s="40"/>
    </row>
    <row r="2" spans="1:9" ht="15.95" customHeight="1">
      <c r="A2" s="159"/>
      <c r="B2" s="5" t="s">
        <v>474</v>
      </c>
      <c r="C2" s="43"/>
      <c r="D2" s="43"/>
      <c r="E2" s="43"/>
      <c r="F2" s="43"/>
      <c r="G2" s="43"/>
      <c r="H2" s="210"/>
      <c r="I2" s="182" t="s">
        <v>436</v>
      </c>
    </row>
    <row r="3" spans="1:9" ht="15.95" customHeight="1">
      <c r="A3" s="162"/>
      <c r="B3" s="107" t="str">
        <f>OPYEAR</f>
        <v>OPERATING FUND 2014/2015 BUDGET</v>
      </c>
      <c r="C3" s="47"/>
      <c r="D3" s="47"/>
      <c r="E3" s="47"/>
      <c r="F3" s="47"/>
      <c r="G3" s="47"/>
      <c r="H3" s="211"/>
      <c r="I3" s="212"/>
    </row>
    <row r="4" spans="1:9" ht="15.95" customHeight="1">
      <c r="B4" s="40"/>
      <c r="C4" s="40"/>
      <c r="D4" s="40"/>
      <c r="E4" s="40"/>
      <c r="F4" s="40"/>
      <c r="G4" s="40"/>
      <c r="H4" s="40"/>
      <c r="I4" s="40"/>
    </row>
    <row r="5" spans="1:9" ht="15.95" customHeight="1">
      <c r="B5" s="213" t="s">
        <v>398</v>
      </c>
      <c r="C5" s="214"/>
      <c r="D5" s="214"/>
      <c r="E5" s="214"/>
      <c r="F5" s="214"/>
      <c r="G5" s="214"/>
      <c r="H5" s="214"/>
      <c r="I5" s="215"/>
    </row>
    <row r="6" spans="1:9" ht="15.95" customHeight="1">
      <c r="B6" s="401" t="s">
        <v>399</v>
      </c>
      <c r="C6" s="402"/>
      <c r="D6" s="402"/>
      <c r="E6" s="402"/>
      <c r="F6" s="402"/>
      <c r="G6" s="402"/>
      <c r="H6" s="402"/>
      <c r="I6" s="403"/>
    </row>
    <row r="7" spans="1:9" ht="15.95" customHeight="1">
      <c r="B7" s="203"/>
      <c r="C7" s="216"/>
      <c r="D7" s="216"/>
      <c r="E7" s="217" t="s">
        <v>165</v>
      </c>
      <c r="F7" s="218" t="s">
        <v>166</v>
      </c>
      <c r="G7" s="218"/>
      <c r="H7" s="218"/>
      <c r="I7" s="219"/>
    </row>
    <row r="8" spans="1:9" ht="15.95" customHeight="1">
      <c r="A8" s="102"/>
      <c r="B8" s="220"/>
      <c r="C8" s="220"/>
      <c r="D8" s="202" t="s">
        <v>60</v>
      </c>
      <c r="E8" s="221" t="s">
        <v>167</v>
      </c>
      <c r="F8" s="220"/>
      <c r="G8" s="222"/>
      <c r="H8" s="223" t="s">
        <v>70</v>
      </c>
      <c r="I8" s="220"/>
    </row>
    <row r="9" spans="1:9" ht="15.95" customHeight="1">
      <c r="A9" s="35" t="s">
        <v>81</v>
      </c>
      <c r="B9" s="54" t="s">
        <v>82</v>
      </c>
      <c r="C9" s="54" t="s">
        <v>83</v>
      </c>
      <c r="D9" s="54" t="s">
        <v>84</v>
      </c>
      <c r="E9" s="224" t="s">
        <v>88</v>
      </c>
      <c r="F9" s="54" t="s">
        <v>69</v>
      </c>
      <c r="G9" s="225" t="s">
        <v>32</v>
      </c>
      <c r="H9" s="54" t="s">
        <v>86</v>
      </c>
      <c r="I9" s="54" t="s">
        <v>44</v>
      </c>
    </row>
    <row r="10" spans="1:9" ht="5.0999999999999996" customHeight="1">
      <c r="A10" s="37"/>
      <c r="B10" s="66"/>
      <c r="C10" s="66"/>
      <c r="D10" s="66"/>
      <c r="E10" s="66"/>
      <c r="F10" s="66"/>
      <c r="G10" s="66"/>
      <c r="H10" s="66"/>
      <c r="I10" s="66"/>
    </row>
    <row r="11" spans="1:9" ht="14.1" customHeight="1">
      <c r="A11" s="357" t="s">
        <v>230</v>
      </c>
      <c r="B11" s="358">
        <v>0</v>
      </c>
      <c r="C11" s="359">
        <f>B11/'- 3 -'!$D11*100</f>
        <v>0</v>
      </c>
      <c r="D11" s="408" t="str">
        <f>IF(E11=0,"",B11/E11)</f>
        <v/>
      </c>
      <c r="E11" s="409">
        <f>SUM('- 6 -'!$E11:H11)</f>
        <v>0</v>
      </c>
      <c r="F11" s="359" t="str">
        <f>IF(E11=0,"",'- 6 -'!$E11/E11*100)</f>
        <v/>
      </c>
      <c r="G11" s="359" t="str">
        <f>IF(E11=0,"",'- 6 -'!$F11/E11*100)</f>
        <v/>
      </c>
      <c r="H11" s="359" t="str">
        <f>IF(E11=0,"",'- 6 -'!$G11/E11*100)</f>
        <v/>
      </c>
      <c r="I11" s="359" t="str">
        <f>IF(E11=0,"",'- 6 -'!$H11/E11*100)</f>
        <v/>
      </c>
    </row>
    <row r="12" spans="1:9" ht="14.1" customHeight="1">
      <c r="A12" s="23" t="s">
        <v>231</v>
      </c>
      <c r="B12" s="24">
        <v>0</v>
      </c>
      <c r="C12" s="350">
        <f>B12/'- 3 -'!$D12*100</f>
        <v>0</v>
      </c>
      <c r="D12" s="226" t="str">
        <f t="shared" ref="D12:D46" si="0">IF(E12=0,"",B12/E12)</f>
        <v/>
      </c>
      <c r="E12" s="227">
        <f>SUM('- 6 -'!$E12:H12)</f>
        <v>0</v>
      </c>
      <c r="F12" s="350" t="str">
        <f>IF(E12=0,"",'- 6 -'!$E12/E12*100)</f>
        <v/>
      </c>
      <c r="G12" s="350" t="str">
        <f>IF(E12=0,"",'- 6 -'!$F12/E12*100)</f>
        <v/>
      </c>
      <c r="H12" s="350" t="str">
        <f>IF(E12=0,"",'- 6 -'!$G12/E12*100)</f>
        <v/>
      </c>
      <c r="I12" s="350" t="str">
        <f>IF(E12=0,"",'- 6 -'!$H12/E12*100)</f>
        <v/>
      </c>
    </row>
    <row r="13" spans="1:9" ht="14.1" customHeight="1">
      <c r="A13" s="357" t="s">
        <v>232</v>
      </c>
      <c r="B13" s="358">
        <v>6900500</v>
      </c>
      <c r="C13" s="359">
        <f>B13/'- 3 -'!$D13*100</f>
        <v>7.7308817384036779</v>
      </c>
      <c r="D13" s="408">
        <f t="shared" si="0"/>
        <v>4734.4768439108066</v>
      </c>
      <c r="E13" s="409">
        <f>SUM('- 6 -'!$E13:H13)</f>
        <v>1457.5</v>
      </c>
      <c r="F13" s="359">
        <f>IF(E13=0,"",'- 6 -'!$E13/E13*100)</f>
        <v>74.78559176672384</v>
      </c>
      <c r="G13" s="359">
        <f>IF(E13=0,"",'- 6 -'!$F13/E13*100)</f>
        <v>0</v>
      </c>
      <c r="H13" s="359">
        <f>IF(E13=0,"",'- 6 -'!$G13/E13*100)</f>
        <v>25.21440823327616</v>
      </c>
      <c r="I13" s="359">
        <f>IF(E13=0,"",'- 6 -'!$H13/E13*100)</f>
        <v>0</v>
      </c>
    </row>
    <row r="14" spans="1:9" ht="14.1" customHeight="1">
      <c r="A14" s="23" t="s">
        <v>566</v>
      </c>
      <c r="B14" s="24">
        <v>0</v>
      </c>
      <c r="C14" s="350">
        <f>B14/'- 3 -'!$D14*100</f>
        <v>0</v>
      </c>
      <c r="D14" s="226" t="str">
        <f t="shared" si="0"/>
        <v/>
      </c>
      <c r="E14" s="227">
        <f>SUM('- 6 -'!$E14:H14)</f>
        <v>0</v>
      </c>
      <c r="F14" s="350" t="str">
        <f>IF(E14=0,"",'- 6 -'!$E14/E14*100)</f>
        <v/>
      </c>
      <c r="G14" s="350" t="str">
        <f>IF(E14=0,"",'- 6 -'!$F14/E14*100)</f>
        <v/>
      </c>
      <c r="H14" s="350" t="str">
        <f>IF(E14=0,"",'- 6 -'!$G14/E14*100)</f>
        <v/>
      </c>
      <c r="I14" s="350" t="str">
        <f>IF(E14=0,"",'- 6 -'!$H14/E14*100)</f>
        <v/>
      </c>
    </row>
    <row r="15" spans="1:9" ht="14.1" customHeight="1">
      <c r="A15" s="357" t="s">
        <v>233</v>
      </c>
      <c r="B15" s="358">
        <v>0</v>
      </c>
      <c r="C15" s="359">
        <f>B15/'- 3 -'!$D15*100</f>
        <v>0</v>
      </c>
      <c r="D15" s="408" t="str">
        <f t="shared" si="0"/>
        <v/>
      </c>
      <c r="E15" s="409">
        <f>SUM('- 6 -'!$E15:H15)</f>
        <v>0</v>
      </c>
      <c r="F15" s="359" t="str">
        <f>IF(E15=0,"",'- 6 -'!$E15/E15*100)</f>
        <v/>
      </c>
      <c r="G15" s="359" t="str">
        <f>IF(E15=0,"",'- 6 -'!$F15/E15*100)</f>
        <v/>
      </c>
      <c r="H15" s="359" t="str">
        <f>IF(E15=0,"",'- 6 -'!$G15/E15*100)</f>
        <v/>
      </c>
      <c r="I15" s="359" t="str">
        <f>IF(E15=0,"",'- 6 -'!$H15/E15*100)</f>
        <v/>
      </c>
    </row>
    <row r="16" spans="1:9" ht="14.1" customHeight="1">
      <c r="A16" s="23" t="s">
        <v>234</v>
      </c>
      <c r="B16" s="24">
        <v>2155097</v>
      </c>
      <c r="C16" s="350">
        <f>B16/'- 3 -'!$D16*100</f>
        <v>15.985488055409514</v>
      </c>
      <c r="D16" s="226">
        <f t="shared" si="0"/>
        <v>5597.6545454545458</v>
      </c>
      <c r="E16" s="227">
        <f>SUM('- 6 -'!$E16:H16)</f>
        <v>385</v>
      </c>
      <c r="F16" s="350">
        <f>IF(E16=0,"",'- 6 -'!$E16/E16*100)</f>
        <v>75.974025974025977</v>
      </c>
      <c r="G16" s="350">
        <f>IF(E16=0,"",'- 6 -'!$F16/E16*100)</f>
        <v>0</v>
      </c>
      <c r="H16" s="350">
        <f>IF(E16=0,"",'- 6 -'!$G16/E16*100)</f>
        <v>24.025974025974026</v>
      </c>
      <c r="I16" s="350">
        <f>IF(E16=0,"",'- 6 -'!$H16/E16*100)</f>
        <v>0</v>
      </c>
    </row>
    <row r="17" spans="1:9" ht="14.1" customHeight="1">
      <c r="A17" s="357" t="s">
        <v>235</v>
      </c>
      <c r="B17" s="358">
        <v>0</v>
      </c>
      <c r="C17" s="359">
        <f>B17/'- 3 -'!$D17*100</f>
        <v>0</v>
      </c>
      <c r="D17" s="408" t="str">
        <f t="shared" si="0"/>
        <v/>
      </c>
      <c r="E17" s="409">
        <f>SUM('- 6 -'!$E17:H17)</f>
        <v>0</v>
      </c>
      <c r="F17" s="359" t="str">
        <f>IF(E17=0,"",'- 6 -'!$E17/E17*100)</f>
        <v/>
      </c>
      <c r="G17" s="359" t="str">
        <f>IF(E17=0,"",'- 6 -'!$F17/E17*100)</f>
        <v/>
      </c>
      <c r="H17" s="359" t="str">
        <f>IF(E17=0,"",'- 6 -'!$G17/E17*100)</f>
        <v/>
      </c>
      <c r="I17" s="359" t="str">
        <f>IF(E17=0,"",'- 6 -'!$H17/E17*100)</f>
        <v/>
      </c>
    </row>
    <row r="18" spans="1:9" ht="14.1" customHeight="1">
      <c r="A18" s="23" t="s">
        <v>236</v>
      </c>
      <c r="B18" s="24">
        <v>0</v>
      </c>
      <c r="C18" s="350">
        <f>B18/'- 3 -'!$D18*100</f>
        <v>0</v>
      </c>
      <c r="D18" s="226" t="str">
        <f t="shared" si="0"/>
        <v/>
      </c>
      <c r="E18" s="227">
        <f>SUM('- 6 -'!$E18:H18)</f>
        <v>0</v>
      </c>
      <c r="F18" s="350" t="str">
        <f>IF(E18=0,"",'- 6 -'!$E18/E18*100)</f>
        <v/>
      </c>
      <c r="G18" s="350" t="str">
        <f>IF(E18=0,"",'- 6 -'!$F18/E18*100)</f>
        <v/>
      </c>
      <c r="H18" s="350" t="str">
        <f>IF(E18=0,"",'- 6 -'!$G18/E18*100)</f>
        <v/>
      </c>
      <c r="I18" s="350" t="str">
        <f>IF(E18=0,"",'- 6 -'!$H18/E18*100)</f>
        <v/>
      </c>
    </row>
    <row r="19" spans="1:9" ht="14.1" customHeight="1">
      <c r="A19" s="357" t="s">
        <v>237</v>
      </c>
      <c r="B19" s="358">
        <v>0</v>
      </c>
      <c r="C19" s="359">
        <f>B19/'- 3 -'!$D19*100</f>
        <v>0</v>
      </c>
      <c r="D19" s="408" t="str">
        <f t="shared" si="0"/>
        <v/>
      </c>
      <c r="E19" s="409">
        <f>SUM('- 6 -'!$E19:H19)</f>
        <v>0</v>
      </c>
      <c r="F19" s="359" t="str">
        <f>IF(E19=0,"",'- 6 -'!$E19/E19*100)</f>
        <v/>
      </c>
      <c r="G19" s="359" t="str">
        <f>IF(E19=0,"",'- 6 -'!$F19/E19*100)</f>
        <v/>
      </c>
      <c r="H19" s="359" t="str">
        <f>IF(E19=0,"",'- 6 -'!$G19/E19*100)</f>
        <v/>
      </c>
      <c r="I19" s="359" t="str">
        <f>IF(E19=0,"",'- 6 -'!$H19/E19*100)</f>
        <v/>
      </c>
    </row>
    <row r="20" spans="1:9" ht="14.1" customHeight="1">
      <c r="A20" s="23" t="s">
        <v>238</v>
      </c>
      <c r="B20" s="24">
        <v>0</v>
      </c>
      <c r="C20" s="350">
        <f>B20/'- 3 -'!$D20*100</f>
        <v>0</v>
      </c>
      <c r="D20" s="226" t="str">
        <f t="shared" si="0"/>
        <v/>
      </c>
      <c r="E20" s="227">
        <f>SUM('- 6 -'!$E20:H20)</f>
        <v>0</v>
      </c>
      <c r="F20" s="350" t="str">
        <f>IF(E20=0,"",'- 6 -'!$E20/E20*100)</f>
        <v/>
      </c>
      <c r="G20" s="350" t="str">
        <f>IF(E20=0,"",'- 6 -'!$F20/E20*100)</f>
        <v/>
      </c>
      <c r="H20" s="350" t="str">
        <f>IF(E20=0,"",'- 6 -'!$G20/E20*100)</f>
        <v/>
      </c>
      <c r="I20" s="350" t="str">
        <f>IF(E20=0,"",'- 6 -'!$H20/E20*100)</f>
        <v/>
      </c>
    </row>
    <row r="21" spans="1:9" ht="14.1" customHeight="1">
      <c r="A21" s="357" t="s">
        <v>239</v>
      </c>
      <c r="B21" s="358">
        <v>3341388</v>
      </c>
      <c r="C21" s="359">
        <f>B21/'- 3 -'!$D21*100</f>
        <v>9.6897595455522989</v>
      </c>
      <c r="D21" s="408">
        <f t="shared" si="0"/>
        <v>5237.2852664576803</v>
      </c>
      <c r="E21" s="409">
        <f>SUM('- 6 -'!$E21:H21)</f>
        <v>638</v>
      </c>
      <c r="F21" s="359">
        <f>IF(E21=0,"",'- 6 -'!$E21/E21*100)</f>
        <v>70.141065830721004</v>
      </c>
      <c r="G21" s="359">
        <f>IF(E21=0,"",'- 6 -'!$F21/E21*100)</f>
        <v>0</v>
      </c>
      <c r="H21" s="359">
        <f>IF(E21=0,"",'- 6 -'!$G21/E21*100)</f>
        <v>29.858934169278996</v>
      </c>
      <c r="I21" s="359">
        <f>IF(E21=0,"",'- 6 -'!$H21/E21*100)</f>
        <v>0</v>
      </c>
    </row>
    <row r="22" spans="1:9" ht="14.1" customHeight="1">
      <c r="A22" s="23" t="s">
        <v>240</v>
      </c>
      <c r="B22" s="24">
        <v>3335976</v>
      </c>
      <c r="C22" s="350">
        <f>B22/'- 3 -'!$D22*100</f>
        <v>17.192607393626805</v>
      </c>
      <c r="D22" s="226">
        <f t="shared" si="0"/>
        <v>4927.5864106351555</v>
      </c>
      <c r="E22" s="227">
        <f>SUM('- 6 -'!$E22:H22)</f>
        <v>677</v>
      </c>
      <c r="F22" s="350">
        <f>IF(E22=0,"",'- 6 -'!$E22/E22*100)</f>
        <v>78.877400295420969</v>
      </c>
      <c r="G22" s="350">
        <f>IF(E22=0,"",'- 6 -'!$F22/E22*100)</f>
        <v>0</v>
      </c>
      <c r="H22" s="350">
        <f>IF(E22=0,"",'- 6 -'!$G22/E22*100)</f>
        <v>21.122599704579027</v>
      </c>
      <c r="I22" s="350">
        <f>IF(E22=0,"",'- 6 -'!$H22/E22*100)</f>
        <v>0</v>
      </c>
    </row>
    <row r="23" spans="1:9" ht="14.1" customHeight="1">
      <c r="A23" s="357" t="s">
        <v>241</v>
      </c>
      <c r="B23" s="358">
        <v>0</v>
      </c>
      <c r="C23" s="359">
        <f>B23/'- 3 -'!$D23*100</f>
        <v>0</v>
      </c>
      <c r="D23" s="408" t="str">
        <f t="shared" si="0"/>
        <v/>
      </c>
      <c r="E23" s="409">
        <f>SUM('- 6 -'!$E23:H23)</f>
        <v>0</v>
      </c>
      <c r="F23" s="359" t="str">
        <f>IF(E23=0,"",'- 6 -'!$E23/E23*100)</f>
        <v/>
      </c>
      <c r="G23" s="359" t="str">
        <f>IF(E23=0,"",'- 6 -'!$F23/E23*100)</f>
        <v/>
      </c>
      <c r="H23" s="359" t="str">
        <f>IF(E23=0,"",'- 6 -'!$G23/E23*100)</f>
        <v/>
      </c>
      <c r="I23" s="359" t="str">
        <f>IF(E23=0,"",'- 6 -'!$H23/E23*100)</f>
        <v/>
      </c>
    </row>
    <row r="24" spans="1:9" ht="14.1" customHeight="1">
      <c r="A24" s="23" t="s">
        <v>242</v>
      </c>
      <c r="B24" s="24">
        <v>4048670</v>
      </c>
      <c r="C24" s="350">
        <f>B24/'- 3 -'!$D24*100</f>
        <v>7.4519727774860742</v>
      </c>
      <c r="D24" s="226">
        <f t="shared" si="0"/>
        <v>6365.833333333333</v>
      </c>
      <c r="E24" s="227">
        <f>SUM('- 6 -'!$E24:H24)</f>
        <v>636</v>
      </c>
      <c r="F24" s="350">
        <f>IF(E24=0,"",'- 6 -'!$E24/E24*100)</f>
        <v>71.30503144654088</v>
      </c>
      <c r="G24" s="350">
        <f>IF(E24=0,"",'- 6 -'!$F24/E24*100)</f>
        <v>0</v>
      </c>
      <c r="H24" s="350">
        <f>IF(E24=0,"",'- 6 -'!$G24/E24*100)</f>
        <v>18.710691823899371</v>
      </c>
      <c r="I24" s="350">
        <f>IF(E24=0,"",'- 6 -'!$H24/E24*100)</f>
        <v>9.984276729559749</v>
      </c>
    </row>
    <row r="25" spans="1:9" ht="14.1" customHeight="1">
      <c r="A25" s="357" t="s">
        <v>243</v>
      </c>
      <c r="B25" s="358">
        <v>0</v>
      </c>
      <c r="C25" s="359">
        <f>B25/'- 3 -'!$D25*100</f>
        <v>0</v>
      </c>
      <c r="D25" s="408" t="str">
        <f t="shared" si="0"/>
        <v/>
      </c>
      <c r="E25" s="409">
        <f>SUM('- 6 -'!$E25:H25)</f>
        <v>0</v>
      </c>
      <c r="F25" s="359" t="str">
        <f>IF(E25=0,"",'- 6 -'!$E25/E25*100)</f>
        <v/>
      </c>
      <c r="G25" s="359" t="str">
        <f>IF(E25=0,"",'- 6 -'!$F25/E25*100)</f>
        <v/>
      </c>
      <c r="H25" s="359" t="str">
        <f>IF(E25=0,"",'- 6 -'!$G25/E25*100)</f>
        <v/>
      </c>
      <c r="I25" s="359" t="str">
        <f>IF(E25=0,"",'- 6 -'!$H25/E25*100)</f>
        <v/>
      </c>
    </row>
    <row r="26" spans="1:9" ht="14.1" customHeight="1">
      <c r="A26" s="23" t="s">
        <v>244</v>
      </c>
      <c r="B26" s="24">
        <v>1720385</v>
      </c>
      <c r="C26" s="350">
        <f>B26/'- 3 -'!$D26*100</f>
        <v>4.4204530937120587</v>
      </c>
      <c r="D26" s="226">
        <f t="shared" si="0"/>
        <v>4943.6350574712642</v>
      </c>
      <c r="E26" s="227">
        <f>SUM('- 6 -'!$E26:H26)</f>
        <v>348</v>
      </c>
      <c r="F26" s="350">
        <f>IF(E26=0,"",'- 6 -'!$E26/E26*100)</f>
        <v>66.666666666666657</v>
      </c>
      <c r="G26" s="350">
        <f>IF(E26=0,"",'- 6 -'!$F26/E26*100)</f>
        <v>0</v>
      </c>
      <c r="H26" s="350">
        <f>IF(E26=0,"",'- 6 -'!$G26/E26*100)</f>
        <v>10.057471264367816</v>
      </c>
      <c r="I26" s="350">
        <f>IF(E26=0,"",'- 6 -'!$H26/E26*100)</f>
        <v>23.275862068965516</v>
      </c>
    </row>
    <row r="27" spans="1:9" ht="14.1" customHeight="1">
      <c r="A27" s="357" t="s">
        <v>245</v>
      </c>
      <c r="B27" s="358">
        <v>1986116</v>
      </c>
      <c r="C27" s="359">
        <f>B27/'- 3 -'!$D27*100</f>
        <v>5.0807114432657476</v>
      </c>
      <c r="D27" s="408">
        <f t="shared" si="0"/>
        <v>5824.3870967741932</v>
      </c>
      <c r="E27" s="409">
        <f>SUM('- 6 -'!$E27:H27)</f>
        <v>341</v>
      </c>
      <c r="F27" s="359">
        <f>IF(E27=0,"",'- 6 -'!$E27/E27*100)</f>
        <v>28.445747800586513</v>
      </c>
      <c r="G27" s="359">
        <f>IF(E27=0,"",'- 6 -'!$F27/E27*100)</f>
        <v>0</v>
      </c>
      <c r="H27" s="359">
        <f>IF(E27=0,"",'- 6 -'!$G27/E27*100)</f>
        <v>71.554252199413497</v>
      </c>
      <c r="I27" s="359">
        <f>IF(E27=0,"",'- 6 -'!$H27/E27*100)</f>
        <v>0</v>
      </c>
    </row>
    <row r="28" spans="1:9" ht="14.1" customHeight="1">
      <c r="A28" s="23" t="s">
        <v>246</v>
      </c>
      <c r="B28" s="24">
        <v>0</v>
      </c>
      <c r="C28" s="350">
        <f>B28/'- 3 -'!$D28*100</f>
        <v>0</v>
      </c>
      <c r="D28" s="226" t="str">
        <f t="shared" si="0"/>
        <v/>
      </c>
      <c r="E28" s="227">
        <f>SUM('- 6 -'!$E28:H28)</f>
        <v>0</v>
      </c>
      <c r="F28" s="350" t="str">
        <f>IF(E28=0,"",'- 6 -'!$E28/E28*100)</f>
        <v/>
      </c>
      <c r="G28" s="350" t="str">
        <f>IF(E28=0,"",'- 6 -'!$F28/E28*100)</f>
        <v/>
      </c>
      <c r="H28" s="350" t="str">
        <f>IF(E28=0,"",'- 6 -'!$G28/E28*100)</f>
        <v/>
      </c>
      <c r="I28" s="350" t="str">
        <f>IF(E28=0,"",'- 6 -'!$H28/E28*100)</f>
        <v/>
      </c>
    </row>
    <row r="29" spans="1:9" ht="14.1" customHeight="1">
      <c r="A29" s="357" t="s">
        <v>247</v>
      </c>
      <c r="B29" s="358">
        <v>18366920</v>
      </c>
      <c r="C29" s="359">
        <f>B29/'- 3 -'!$D29*100</f>
        <v>12.487643862132112</v>
      </c>
      <c r="D29" s="408">
        <f t="shared" si="0"/>
        <v>6553.7627118644068</v>
      </c>
      <c r="E29" s="409">
        <f>SUM('- 6 -'!$E29:H29)</f>
        <v>2802.5</v>
      </c>
      <c r="F29" s="359">
        <f>IF(E29=0,"",'- 6 -'!$E29/E29*100)</f>
        <v>66.387154326494198</v>
      </c>
      <c r="G29" s="359">
        <f>IF(E29=0,"",'- 6 -'!$F29/E29*100)</f>
        <v>0</v>
      </c>
      <c r="H29" s="359">
        <f>IF(E29=0,"",'- 6 -'!$G29/E29*100)</f>
        <v>33.612845673505795</v>
      </c>
      <c r="I29" s="359">
        <f>IF(E29=0,"",'- 6 -'!$H29/E29*100)</f>
        <v>0</v>
      </c>
    </row>
    <row r="30" spans="1:9" ht="14.1" customHeight="1">
      <c r="A30" s="23" t="s">
        <v>248</v>
      </c>
      <c r="B30" s="24">
        <v>0</v>
      </c>
      <c r="C30" s="350">
        <f>B30/'- 3 -'!$D30*100</f>
        <v>0</v>
      </c>
      <c r="D30" s="226" t="str">
        <f t="shared" si="0"/>
        <v/>
      </c>
      <c r="E30" s="227">
        <f>SUM('- 6 -'!$E30:H30)</f>
        <v>0</v>
      </c>
      <c r="F30" s="350" t="str">
        <f>IF(E30=0,"",'- 6 -'!$E30/E30*100)</f>
        <v/>
      </c>
      <c r="G30" s="350" t="str">
        <f>IF(E30=0,"",'- 6 -'!$F30/E30*100)</f>
        <v/>
      </c>
      <c r="H30" s="350" t="str">
        <f>IF(E30=0,"",'- 6 -'!$G30/E30*100)</f>
        <v/>
      </c>
      <c r="I30" s="350" t="str">
        <f>IF(E30=0,"",'- 6 -'!$H30/E30*100)</f>
        <v/>
      </c>
    </row>
    <row r="31" spans="1:9" ht="14.1" customHeight="1">
      <c r="A31" s="357" t="s">
        <v>249</v>
      </c>
      <c r="B31" s="358">
        <v>3018412</v>
      </c>
      <c r="C31" s="359">
        <f>B31/'- 3 -'!$D31*100</f>
        <v>8.6300373396877728</v>
      </c>
      <c r="D31" s="408">
        <f t="shared" si="0"/>
        <v>4257.2806770098732</v>
      </c>
      <c r="E31" s="409">
        <f>SUM('- 6 -'!$E31:H31)</f>
        <v>709</v>
      </c>
      <c r="F31" s="359">
        <f>IF(E31=0,"",'- 6 -'!$E31/E31*100)</f>
        <v>66.149506346967556</v>
      </c>
      <c r="G31" s="359">
        <f>IF(E31=0,"",'- 6 -'!$F31/E31*100)</f>
        <v>0</v>
      </c>
      <c r="H31" s="359">
        <f>IF(E31=0,"",'- 6 -'!$G31/E31*100)</f>
        <v>33.850493653032437</v>
      </c>
      <c r="I31" s="359">
        <f>IF(E31=0,"",'- 6 -'!$H31/E31*100)</f>
        <v>0</v>
      </c>
    </row>
    <row r="32" spans="1:9" ht="14.1" customHeight="1">
      <c r="A32" s="23" t="s">
        <v>250</v>
      </c>
      <c r="B32" s="24">
        <v>1264859</v>
      </c>
      <c r="C32" s="350">
        <f>B32/'- 3 -'!$D32*100</f>
        <v>4.7519509402736038</v>
      </c>
      <c r="D32" s="226">
        <f t="shared" si="0"/>
        <v>7311.3236994219651</v>
      </c>
      <c r="E32" s="227">
        <f>SUM('- 6 -'!$E32:H32)</f>
        <v>173</v>
      </c>
      <c r="F32" s="350">
        <f>IF(E32=0,"",'- 6 -'!$E32/E32*100)</f>
        <v>57.80346820809249</v>
      </c>
      <c r="G32" s="350">
        <f>IF(E32=0,"",'- 6 -'!$F32/E32*100)</f>
        <v>0</v>
      </c>
      <c r="H32" s="350">
        <f>IF(E32=0,"",'- 6 -'!$G32/E32*100)</f>
        <v>42.196531791907518</v>
      </c>
      <c r="I32" s="350">
        <f>IF(E32=0,"",'- 6 -'!$H32/E32*100)</f>
        <v>0</v>
      </c>
    </row>
    <row r="33" spans="1:9" ht="14.1" customHeight="1">
      <c r="A33" s="357" t="s">
        <v>251</v>
      </c>
      <c r="B33" s="358">
        <v>2917800</v>
      </c>
      <c r="C33" s="359">
        <f>B33/'- 3 -'!$D33*100</f>
        <v>10.766502031458643</v>
      </c>
      <c r="D33" s="408">
        <f t="shared" si="0"/>
        <v>6809.334889148191</v>
      </c>
      <c r="E33" s="409">
        <f>SUM('- 6 -'!$E33:H33)</f>
        <v>428.5</v>
      </c>
      <c r="F33" s="359">
        <f>IF(E33=0,"",'- 6 -'!$E33/E33*100)</f>
        <v>52.858809801633612</v>
      </c>
      <c r="G33" s="359">
        <f>IF(E33=0,"",'- 6 -'!$F33/E33*100)</f>
        <v>25.670945157526255</v>
      </c>
      <c r="H33" s="359">
        <f>IF(E33=0,"",'- 6 -'!$G33/E33*100)</f>
        <v>21.47024504084014</v>
      </c>
      <c r="I33" s="359">
        <f>IF(E33=0,"",'- 6 -'!$H33/E33*100)</f>
        <v>0</v>
      </c>
    </row>
    <row r="34" spans="1:9" ht="14.1" customHeight="1">
      <c r="A34" s="23" t="s">
        <v>252</v>
      </c>
      <c r="B34" s="24">
        <v>1096907</v>
      </c>
      <c r="C34" s="350">
        <f>B34/'- 3 -'!$D34*100</f>
        <v>4.1655114335514787</v>
      </c>
      <c r="D34" s="226">
        <f t="shared" si="0"/>
        <v>6898.7861635220124</v>
      </c>
      <c r="E34" s="227">
        <f>SUM('- 6 -'!$E34:H34)</f>
        <v>159</v>
      </c>
      <c r="F34" s="350">
        <f>IF(E34=0,"",'- 6 -'!$E34/E34*100)</f>
        <v>23.270440251572328</v>
      </c>
      <c r="G34" s="350">
        <f>IF(E34=0,"",'- 6 -'!$F34/E34*100)</f>
        <v>76.729559748427675</v>
      </c>
      <c r="H34" s="350">
        <f>IF(E34=0,"",'- 6 -'!$G34/E34*100)</f>
        <v>0</v>
      </c>
      <c r="I34" s="350">
        <f>IF(E34=0,"",'- 6 -'!$H34/E34*100)</f>
        <v>0</v>
      </c>
    </row>
    <row r="35" spans="1:9" ht="14.1" customHeight="1">
      <c r="A35" s="357" t="s">
        <v>253</v>
      </c>
      <c r="B35" s="358">
        <v>22387635</v>
      </c>
      <c r="C35" s="359">
        <f>B35/'- 3 -'!$D35*100</f>
        <v>13.13414511589629</v>
      </c>
      <c r="D35" s="408">
        <f t="shared" si="0"/>
        <v>4818.1717421715266</v>
      </c>
      <c r="E35" s="409">
        <f>SUM('- 6 -'!$E35:H35)</f>
        <v>4646.5</v>
      </c>
      <c r="F35" s="359">
        <f>IF(E35=0,"",'- 6 -'!$E35/E35*100)</f>
        <v>54.524911223501562</v>
      </c>
      <c r="G35" s="359">
        <f>IF(E35=0,"",'- 6 -'!$F35/E35*100)</f>
        <v>0</v>
      </c>
      <c r="H35" s="359">
        <f>IF(E35=0,"",'- 6 -'!$G35/E35*100)</f>
        <v>36.554395781771227</v>
      </c>
      <c r="I35" s="359">
        <f>IF(E35=0,"",'- 6 -'!$H35/E35*100)</f>
        <v>8.9206929947272133</v>
      </c>
    </row>
    <row r="36" spans="1:9" ht="14.1" customHeight="1">
      <c r="A36" s="23" t="s">
        <v>254</v>
      </c>
      <c r="B36" s="24">
        <v>0</v>
      </c>
      <c r="C36" s="350">
        <f>B36/'- 3 -'!$D36*100</f>
        <v>0</v>
      </c>
      <c r="D36" s="226" t="str">
        <f t="shared" si="0"/>
        <v/>
      </c>
      <c r="E36" s="227">
        <f>SUM('- 6 -'!$E36:H36)</f>
        <v>0</v>
      </c>
      <c r="F36" s="350" t="str">
        <f>IF(E36=0,"",'- 6 -'!$E36/E36*100)</f>
        <v/>
      </c>
      <c r="G36" s="350" t="str">
        <f>IF(E36=0,"",'- 6 -'!$F36/E36*100)</f>
        <v/>
      </c>
      <c r="H36" s="350" t="str">
        <f>IF(E36=0,"",'- 6 -'!$G36/E36*100)</f>
        <v/>
      </c>
      <c r="I36" s="350" t="str">
        <f>IF(E36=0,"",'- 6 -'!$H36/E36*100)</f>
        <v/>
      </c>
    </row>
    <row r="37" spans="1:9" ht="14.1" customHeight="1">
      <c r="A37" s="357" t="s">
        <v>255</v>
      </c>
      <c r="B37" s="358">
        <v>6672397</v>
      </c>
      <c r="C37" s="359">
        <f>B37/'- 3 -'!$D37*100</f>
        <v>14.926244534695526</v>
      </c>
      <c r="D37" s="408">
        <f t="shared" si="0"/>
        <v>5530.3746373808535</v>
      </c>
      <c r="E37" s="409">
        <f>SUM('- 6 -'!$E37:H37)</f>
        <v>1206.5</v>
      </c>
      <c r="F37" s="359">
        <f>IF(E37=0,"",'- 6 -'!$E37/E37*100)</f>
        <v>62.121840033153752</v>
      </c>
      <c r="G37" s="359">
        <f>IF(E37=0,"",'- 6 -'!$F37/E37*100)</f>
        <v>0</v>
      </c>
      <c r="H37" s="359">
        <f>IF(E37=0,"",'- 6 -'!$G37/E37*100)</f>
        <v>37.878159966846248</v>
      </c>
      <c r="I37" s="359">
        <f>IF(E37=0,"",'- 6 -'!$H37/E37*100)</f>
        <v>0</v>
      </c>
    </row>
    <row r="38" spans="1:9" ht="14.1" customHeight="1">
      <c r="A38" s="23" t="s">
        <v>256</v>
      </c>
      <c r="B38" s="24">
        <v>24842497</v>
      </c>
      <c r="C38" s="350">
        <f>B38/'- 3 -'!$D38*100</f>
        <v>20.318459014512293</v>
      </c>
      <c r="D38" s="226">
        <f t="shared" si="0"/>
        <v>5559.471187199284</v>
      </c>
      <c r="E38" s="227">
        <f>SUM('- 6 -'!$E38:H38)</f>
        <v>4468.5</v>
      </c>
      <c r="F38" s="350">
        <f>IF(E38=0,"",'- 6 -'!$E38/E38*100)</f>
        <v>69.732572451605677</v>
      </c>
      <c r="G38" s="350">
        <f>IF(E38=0,"",'- 6 -'!$F38/E38*100)</f>
        <v>0</v>
      </c>
      <c r="H38" s="350">
        <f>IF(E38=0,"",'- 6 -'!$G38/E38*100)</f>
        <v>27.57077319010854</v>
      </c>
      <c r="I38" s="350">
        <f>IF(E38=0,"",'- 6 -'!$H38/E38*100)</f>
        <v>2.696654358285778</v>
      </c>
    </row>
    <row r="39" spans="1:9" ht="14.1" customHeight="1">
      <c r="A39" s="357" t="s">
        <v>257</v>
      </c>
      <c r="B39" s="358">
        <v>0</v>
      </c>
      <c r="C39" s="359">
        <f>B39/'- 3 -'!$D39*100</f>
        <v>0</v>
      </c>
      <c r="D39" s="408" t="str">
        <f t="shared" si="0"/>
        <v/>
      </c>
      <c r="E39" s="409">
        <f>SUM('- 6 -'!$E39:H39)</f>
        <v>0</v>
      </c>
      <c r="F39" s="359" t="str">
        <f>IF(E39=0,"",'- 6 -'!$E39/E39*100)</f>
        <v/>
      </c>
      <c r="G39" s="359" t="str">
        <f>IF(E39=0,"",'- 6 -'!$F39/E39*100)</f>
        <v/>
      </c>
      <c r="H39" s="359" t="str">
        <f>IF(E39=0,"",'- 6 -'!$G39/E39*100)</f>
        <v/>
      </c>
      <c r="I39" s="359" t="str">
        <f>IF(E39=0,"",'- 6 -'!$H39/E39*100)</f>
        <v/>
      </c>
    </row>
    <row r="40" spans="1:9" ht="14.1" customHeight="1">
      <c r="A40" s="23" t="s">
        <v>258</v>
      </c>
      <c r="B40" s="24">
        <v>8076606</v>
      </c>
      <c r="C40" s="350">
        <f>B40/'- 3 -'!$D40*100</f>
        <v>8.1362895075942721</v>
      </c>
      <c r="D40" s="226">
        <f t="shared" si="0"/>
        <v>5410.8812455616153</v>
      </c>
      <c r="E40" s="227">
        <f>SUM('- 6 -'!$E40:H40)</f>
        <v>1492.6599999999999</v>
      </c>
      <c r="F40" s="350">
        <f>IF(E40=0,"",'- 6 -'!$E40/E40*100)</f>
        <v>62.357134243565184</v>
      </c>
      <c r="G40" s="350">
        <f>IF(E40=0,"",'- 6 -'!$F40/E40*100)</f>
        <v>0</v>
      </c>
      <c r="H40" s="350">
        <f>IF(E40=0,"",'- 6 -'!$G40/E40*100)</f>
        <v>37.642865756434823</v>
      </c>
      <c r="I40" s="350">
        <f>IF(E40=0,"",'- 6 -'!$H40/E40*100)</f>
        <v>0</v>
      </c>
    </row>
    <row r="41" spans="1:9" ht="14.1" customHeight="1">
      <c r="A41" s="357" t="s">
        <v>259</v>
      </c>
      <c r="B41" s="358">
        <v>14097709</v>
      </c>
      <c r="C41" s="359">
        <f>B41/'- 3 -'!$D41*100</f>
        <v>23.740049745002221</v>
      </c>
      <c r="D41" s="408">
        <f t="shared" si="0"/>
        <v>5405.563266871166</v>
      </c>
      <c r="E41" s="409">
        <f>SUM('- 6 -'!$E41:H41)</f>
        <v>2608</v>
      </c>
      <c r="F41" s="359">
        <f>IF(E41=0,"",'- 6 -'!$E41/E41*100)</f>
        <v>71.625766871165638</v>
      </c>
      <c r="G41" s="359">
        <f>IF(E41=0,"",'- 6 -'!$F41/E41*100)</f>
        <v>0</v>
      </c>
      <c r="H41" s="359">
        <f>IF(E41=0,"",'- 6 -'!$G41/E41*100)</f>
        <v>25.019171779141104</v>
      </c>
      <c r="I41" s="359">
        <f>IF(E41=0,"",'- 6 -'!$H41/E41*100)</f>
        <v>3.3550613496932518</v>
      </c>
    </row>
    <row r="42" spans="1:9" ht="14.1" customHeight="1">
      <c r="A42" s="23" t="s">
        <v>260</v>
      </c>
      <c r="B42" s="24">
        <v>1437388</v>
      </c>
      <c r="C42" s="350">
        <f>B42/'- 3 -'!$D42*100</f>
        <v>7.0591260518794607</v>
      </c>
      <c r="D42" s="226">
        <f t="shared" si="0"/>
        <v>6222.4588744588746</v>
      </c>
      <c r="E42" s="227">
        <f>SUM('- 6 -'!$E42:H42)</f>
        <v>231</v>
      </c>
      <c r="F42" s="350">
        <f>IF(E42=0,"",'- 6 -'!$E42/E42*100)</f>
        <v>67.96536796536796</v>
      </c>
      <c r="G42" s="350">
        <f>IF(E42=0,"",'- 6 -'!$F42/E42*100)</f>
        <v>0</v>
      </c>
      <c r="H42" s="350">
        <f>IF(E42=0,"",'- 6 -'!$G42/E42*100)</f>
        <v>32.034632034632033</v>
      </c>
      <c r="I42" s="350">
        <f>IF(E42=0,"",'- 6 -'!$H42/E42*100)</f>
        <v>0</v>
      </c>
    </row>
    <row r="43" spans="1:9" ht="14.1" customHeight="1">
      <c r="A43" s="357" t="s">
        <v>261</v>
      </c>
      <c r="B43" s="358">
        <v>0</v>
      </c>
      <c r="C43" s="359">
        <f>B43/'- 3 -'!$D43*100</f>
        <v>0</v>
      </c>
      <c r="D43" s="408" t="str">
        <f t="shared" si="0"/>
        <v/>
      </c>
      <c r="E43" s="409">
        <f>SUM('- 6 -'!$E43:H43)</f>
        <v>0</v>
      </c>
      <c r="F43" s="359" t="str">
        <f>IF(E43=0,"",'- 6 -'!$E43/E43*100)</f>
        <v/>
      </c>
      <c r="G43" s="359" t="str">
        <f>IF(E43=0,"",'- 6 -'!$F43/E43*100)</f>
        <v/>
      </c>
      <c r="H43" s="359" t="str">
        <f>IF(E43=0,"",'- 6 -'!$G43/E43*100)</f>
        <v/>
      </c>
      <c r="I43" s="359" t="str">
        <f>IF(E43=0,"",'- 6 -'!$H43/E43*100)</f>
        <v/>
      </c>
    </row>
    <row r="44" spans="1:9" ht="14.1" customHeight="1">
      <c r="A44" s="23" t="s">
        <v>262</v>
      </c>
      <c r="B44" s="24">
        <v>0</v>
      </c>
      <c r="C44" s="350">
        <f>B44/'- 3 -'!$D44*100</f>
        <v>0</v>
      </c>
      <c r="D44" s="226" t="str">
        <f t="shared" si="0"/>
        <v/>
      </c>
      <c r="E44" s="227">
        <f>SUM('- 6 -'!$E44:H44)</f>
        <v>0</v>
      </c>
      <c r="F44" s="350" t="str">
        <f>IF(E44=0,"",'- 6 -'!$E44/E44*100)</f>
        <v/>
      </c>
      <c r="G44" s="350" t="str">
        <f>IF(E44=0,"",'- 6 -'!$F44/E44*100)</f>
        <v/>
      </c>
      <c r="H44" s="350" t="str">
        <f>IF(E44=0,"",'- 6 -'!$G44/E44*100)</f>
        <v/>
      </c>
      <c r="I44" s="350" t="str">
        <f>IF(E44=0,"",'- 6 -'!$H44/E44*100)</f>
        <v/>
      </c>
    </row>
    <row r="45" spans="1:9" ht="14.1" customHeight="1">
      <c r="A45" s="357" t="s">
        <v>263</v>
      </c>
      <c r="B45" s="358">
        <v>4457515</v>
      </c>
      <c r="C45" s="359">
        <f>B45/'- 3 -'!$D45*100</f>
        <v>25.38807022723827</v>
      </c>
      <c r="D45" s="408">
        <f t="shared" si="0"/>
        <v>4986.0346756152121</v>
      </c>
      <c r="E45" s="409">
        <f>SUM('- 6 -'!$E45:H45)</f>
        <v>894</v>
      </c>
      <c r="F45" s="359">
        <f>IF(E45=0,"",'- 6 -'!$E45/E45*100)</f>
        <v>74.944071588366896</v>
      </c>
      <c r="G45" s="359">
        <f>IF(E45=0,"",'- 6 -'!$F45/E45*100)</f>
        <v>0</v>
      </c>
      <c r="H45" s="359">
        <f>IF(E45=0,"",'- 6 -'!$G45/E45*100)</f>
        <v>25.055928411633111</v>
      </c>
      <c r="I45" s="359">
        <f>IF(E45=0,"",'- 6 -'!$H45/E45*100)</f>
        <v>0</v>
      </c>
    </row>
    <row r="46" spans="1:9" ht="14.1" customHeight="1">
      <c r="A46" s="23" t="s">
        <v>264</v>
      </c>
      <c r="B46" s="24">
        <v>26090700</v>
      </c>
      <c r="C46" s="350">
        <f>B46/'- 3 -'!$D46*100</f>
        <v>7.0569973160327484</v>
      </c>
      <c r="D46" s="226">
        <f t="shared" si="0"/>
        <v>4195.3207911239751</v>
      </c>
      <c r="E46" s="227">
        <f>SUM('- 6 -'!$E46:H46)</f>
        <v>6219</v>
      </c>
      <c r="F46" s="350">
        <f>IF(E46=0,"",'- 6 -'!$E46/E46*100)</f>
        <v>60.041807364528054</v>
      </c>
      <c r="G46" s="350">
        <f>IF(E46=0,"",'- 6 -'!$F46/E46*100)</f>
        <v>0</v>
      </c>
      <c r="H46" s="350">
        <f>IF(E46=0,"",'- 6 -'!$G46/E46*100)</f>
        <v>37.079916385270941</v>
      </c>
      <c r="I46" s="350">
        <f>IF(E46=0,"",'- 6 -'!$H46/E46*100)</f>
        <v>2.8782762502009969</v>
      </c>
    </row>
    <row r="47" spans="1:9" ht="5.0999999999999996" customHeight="1">
      <c r="A47"/>
      <c r="B47"/>
      <c r="C47"/>
      <c r="D47"/>
      <c r="E47"/>
      <c r="F47"/>
      <c r="G47"/>
      <c r="H47"/>
      <c r="I47"/>
    </row>
    <row r="48" spans="1:9" ht="14.1" customHeight="1">
      <c r="A48" s="360" t="s">
        <v>265</v>
      </c>
      <c r="B48" s="361">
        <f>SUM(B11:B46)</f>
        <v>158215477</v>
      </c>
      <c r="C48" s="620">
        <f>B48/'- 3 -'!$D48*100</f>
        <v>7.3735975363296378</v>
      </c>
      <c r="D48" s="621">
        <f>B48/E48</f>
        <v>5183.8812463426411</v>
      </c>
      <c r="E48" s="622">
        <f>SUM(E11:E46)</f>
        <v>30520.66</v>
      </c>
      <c r="F48" s="410">
        <f>IF(E48=0,"",'- 6 -'!$E48/E48*100)</f>
        <v>64.213159217395685</v>
      </c>
      <c r="G48" s="362">
        <f>IF(E48=0,"",'- 6 -'!$F48/E48*100)</f>
        <v>0.76014083574863722</v>
      </c>
      <c r="H48" s="362">
        <f>IF(E48=0,"",'- 6 -'!$G48/E48*100)</f>
        <v>31.927160159708212</v>
      </c>
      <c r="I48" s="362">
        <f>IF(E48=0,"",'- 6 -'!$H48/E48*100)</f>
        <v>3.0995397871474601</v>
      </c>
    </row>
    <row r="49" spans="1:9" ht="5.0999999999999996" customHeight="1">
      <c r="A49" s="25" t="s">
        <v>3</v>
      </c>
      <c r="B49" s="26"/>
      <c r="C49" s="349"/>
      <c r="D49" s="26"/>
      <c r="E49" s="228"/>
      <c r="F49" s="349"/>
      <c r="G49" s="349"/>
      <c r="H49" s="349"/>
      <c r="I49" s="349"/>
    </row>
    <row r="50" spans="1:9" ht="14.1" customHeight="1">
      <c r="A50" s="23" t="s">
        <v>266</v>
      </c>
      <c r="B50" s="24">
        <v>0</v>
      </c>
      <c r="C50" s="350">
        <f>B50/'- 3 -'!$D50*100</f>
        <v>0</v>
      </c>
      <c r="D50" s="226" t="str">
        <f>IF(E50=0,"",B50/E50)</f>
        <v/>
      </c>
      <c r="E50" s="227">
        <f>SUM('- 6 -'!$E50:H50)</f>
        <v>0</v>
      </c>
      <c r="F50" s="350" t="str">
        <f>IF(E50=0,"",'- 6 -'!$E50/E50*100)</f>
        <v/>
      </c>
      <c r="G50" s="350" t="str">
        <f>IF(E50=0,"",'- 6 -'!$F50/E50*100)</f>
        <v/>
      </c>
      <c r="H50" s="350" t="str">
        <f>IF(E50=0,"",'- 6 -'!$G50/E50*100)</f>
        <v/>
      </c>
      <c r="I50" s="350" t="str">
        <f>IF(E50=0,"",'- 6 -'!$H50/E50*100)</f>
        <v/>
      </c>
    </row>
    <row r="51" spans="1:9" ht="14.1" customHeight="1">
      <c r="A51" s="511" t="s">
        <v>691</v>
      </c>
      <c r="B51" s="358">
        <v>0</v>
      </c>
      <c r="C51" s="359">
        <f>B51/'- 3 -'!$D51*100</f>
        <v>0</v>
      </c>
      <c r="D51" s="408" t="str">
        <f>IF(E51=0,"",B51/E51)</f>
        <v/>
      </c>
      <c r="E51" s="409">
        <f>SUM('- 6 -'!$E51:H51)</f>
        <v>0</v>
      </c>
      <c r="F51" s="359" t="str">
        <f>IF(E51=0,"",'- 6 -'!$E51/E51*100)</f>
        <v/>
      </c>
      <c r="G51" s="359" t="str">
        <f>IF(E51=0,"",'- 6 -'!$F51/E51*100)</f>
        <v/>
      </c>
      <c r="H51" s="359" t="str">
        <f>IF(E51=0,"",'- 6 -'!$G51/E51*100)</f>
        <v/>
      </c>
      <c r="I51" s="359" t="str">
        <f>IF(E51=0,"",'- 6 -'!$H51/E51*100)</f>
        <v/>
      </c>
    </row>
    <row r="52" spans="1:9" ht="50.1" customHeight="1">
      <c r="A52" s="27"/>
      <c r="B52" s="71"/>
      <c r="C52" s="71"/>
      <c r="D52" s="71"/>
      <c r="E52" s="71"/>
      <c r="F52" s="71"/>
      <c r="G52" s="71"/>
      <c r="H52" s="71"/>
      <c r="I52" s="71"/>
    </row>
    <row r="53" spans="1:9" ht="15" customHeight="1">
      <c r="A53" s="66" t="s">
        <v>594</v>
      </c>
      <c r="C53" s="66"/>
      <c r="D53" s="66"/>
      <c r="E53" s="66"/>
      <c r="F53" s="66"/>
      <c r="G53" s="66"/>
      <c r="H53" s="66"/>
      <c r="I53" s="66"/>
    </row>
    <row r="54" spans="1:9" ht="14.45" customHeight="1"/>
    <row r="55" spans="1:9" ht="14.45" customHeight="1"/>
    <row r="56" spans="1:9" ht="14.45" customHeight="1"/>
    <row r="57" spans="1:9" ht="14.45" customHeight="1">
      <c r="A57" s="28"/>
    </row>
    <row r="58" spans="1:9" ht="14.45" customHeight="1"/>
    <row r="59" spans="1:9" ht="14.45" customHeight="1">
      <c r="A59" s="28"/>
    </row>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17.xml><?xml version="1.0" encoding="utf-8"?>
<worksheet xmlns="http://schemas.openxmlformats.org/spreadsheetml/2006/main" xmlns:r="http://schemas.openxmlformats.org/officeDocument/2006/relationships">
  <sheetPr codeName="Sheet16"/>
  <dimension ref="A1:J59"/>
  <sheetViews>
    <sheetView showGridLines="0" showZeros="0" workbookViewId="0"/>
  </sheetViews>
  <sheetFormatPr defaultColWidth="15.83203125" defaultRowHeight="12"/>
  <cols>
    <col min="1" max="1" width="31.83203125" style="1" customWidth="1"/>
    <col min="2" max="2" width="15.6640625" style="1" customWidth="1"/>
    <col min="3" max="3" width="7.83203125" style="1" customWidth="1"/>
    <col min="4" max="4" width="8.6640625" style="1" customWidth="1"/>
    <col min="5" max="5" width="13" style="1" customWidth="1"/>
    <col min="6" max="6" width="7.83203125" style="1" customWidth="1"/>
    <col min="7" max="7" width="9.83203125" style="1" customWidth="1"/>
    <col min="8" max="8" width="14.6640625" style="1" customWidth="1"/>
    <col min="9" max="9" width="7.83203125" style="1" customWidth="1"/>
    <col min="10" max="10" width="11.5" style="1" customWidth="1"/>
    <col min="11" max="16384" width="15.83203125" style="1"/>
  </cols>
  <sheetData>
    <row r="1" spans="1:10" ht="6.95" customHeight="1">
      <c r="A1" s="3"/>
      <c r="B1" s="4"/>
      <c r="C1" s="4"/>
      <c r="D1" s="4"/>
      <c r="E1" s="4"/>
      <c r="F1" s="4"/>
      <c r="G1" s="4"/>
      <c r="H1" s="4"/>
      <c r="I1" s="4"/>
      <c r="J1" s="4"/>
    </row>
    <row r="2" spans="1:10" ht="15.95" customHeight="1">
      <c r="A2" s="159"/>
      <c r="B2" s="5" t="s">
        <v>474</v>
      </c>
      <c r="C2" s="6"/>
      <c r="D2" s="6"/>
      <c r="E2" s="6"/>
      <c r="F2" s="6"/>
      <c r="G2" s="106"/>
      <c r="H2" s="106"/>
      <c r="I2" s="208"/>
      <c r="J2" s="182" t="s">
        <v>435</v>
      </c>
    </row>
    <row r="3" spans="1:10" ht="15.95" customHeight="1">
      <c r="A3" s="162"/>
      <c r="B3" s="7" t="str">
        <f>OPYEAR</f>
        <v>OPERATING FUND 2014/2015 BUDGET</v>
      </c>
      <c r="C3" s="8"/>
      <c r="D3" s="8"/>
      <c r="E3" s="8"/>
      <c r="F3" s="8"/>
      <c r="G3" s="108"/>
      <c r="H3" s="108"/>
      <c r="I3" s="108"/>
      <c r="J3" s="101"/>
    </row>
    <row r="4" spans="1:10" ht="15.95" customHeight="1">
      <c r="B4" s="4"/>
      <c r="C4" s="4"/>
      <c r="D4" s="101"/>
      <c r="E4" s="4"/>
      <c r="F4" s="4"/>
      <c r="G4" s="4"/>
      <c r="H4" s="4"/>
      <c r="I4" s="4"/>
      <c r="J4" s="4"/>
    </row>
    <row r="5" spans="1:10" ht="15.95" customHeight="1">
      <c r="B5" s="164" t="s">
        <v>440</v>
      </c>
      <c r="C5" s="184"/>
      <c r="D5" s="185"/>
      <c r="E5" s="185"/>
      <c r="F5" s="185"/>
      <c r="G5" s="185"/>
      <c r="H5" s="185"/>
      <c r="I5" s="185"/>
      <c r="J5" s="186"/>
    </row>
    <row r="6" spans="1:10" ht="15.95" customHeight="1">
      <c r="B6" s="351" t="s">
        <v>10</v>
      </c>
      <c r="C6" s="352"/>
      <c r="D6" s="353"/>
      <c r="E6" s="411"/>
      <c r="F6" s="412"/>
      <c r="G6" s="413"/>
      <c r="H6" s="351" t="s">
        <v>11</v>
      </c>
      <c r="I6" s="352"/>
      <c r="J6" s="353"/>
    </row>
    <row r="7" spans="1:10" ht="15.95" customHeight="1">
      <c r="B7" s="354" t="s">
        <v>34</v>
      </c>
      <c r="C7" s="355"/>
      <c r="D7" s="356"/>
      <c r="E7" s="354" t="s">
        <v>397</v>
      </c>
      <c r="F7" s="355"/>
      <c r="G7" s="356"/>
      <c r="H7" s="354" t="s">
        <v>35</v>
      </c>
      <c r="I7" s="355"/>
      <c r="J7" s="356"/>
    </row>
    <row r="8" spans="1:10" ht="15.95" customHeight="1">
      <c r="A8" s="102"/>
      <c r="B8" s="168"/>
      <c r="C8" s="167"/>
      <c r="D8" s="167" t="s">
        <v>60</v>
      </c>
      <c r="E8" s="168"/>
      <c r="F8" s="167"/>
      <c r="G8" s="167" t="s">
        <v>60</v>
      </c>
      <c r="H8" s="168"/>
      <c r="I8" s="167"/>
      <c r="J8" s="167" t="s">
        <v>60</v>
      </c>
    </row>
    <row r="9" spans="1:10" ht="15.95" customHeight="1">
      <c r="A9" s="35" t="s">
        <v>81</v>
      </c>
      <c r="B9" s="113" t="s">
        <v>82</v>
      </c>
      <c r="C9" s="113" t="s">
        <v>83</v>
      </c>
      <c r="D9" s="113" t="s">
        <v>84</v>
      </c>
      <c r="E9" s="113" t="s">
        <v>82</v>
      </c>
      <c r="F9" s="113" t="s">
        <v>83</v>
      </c>
      <c r="G9" s="113" t="s">
        <v>84</v>
      </c>
      <c r="H9" s="113" t="s">
        <v>82</v>
      </c>
      <c r="I9" s="113" t="s">
        <v>83</v>
      </c>
      <c r="J9" s="113" t="s">
        <v>84</v>
      </c>
    </row>
    <row r="10" spans="1:10" ht="5.0999999999999996" customHeight="1">
      <c r="A10" s="37"/>
    </row>
    <row r="11" spans="1:10" ht="14.1" customHeight="1">
      <c r="A11" s="357" t="s">
        <v>230</v>
      </c>
      <c r="B11" s="358">
        <v>134450</v>
      </c>
      <c r="C11" s="359">
        <f>B11/'- 3 -'!$D11*100</f>
        <v>0.77401991922559543</v>
      </c>
      <c r="D11" s="358">
        <f>B11/'- 7 -'!$F11</f>
        <v>86.938247655997415</v>
      </c>
      <c r="E11" s="358">
        <v>0</v>
      </c>
      <c r="F11" s="359">
        <f>E11/'- 3 -'!$D11*100</f>
        <v>0</v>
      </c>
      <c r="G11" s="358">
        <f>E11/'- 7 -'!$F11</f>
        <v>0</v>
      </c>
      <c r="H11" s="358">
        <v>179660</v>
      </c>
      <c r="I11" s="359">
        <f>H11/'- 3 -'!$D11*100</f>
        <v>1.0342909534255893</v>
      </c>
      <c r="J11" s="358">
        <f>H11/'- 7 -'!$F11</f>
        <v>116.1720012932428</v>
      </c>
    </row>
    <row r="12" spans="1:10" ht="14.1" customHeight="1">
      <c r="A12" s="23" t="s">
        <v>231</v>
      </c>
      <c r="B12" s="24">
        <v>293753</v>
      </c>
      <c r="C12" s="350">
        <f>B12/'- 3 -'!$D12*100</f>
        <v>0.93364156698257594</v>
      </c>
      <c r="D12" s="24">
        <f>B12/'- 7 -'!$F12</f>
        <v>134.33744306437157</v>
      </c>
      <c r="E12" s="24">
        <v>0</v>
      </c>
      <c r="F12" s="350">
        <f>E12/'- 3 -'!$D12*100</f>
        <v>0</v>
      </c>
      <c r="G12" s="24">
        <f>E12/'- 7 -'!$F12</f>
        <v>0</v>
      </c>
      <c r="H12" s="24">
        <v>638629</v>
      </c>
      <c r="I12" s="350">
        <f>H12/'- 3 -'!$D12*100</f>
        <v>2.0297684799151514</v>
      </c>
      <c r="J12" s="24">
        <f>H12/'- 7 -'!$F12</f>
        <v>292.05416430387623</v>
      </c>
    </row>
    <row r="13" spans="1:10" ht="14.1" customHeight="1">
      <c r="A13" s="357" t="s">
        <v>232</v>
      </c>
      <c r="B13" s="358">
        <v>133400</v>
      </c>
      <c r="C13" s="359">
        <f>B13/'- 3 -'!$D13*100</f>
        <v>0.14945288369002979</v>
      </c>
      <c r="D13" s="358">
        <f>B13/'- 7 -'!$F13</f>
        <v>16.427499190323786</v>
      </c>
      <c r="E13" s="358">
        <v>0</v>
      </c>
      <c r="F13" s="359">
        <f>E13/'- 3 -'!$D13*100</f>
        <v>0</v>
      </c>
      <c r="G13" s="358">
        <f>E13/'- 7 -'!$F13</f>
        <v>0</v>
      </c>
      <c r="H13" s="358">
        <v>1934900</v>
      </c>
      <c r="I13" s="359">
        <f>H13/'- 3 -'!$D13*100</f>
        <v>2.1677390153810991</v>
      </c>
      <c r="J13" s="358">
        <f>H13/'- 7 -'!$F13</f>
        <v>238.27262506264987</v>
      </c>
    </row>
    <row r="14" spans="1:10" ht="14.1" customHeight="1">
      <c r="A14" s="23" t="s">
        <v>566</v>
      </c>
      <c r="B14" s="24">
        <v>312430</v>
      </c>
      <c r="C14" s="350">
        <f>B14/'- 3 -'!$D14*100</f>
        <v>0.39099772387088222</v>
      </c>
      <c r="D14" s="24">
        <f>B14/'- 7 -'!$F14</f>
        <v>58.782690498588899</v>
      </c>
      <c r="E14" s="24">
        <v>0</v>
      </c>
      <c r="F14" s="350">
        <f>E14/'- 3 -'!$D14*100</f>
        <v>0</v>
      </c>
      <c r="G14" s="24">
        <f>E14/'- 7 -'!$F14</f>
        <v>0</v>
      </c>
      <c r="H14" s="24">
        <v>935830</v>
      </c>
      <c r="I14" s="350">
        <f>H14/'- 3 -'!$D14*100</f>
        <v>1.1711660209649768</v>
      </c>
      <c r="J14" s="24">
        <f>H14/'- 7 -'!$F14</f>
        <v>176.07337723424271</v>
      </c>
    </row>
    <row r="15" spans="1:10" ht="14.1" customHeight="1">
      <c r="A15" s="357" t="s">
        <v>233</v>
      </c>
      <c r="B15" s="358">
        <v>278500</v>
      </c>
      <c r="C15" s="359">
        <f>B15/'- 3 -'!$D15*100</f>
        <v>1.4046075768517039</v>
      </c>
      <c r="D15" s="358">
        <f>B15/'- 7 -'!$F15</f>
        <v>191.73838209982787</v>
      </c>
      <c r="E15" s="358">
        <v>0</v>
      </c>
      <c r="F15" s="359">
        <f>E15/'- 3 -'!$D15*100</f>
        <v>0</v>
      </c>
      <c r="G15" s="358">
        <f>E15/'- 7 -'!$F15</f>
        <v>0</v>
      </c>
      <c r="H15" s="358">
        <v>273000</v>
      </c>
      <c r="I15" s="359">
        <f>H15/'- 3 -'!$D15*100</f>
        <v>1.3768684685117243</v>
      </c>
      <c r="J15" s="358">
        <f>H15/'- 7 -'!$F15</f>
        <v>187.95180722891567</v>
      </c>
    </row>
    <row r="16" spans="1:10" ht="14.1" customHeight="1">
      <c r="A16" s="23" t="s">
        <v>234</v>
      </c>
      <c r="B16" s="24">
        <v>183937</v>
      </c>
      <c r="C16" s="350">
        <f>B16/'- 3 -'!$D16*100</f>
        <v>1.364357482028818</v>
      </c>
      <c r="D16" s="24">
        <f>B16/'- 7 -'!$F16</f>
        <v>191.20270270270271</v>
      </c>
      <c r="E16" s="24">
        <v>0</v>
      </c>
      <c r="F16" s="350">
        <f>E16/'- 3 -'!$D16*100</f>
        <v>0</v>
      </c>
      <c r="G16" s="24">
        <f>E16/'- 7 -'!$F16</f>
        <v>0</v>
      </c>
      <c r="H16" s="24">
        <v>182077</v>
      </c>
      <c r="I16" s="350">
        <f>H16/'- 3 -'!$D16*100</f>
        <v>1.3505608836469067</v>
      </c>
      <c r="J16" s="24">
        <f>H16/'- 7 -'!$F16</f>
        <v>189.26923076923077</v>
      </c>
    </row>
    <row r="17" spans="1:10" ht="14.1" customHeight="1">
      <c r="A17" s="357" t="s">
        <v>235</v>
      </c>
      <c r="B17" s="358">
        <v>123310</v>
      </c>
      <c r="C17" s="359">
        <f>B17/'- 3 -'!$D17*100</f>
        <v>0.71847853851991206</v>
      </c>
      <c r="D17" s="358">
        <f>B17/'- 7 -'!$F17</f>
        <v>92.194392523364485</v>
      </c>
      <c r="E17" s="358">
        <v>0</v>
      </c>
      <c r="F17" s="359">
        <f>E17/'- 3 -'!$D17*100</f>
        <v>0</v>
      </c>
      <c r="G17" s="358">
        <f>E17/'- 7 -'!$F17</f>
        <v>0</v>
      </c>
      <c r="H17" s="358">
        <v>300280</v>
      </c>
      <c r="I17" s="359">
        <f>H17/'- 3 -'!$D17*100</f>
        <v>1.7496126473664682</v>
      </c>
      <c r="J17" s="358">
        <f>H17/'- 7 -'!$F17</f>
        <v>224.50841121495327</v>
      </c>
    </row>
    <row r="18" spans="1:10" ht="14.1" customHeight="1">
      <c r="A18" s="23" t="s">
        <v>236</v>
      </c>
      <c r="B18" s="24">
        <v>0</v>
      </c>
      <c r="C18" s="350">
        <f>B18/'- 3 -'!$D18*100</f>
        <v>0</v>
      </c>
      <c r="D18" s="24">
        <f>B18/'- 7 -'!$F18</f>
        <v>0</v>
      </c>
      <c r="E18" s="24">
        <v>0</v>
      </c>
      <c r="F18" s="350">
        <f>E18/'- 3 -'!$D18*100</f>
        <v>0</v>
      </c>
      <c r="G18" s="24">
        <f>E18/'- 7 -'!$F18</f>
        <v>0</v>
      </c>
      <c r="H18" s="24">
        <v>3650689</v>
      </c>
      <c r="I18" s="350">
        <f>H18/'- 3 -'!$D18*100</f>
        <v>2.9494474558274941</v>
      </c>
      <c r="J18" s="24">
        <f>H18/'- 7 -'!$F18</f>
        <v>591.61667233863261</v>
      </c>
    </row>
    <row r="19" spans="1:10" ht="14.1" customHeight="1">
      <c r="A19" s="357" t="s">
        <v>237</v>
      </c>
      <c r="B19" s="358">
        <v>174850</v>
      </c>
      <c r="C19" s="359">
        <f>B19/'- 3 -'!$D19*100</f>
        <v>0.40241916403603983</v>
      </c>
      <c r="D19" s="358">
        <f>B19/'- 7 -'!$F19</f>
        <v>42.860644686848879</v>
      </c>
      <c r="E19" s="358">
        <v>0</v>
      </c>
      <c r="F19" s="359">
        <f>E19/'- 3 -'!$D19*100</f>
        <v>0</v>
      </c>
      <c r="G19" s="358">
        <f>E19/'- 7 -'!$F19</f>
        <v>0</v>
      </c>
      <c r="H19" s="358">
        <v>880550</v>
      </c>
      <c r="I19" s="359">
        <f>H19/'- 3 -'!$D19*100</f>
        <v>2.0265953382438369</v>
      </c>
      <c r="J19" s="358">
        <f>H19/'- 7 -'!$F19</f>
        <v>215.84753033459984</v>
      </c>
    </row>
    <row r="20" spans="1:10" ht="14.1" customHeight="1">
      <c r="A20" s="23" t="s">
        <v>238</v>
      </c>
      <c r="B20" s="24">
        <v>560100</v>
      </c>
      <c r="C20" s="350">
        <f>B20/'- 3 -'!$D20*100</f>
        <v>0.73960512137922296</v>
      </c>
      <c r="D20" s="24">
        <f>B20/'- 7 -'!$F20</f>
        <v>74.097102791374525</v>
      </c>
      <c r="E20" s="24">
        <v>6000</v>
      </c>
      <c r="F20" s="350">
        <f>E20/'- 3 -'!$D20*100</f>
        <v>7.9229257780313103E-3</v>
      </c>
      <c r="G20" s="24">
        <f>E20/'- 7 -'!$F20</f>
        <v>0.79375578780261935</v>
      </c>
      <c r="H20" s="24">
        <v>1239100</v>
      </c>
      <c r="I20" s="350">
        <f>H20/'- 3 -'!$D20*100</f>
        <v>1.6362162219264329</v>
      </c>
      <c r="J20" s="24">
        <f>H20/'- 7 -'!$F20</f>
        <v>163.92379944437096</v>
      </c>
    </row>
    <row r="21" spans="1:10" ht="14.1" customHeight="1">
      <c r="A21" s="357" t="s">
        <v>239</v>
      </c>
      <c r="B21" s="358">
        <v>163000</v>
      </c>
      <c r="C21" s="359">
        <f>B21/'- 3 -'!$D21*100</f>
        <v>0.47268704081208907</v>
      </c>
      <c r="D21" s="358">
        <f>B21/'- 7 -'!$F21</f>
        <v>61.301241068070702</v>
      </c>
      <c r="E21" s="358">
        <v>0</v>
      </c>
      <c r="F21" s="359">
        <f>E21/'- 3 -'!$D21*100</f>
        <v>0</v>
      </c>
      <c r="G21" s="358">
        <f>E21/'- 7 -'!$F21</f>
        <v>0</v>
      </c>
      <c r="H21" s="358">
        <v>552816</v>
      </c>
      <c r="I21" s="359">
        <f>H21/'- 3 -'!$D21*100</f>
        <v>1.6031224487949438</v>
      </c>
      <c r="J21" s="358">
        <f>H21/'- 7 -'!$F21</f>
        <v>207.9037232042121</v>
      </c>
    </row>
    <row r="22" spans="1:10" ht="14.1" customHeight="1">
      <c r="A22" s="23" t="s">
        <v>240</v>
      </c>
      <c r="B22" s="24">
        <v>146100</v>
      </c>
      <c r="C22" s="350">
        <f>B22/'- 3 -'!$D22*100</f>
        <v>0.75295503930749996</v>
      </c>
      <c r="D22" s="24">
        <f>B22/'- 7 -'!$F22</f>
        <v>93.593850096092254</v>
      </c>
      <c r="E22" s="24">
        <v>0</v>
      </c>
      <c r="F22" s="350">
        <f>E22/'- 3 -'!$D22*100</f>
        <v>0</v>
      </c>
      <c r="G22" s="24">
        <f>E22/'- 7 -'!$F22</f>
        <v>0</v>
      </c>
      <c r="H22" s="24">
        <v>190320</v>
      </c>
      <c r="I22" s="350">
        <f>H22/'- 3 -'!$D22*100</f>
        <v>0.98085149268311678</v>
      </c>
      <c r="J22" s="24">
        <f>H22/'- 7 -'!$F22</f>
        <v>121.92184497117232</v>
      </c>
    </row>
    <row r="23" spans="1:10" ht="14.1" customHeight="1">
      <c r="A23" s="357" t="s">
        <v>241</v>
      </c>
      <c r="B23" s="358">
        <v>141100</v>
      </c>
      <c r="C23" s="359">
        <f>B23/'- 3 -'!$D23*100</f>
        <v>0.86596930872204791</v>
      </c>
      <c r="D23" s="358">
        <f>B23/'- 7 -'!$F23</f>
        <v>122.96296296296296</v>
      </c>
      <c r="E23" s="358">
        <v>0</v>
      </c>
      <c r="F23" s="359">
        <f>E23/'- 3 -'!$D23*100</f>
        <v>0</v>
      </c>
      <c r="G23" s="358">
        <f>E23/'- 7 -'!$F23</f>
        <v>0</v>
      </c>
      <c r="H23" s="358">
        <v>317000</v>
      </c>
      <c r="I23" s="359">
        <f>H23/'- 3 -'!$D23*100</f>
        <v>1.9455157396519429</v>
      </c>
      <c r="J23" s="358">
        <f>H23/'- 7 -'!$F23</f>
        <v>276.25272331154684</v>
      </c>
    </row>
    <row r="24" spans="1:10" ht="14.1" customHeight="1">
      <c r="A24" s="23" t="s">
        <v>242</v>
      </c>
      <c r="B24" s="24">
        <v>204310</v>
      </c>
      <c r="C24" s="350">
        <f>B24/'- 3 -'!$D24*100</f>
        <v>0.37605252049887489</v>
      </c>
      <c r="D24" s="24">
        <f>B24/'- 7 -'!$F24</f>
        <v>50.459372684613484</v>
      </c>
      <c r="E24" s="24">
        <v>0</v>
      </c>
      <c r="F24" s="350">
        <f>E24/'- 3 -'!$D24*100</f>
        <v>0</v>
      </c>
      <c r="G24" s="24">
        <f>E24/'- 7 -'!$F24</f>
        <v>0</v>
      </c>
      <c r="H24" s="24">
        <v>1292400</v>
      </c>
      <c r="I24" s="350">
        <f>H24/'- 3 -'!$D24*100</f>
        <v>2.3787884953881155</v>
      </c>
      <c r="J24" s="24">
        <f>H24/'- 7 -'!$F24</f>
        <v>319.18992343788591</v>
      </c>
    </row>
    <row r="25" spans="1:10" ht="14.1" customHeight="1">
      <c r="A25" s="357" t="s">
        <v>243</v>
      </c>
      <c r="B25" s="358">
        <v>1208782</v>
      </c>
      <c r="C25" s="359">
        <f>B25/'- 3 -'!$D25*100</f>
        <v>0.76021438993940138</v>
      </c>
      <c r="D25" s="358">
        <f>B25/'- 7 -'!$F25</f>
        <v>87.943397599126953</v>
      </c>
      <c r="E25" s="358">
        <v>0</v>
      </c>
      <c r="F25" s="359">
        <f>E25/'- 3 -'!$D25*100</f>
        <v>0</v>
      </c>
      <c r="G25" s="358">
        <f>E25/'- 7 -'!$F25</f>
        <v>0</v>
      </c>
      <c r="H25" s="358">
        <v>3066538</v>
      </c>
      <c r="I25" s="359">
        <f>H25/'- 3 -'!$D25*100</f>
        <v>1.9285746436462421</v>
      </c>
      <c r="J25" s="358">
        <f>H25/'- 7 -'!$F25</f>
        <v>223.1020734812659</v>
      </c>
    </row>
    <row r="26" spans="1:10" ht="14.1" customHeight="1">
      <c r="A26" s="23" t="s">
        <v>244</v>
      </c>
      <c r="B26" s="24">
        <v>181317</v>
      </c>
      <c r="C26" s="350">
        <f>B26/'- 3 -'!$D26*100</f>
        <v>0.46588600434936911</v>
      </c>
      <c r="D26" s="24">
        <f>B26/'- 7 -'!$F26</f>
        <v>58.716645077720209</v>
      </c>
      <c r="E26" s="24">
        <v>7650</v>
      </c>
      <c r="F26" s="350">
        <f>E26/'- 3 -'!$D26*100</f>
        <v>1.9656336324077022E-2</v>
      </c>
      <c r="G26" s="24">
        <f>E26/'- 7 -'!$F26</f>
        <v>2.4773316062176165</v>
      </c>
      <c r="H26" s="24">
        <v>592569</v>
      </c>
      <c r="I26" s="350">
        <f>H26/'- 3 -'!$D26*100</f>
        <v>1.5225798116630063</v>
      </c>
      <c r="J26" s="24">
        <f>H26/'- 7 -'!$F26</f>
        <v>191.89410621761658</v>
      </c>
    </row>
    <row r="27" spans="1:10" ht="14.1" customHeight="1">
      <c r="A27" s="357" t="s">
        <v>245</v>
      </c>
      <c r="B27" s="358">
        <v>197514</v>
      </c>
      <c r="C27" s="359">
        <f>B27/'- 3 -'!$D27*100</f>
        <v>0.50526335823546609</v>
      </c>
      <c r="D27" s="358">
        <f>B27/'- 7 -'!$F27</f>
        <v>68.343944636678202</v>
      </c>
      <c r="E27" s="358">
        <v>0</v>
      </c>
      <c r="F27" s="359">
        <f>E27/'- 3 -'!$D27*100</f>
        <v>0</v>
      </c>
      <c r="G27" s="358">
        <f>E27/'- 7 -'!$F27</f>
        <v>0</v>
      </c>
      <c r="H27" s="358">
        <v>552635</v>
      </c>
      <c r="I27" s="359">
        <f>H27/'- 3 -'!$D27*100</f>
        <v>1.4137034133198496</v>
      </c>
      <c r="J27" s="358">
        <f>H27/'- 7 -'!$F27</f>
        <v>191.22318339100346</v>
      </c>
    </row>
    <row r="28" spans="1:10" ht="14.1" customHeight="1">
      <c r="A28" s="23" t="s">
        <v>246</v>
      </c>
      <c r="B28" s="24">
        <v>139538</v>
      </c>
      <c r="C28" s="350">
        <f>B28/'- 3 -'!$D28*100</f>
        <v>0.51019585490822283</v>
      </c>
      <c r="D28" s="24">
        <f>B28/'- 7 -'!$F28</f>
        <v>70.384867591424964</v>
      </c>
      <c r="E28" s="24">
        <v>0</v>
      </c>
      <c r="F28" s="350">
        <f>E28/'- 3 -'!$D28*100</f>
        <v>0</v>
      </c>
      <c r="G28" s="24">
        <f>E28/'- 7 -'!$F28</f>
        <v>0</v>
      </c>
      <c r="H28" s="24">
        <v>392631</v>
      </c>
      <c r="I28" s="350">
        <f>H28/'- 3 -'!$D28*100</f>
        <v>1.4355853510045324</v>
      </c>
      <c r="J28" s="24">
        <f>H28/'- 7 -'!$F28</f>
        <v>198.04842370744009</v>
      </c>
    </row>
    <row r="29" spans="1:10" ht="14.1" customHeight="1">
      <c r="A29" s="357" t="s">
        <v>247</v>
      </c>
      <c r="B29" s="358">
        <v>575697</v>
      </c>
      <c r="C29" s="359">
        <f>B29/'- 3 -'!$D29*100</f>
        <v>0.39141560525650843</v>
      </c>
      <c r="D29" s="358">
        <f>B29/'- 7 -'!$F29</f>
        <v>47.734090626425107</v>
      </c>
      <c r="E29" s="358">
        <v>0</v>
      </c>
      <c r="F29" s="359">
        <f>E29/'- 3 -'!$D29*100</f>
        <v>0</v>
      </c>
      <c r="G29" s="358">
        <f>E29/'- 7 -'!$F29</f>
        <v>0</v>
      </c>
      <c r="H29" s="358">
        <v>2763899</v>
      </c>
      <c r="I29" s="359">
        <f>H29/'- 3 -'!$D29*100</f>
        <v>1.8791711611366022</v>
      </c>
      <c r="J29" s="358">
        <f>H29/'- 7 -'!$F29</f>
        <v>229.16952033497782</v>
      </c>
    </row>
    <row r="30" spans="1:10" ht="14.1" customHeight="1">
      <c r="A30" s="23" t="s">
        <v>248</v>
      </c>
      <c r="B30" s="24">
        <v>142886</v>
      </c>
      <c r="C30" s="350">
        <f>B30/'- 3 -'!$D30*100</f>
        <v>1.0662812056799775</v>
      </c>
      <c r="D30" s="24">
        <f>B30/'- 7 -'!$F30</f>
        <v>139.33300828863969</v>
      </c>
      <c r="E30" s="24">
        <v>0</v>
      </c>
      <c r="F30" s="350">
        <f>E30/'- 3 -'!$D30*100</f>
        <v>0</v>
      </c>
      <c r="G30" s="24">
        <f>E30/'- 7 -'!$F30</f>
        <v>0</v>
      </c>
      <c r="H30" s="24">
        <v>146390</v>
      </c>
      <c r="I30" s="350">
        <f>H30/'- 3 -'!$D30*100</f>
        <v>1.0924296691032847</v>
      </c>
      <c r="J30" s="24">
        <f>H30/'- 7 -'!$F30</f>
        <v>142.74987810823987</v>
      </c>
    </row>
    <row r="31" spans="1:10" ht="14.1" customHeight="1">
      <c r="A31" s="357" t="s">
        <v>249</v>
      </c>
      <c r="B31" s="358">
        <v>156561</v>
      </c>
      <c r="C31" s="359">
        <f>B31/'- 3 -'!$D31*100</f>
        <v>0.4476285132509602</v>
      </c>
      <c r="D31" s="358">
        <f>B31/'- 7 -'!$F31</f>
        <v>49.063303039799436</v>
      </c>
      <c r="E31" s="358">
        <v>3000</v>
      </c>
      <c r="F31" s="359">
        <f>E31/'- 3 -'!$D31*100</f>
        <v>8.5773950073957158E-3</v>
      </c>
      <c r="G31" s="358">
        <f>E31/'- 7 -'!$F31</f>
        <v>0.94014415543716701</v>
      </c>
      <c r="H31" s="358">
        <v>476600</v>
      </c>
      <c r="I31" s="359">
        <f>H31/'- 3 -'!$D31*100</f>
        <v>1.3626621535082661</v>
      </c>
      <c r="J31" s="358">
        <f>H31/'- 7 -'!$F31</f>
        <v>149.35756816045128</v>
      </c>
    </row>
    <row r="32" spans="1:10" ht="14.1" customHeight="1">
      <c r="A32" s="23" t="s">
        <v>250</v>
      </c>
      <c r="B32" s="24">
        <v>139635</v>
      </c>
      <c r="C32" s="350">
        <f>B32/'- 3 -'!$D32*100</f>
        <v>0.52459497030507318</v>
      </c>
      <c r="D32" s="24">
        <f>B32/'- 7 -'!$F32</f>
        <v>66.382220109341574</v>
      </c>
      <c r="E32" s="24">
        <v>0</v>
      </c>
      <c r="F32" s="350">
        <f>E32/'- 3 -'!$D32*100</f>
        <v>0</v>
      </c>
      <c r="G32" s="24">
        <f>E32/'- 7 -'!$F32</f>
        <v>0</v>
      </c>
      <c r="H32" s="24">
        <v>307775</v>
      </c>
      <c r="I32" s="350">
        <f>H32/'- 3 -'!$D32*100</f>
        <v>1.156280423859662</v>
      </c>
      <c r="J32" s="24">
        <f>H32/'- 7 -'!$F32</f>
        <v>146.31566436890895</v>
      </c>
    </row>
    <row r="33" spans="1:10" ht="14.1" customHeight="1">
      <c r="A33" s="357" t="s">
        <v>251</v>
      </c>
      <c r="B33" s="358">
        <v>204000</v>
      </c>
      <c r="C33" s="359">
        <f>B33/'- 3 -'!$D33*100</f>
        <v>0.75274741737527018</v>
      </c>
      <c r="D33" s="358">
        <f>B33/'- 7 -'!$F33</f>
        <v>102.33258088788563</v>
      </c>
      <c r="E33" s="358">
        <v>0</v>
      </c>
      <c r="F33" s="359">
        <f>E33/'- 3 -'!$D33*100</f>
        <v>0</v>
      </c>
      <c r="G33" s="358">
        <f>E33/'- 7 -'!$F33</f>
        <v>0</v>
      </c>
      <c r="H33" s="358">
        <v>450800</v>
      </c>
      <c r="I33" s="359">
        <f>H33/'- 3 -'!$D33*100</f>
        <v>1.6634241948665283</v>
      </c>
      <c r="J33" s="358">
        <f>H33/'- 7 -'!$F33</f>
        <v>226.13493855028844</v>
      </c>
    </row>
    <row r="34" spans="1:10" ht="14.1" customHeight="1">
      <c r="A34" s="23" t="s">
        <v>252</v>
      </c>
      <c r="B34" s="24">
        <v>220712</v>
      </c>
      <c r="C34" s="350">
        <f>B34/'- 3 -'!$D34*100</f>
        <v>0.83815524882420656</v>
      </c>
      <c r="D34" s="24">
        <f>B34/'- 7 -'!$F34</f>
        <v>111.16192394862755</v>
      </c>
      <c r="E34" s="24">
        <v>0</v>
      </c>
      <c r="F34" s="350">
        <f>E34/'- 3 -'!$D34*100</f>
        <v>0</v>
      </c>
      <c r="G34" s="24">
        <f>E34/'- 7 -'!$F34</f>
        <v>0</v>
      </c>
      <c r="H34" s="24">
        <v>354782</v>
      </c>
      <c r="I34" s="350">
        <f>H34/'- 3 -'!$D34*100</f>
        <v>1.3472869417537316</v>
      </c>
      <c r="J34" s="24">
        <f>H34/'- 7 -'!$F34</f>
        <v>178.6864769579451</v>
      </c>
    </row>
    <row r="35" spans="1:10" ht="14.1" customHeight="1">
      <c r="A35" s="357" t="s">
        <v>253</v>
      </c>
      <c r="B35" s="358">
        <v>870900</v>
      </c>
      <c r="C35" s="359">
        <f>B35/'- 3 -'!$D35*100</f>
        <v>0.51093056419019156</v>
      </c>
      <c r="D35" s="358">
        <f>B35/'- 7 -'!$F35</f>
        <v>56.197973801380911</v>
      </c>
      <c r="E35" s="358">
        <v>0</v>
      </c>
      <c r="F35" s="359">
        <f>E35/'- 3 -'!$D35*100</f>
        <v>0</v>
      </c>
      <c r="G35" s="358">
        <f>E35/'- 7 -'!$F35</f>
        <v>0</v>
      </c>
      <c r="H35" s="358">
        <v>2924800</v>
      </c>
      <c r="I35" s="359">
        <f>H35/'- 3 -'!$D35*100</f>
        <v>1.715891278153028</v>
      </c>
      <c r="J35" s="358">
        <f>H35/'- 7 -'!$F35</f>
        <v>188.73330321997807</v>
      </c>
    </row>
    <row r="36" spans="1:10" ht="14.1" customHeight="1">
      <c r="A36" s="23" t="s">
        <v>254</v>
      </c>
      <c r="B36" s="24">
        <v>173780</v>
      </c>
      <c r="C36" s="350">
        <f>B36/'- 3 -'!$D36*100</f>
        <v>0.78558569147295054</v>
      </c>
      <c r="D36" s="24">
        <f>B36/'- 7 -'!$F36</f>
        <v>105.41704579921141</v>
      </c>
      <c r="E36" s="24">
        <v>0</v>
      </c>
      <c r="F36" s="350">
        <f>E36/'- 3 -'!$D36*100</f>
        <v>0</v>
      </c>
      <c r="G36" s="24">
        <f>E36/'- 7 -'!$F36</f>
        <v>0</v>
      </c>
      <c r="H36" s="24">
        <v>310960</v>
      </c>
      <c r="I36" s="350">
        <f>H36/'- 3 -'!$D36*100</f>
        <v>1.4057183025689302</v>
      </c>
      <c r="J36" s="24">
        <f>H36/'- 7 -'!$F36</f>
        <v>188.63208977858659</v>
      </c>
    </row>
    <row r="37" spans="1:10" ht="14.1" customHeight="1">
      <c r="A37" s="357" t="s">
        <v>255</v>
      </c>
      <c r="B37" s="358">
        <v>307993</v>
      </c>
      <c r="C37" s="359">
        <f>B37/'- 3 -'!$D37*100</f>
        <v>0.68898460822617102</v>
      </c>
      <c r="D37" s="358">
        <f>B37/'- 7 -'!$F37</f>
        <v>78.700140539159321</v>
      </c>
      <c r="E37" s="358">
        <v>0</v>
      </c>
      <c r="F37" s="359">
        <f>E37/'- 3 -'!$D37*100</f>
        <v>0</v>
      </c>
      <c r="G37" s="358">
        <f>E37/'- 7 -'!$F37</f>
        <v>0</v>
      </c>
      <c r="H37" s="358">
        <v>840978</v>
      </c>
      <c r="I37" s="359">
        <f>H37/'- 3 -'!$D37*100</f>
        <v>1.8812794377041975</v>
      </c>
      <c r="J37" s="358">
        <f>H37/'- 7 -'!$F37</f>
        <v>214.89152932157916</v>
      </c>
    </row>
    <row r="38" spans="1:10" ht="14.1" customHeight="1">
      <c r="A38" s="23" t="s">
        <v>256</v>
      </c>
      <c r="B38" s="24">
        <v>456180</v>
      </c>
      <c r="C38" s="350">
        <f>B38/'- 3 -'!$D38*100</f>
        <v>0.37310559535300408</v>
      </c>
      <c r="D38" s="24">
        <f>B38/'- 7 -'!$F38</f>
        <v>42.532282877255142</v>
      </c>
      <c r="E38" s="24">
        <v>0</v>
      </c>
      <c r="F38" s="350">
        <f>E38/'- 3 -'!$D38*100</f>
        <v>0</v>
      </c>
      <c r="G38" s="24">
        <f>E38/'- 7 -'!$F38</f>
        <v>0</v>
      </c>
      <c r="H38" s="24">
        <v>1793600</v>
      </c>
      <c r="I38" s="350">
        <f>H38/'- 3 -'!$D38*100</f>
        <v>1.4669696081045818</v>
      </c>
      <c r="J38" s="24">
        <f>H38/'- 7 -'!$F38</f>
        <v>167.22763507528788</v>
      </c>
    </row>
    <row r="39" spans="1:10" ht="14.1" customHeight="1">
      <c r="A39" s="357" t="s">
        <v>257</v>
      </c>
      <c r="B39" s="358">
        <v>298260</v>
      </c>
      <c r="C39" s="359">
        <f>B39/'- 3 -'!$D39*100</f>
        <v>1.4299499972960108</v>
      </c>
      <c r="D39" s="358">
        <f>B39/'- 7 -'!$F39</f>
        <v>192.36375362786197</v>
      </c>
      <c r="E39" s="358">
        <v>45000</v>
      </c>
      <c r="F39" s="359">
        <f>E39/'- 3 -'!$D39*100</f>
        <v>0.21574381371394249</v>
      </c>
      <c r="G39" s="358">
        <f>E39/'- 7 -'!$F39</f>
        <v>29.022895840051596</v>
      </c>
      <c r="H39" s="358">
        <v>244400</v>
      </c>
      <c r="I39" s="359">
        <f>H39/'- 3 -'!$D39*100</f>
        <v>1.1717286238152789</v>
      </c>
      <c r="J39" s="358">
        <f>H39/'- 7 -'!$F39</f>
        <v>157.62657207352467</v>
      </c>
    </row>
    <row r="40" spans="1:10" ht="14.1" customHeight="1">
      <c r="A40" s="23" t="s">
        <v>258</v>
      </c>
      <c r="B40" s="24">
        <v>241141</v>
      </c>
      <c r="C40" s="350">
        <f>B40/'- 3 -'!$D40*100</f>
        <v>0.24292295404168418</v>
      </c>
      <c r="D40" s="24">
        <f>B40/'- 7 -'!$F40</f>
        <v>30.366999165080991</v>
      </c>
      <c r="E40" s="24">
        <v>0</v>
      </c>
      <c r="F40" s="350">
        <f>E40/'- 3 -'!$D40*100</f>
        <v>0</v>
      </c>
      <c r="G40" s="24">
        <f>E40/'- 7 -'!$F40</f>
        <v>0</v>
      </c>
      <c r="H40" s="24">
        <v>2259848</v>
      </c>
      <c r="I40" s="350">
        <f>H40/'- 3 -'!$D40*100</f>
        <v>2.2765475462289362</v>
      </c>
      <c r="J40" s="24">
        <f>H40/'- 7 -'!$F40</f>
        <v>284.58371794597332</v>
      </c>
    </row>
    <row r="41" spans="1:10" ht="14.1" customHeight="1">
      <c r="A41" s="357" t="s">
        <v>259</v>
      </c>
      <c r="B41" s="358">
        <v>318662</v>
      </c>
      <c r="C41" s="359">
        <f>B41/'- 3 -'!$D41*100</f>
        <v>0.53661568215388022</v>
      </c>
      <c r="D41" s="358">
        <f>B41/'- 7 -'!$F41</f>
        <v>72.654354765161884</v>
      </c>
      <c r="E41" s="358">
        <v>137953</v>
      </c>
      <c r="F41" s="359">
        <f>E41/'- 3 -'!$D41*100</f>
        <v>0.23230803547386963</v>
      </c>
      <c r="G41" s="358">
        <f>E41/'- 7 -'!$F41</f>
        <v>31.453032375740992</v>
      </c>
      <c r="H41" s="358">
        <v>971419</v>
      </c>
      <c r="I41" s="359">
        <f>H41/'- 3 -'!$D41*100</f>
        <v>1.6358356796299534</v>
      </c>
      <c r="J41" s="358">
        <f>H41/'- 7 -'!$F41</f>
        <v>221.48176014591883</v>
      </c>
    </row>
    <row r="42" spans="1:10" ht="14.1" customHeight="1">
      <c r="A42" s="23" t="s">
        <v>260</v>
      </c>
      <c r="B42" s="24">
        <v>155584</v>
      </c>
      <c r="C42" s="350">
        <f>B42/'- 3 -'!$D42*100</f>
        <v>0.76408531840784388</v>
      </c>
      <c r="D42" s="24">
        <f>B42/'- 7 -'!$F42</f>
        <v>111.012486621477</v>
      </c>
      <c r="E42" s="24">
        <v>0</v>
      </c>
      <c r="F42" s="350">
        <f>E42/'- 3 -'!$D42*100</f>
        <v>0</v>
      </c>
      <c r="G42" s="24">
        <f>E42/'- 7 -'!$F42</f>
        <v>0</v>
      </c>
      <c r="H42" s="24">
        <v>377348</v>
      </c>
      <c r="I42" s="350">
        <f>H42/'- 3 -'!$D42*100</f>
        <v>1.853185846427416</v>
      </c>
      <c r="J42" s="24">
        <f>H42/'- 7 -'!$F42</f>
        <v>269.24580806278988</v>
      </c>
    </row>
    <row r="43" spans="1:10" ht="14.1" customHeight="1">
      <c r="A43" s="357" t="s">
        <v>261</v>
      </c>
      <c r="B43" s="358">
        <v>154185</v>
      </c>
      <c r="C43" s="359">
        <f>B43/'- 3 -'!$D43*100</f>
        <v>1.239046291560205</v>
      </c>
      <c r="D43" s="358">
        <f>B43/'- 7 -'!$F43</f>
        <v>160.609375</v>
      </c>
      <c r="E43" s="358">
        <v>0</v>
      </c>
      <c r="F43" s="359">
        <f>E43/'- 3 -'!$D43*100</f>
        <v>0</v>
      </c>
      <c r="G43" s="358">
        <f>E43/'- 7 -'!$F43</f>
        <v>0</v>
      </c>
      <c r="H43" s="358">
        <v>191853</v>
      </c>
      <c r="I43" s="359">
        <f>H43/'- 3 -'!$D43*100</f>
        <v>1.5417501584116484</v>
      </c>
      <c r="J43" s="358">
        <f>H43/'- 7 -'!$F43</f>
        <v>199.84687500000001</v>
      </c>
    </row>
    <row r="44" spans="1:10" ht="14.1" customHeight="1">
      <c r="A44" s="23" t="s">
        <v>262</v>
      </c>
      <c r="B44" s="24">
        <v>87500</v>
      </c>
      <c r="C44" s="350">
        <f>B44/'- 3 -'!$D44*100</f>
        <v>0.81285533971175494</v>
      </c>
      <c r="D44" s="24">
        <f>B44/'- 7 -'!$F44</f>
        <v>124.64387464387464</v>
      </c>
      <c r="E44" s="24">
        <v>0</v>
      </c>
      <c r="F44" s="350">
        <f>E44/'- 3 -'!$D44*100</f>
        <v>0</v>
      </c>
      <c r="G44" s="24">
        <f>E44/'- 7 -'!$F44</f>
        <v>0</v>
      </c>
      <c r="H44" s="24">
        <v>183336</v>
      </c>
      <c r="I44" s="350">
        <f>H44/'- 3 -'!$D44*100</f>
        <v>1.7031502464159349</v>
      </c>
      <c r="J44" s="24">
        <f>H44/'- 7 -'!$F44</f>
        <v>261.16239316239319</v>
      </c>
    </row>
    <row r="45" spans="1:10" ht="14.1" customHeight="1">
      <c r="A45" s="357" t="s">
        <v>263</v>
      </c>
      <c r="B45" s="358">
        <v>139595</v>
      </c>
      <c r="C45" s="359">
        <f>B45/'- 3 -'!$D45*100</f>
        <v>0.79507251537489532</v>
      </c>
      <c r="D45" s="358">
        <f>B45/'- 7 -'!$F45</f>
        <v>83.042831647828677</v>
      </c>
      <c r="E45" s="358">
        <v>0</v>
      </c>
      <c r="F45" s="359">
        <f>E45/'- 3 -'!$D45*100</f>
        <v>0</v>
      </c>
      <c r="G45" s="358">
        <f>E45/'- 7 -'!$F45</f>
        <v>0</v>
      </c>
      <c r="H45" s="358">
        <v>235013</v>
      </c>
      <c r="I45" s="359">
        <f>H45/'- 3 -'!$D45*100</f>
        <v>1.3385320180221374</v>
      </c>
      <c r="J45" s="358">
        <f>H45/'- 7 -'!$F45</f>
        <v>139.80547293277812</v>
      </c>
    </row>
    <row r="46" spans="1:10" ht="14.1" customHeight="1">
      <c r="A46" s="23" t="s">
        <v>264</v>
      </c>
      <c r="B46" s="24">
        <v>767700</v>
      </c>
      <c r="C46" s="350">
        <f>B46/'- 3 -'!$D46*100</f>
        <v>0.20764704816345828</v>
      </c>
      <c r="D46" s="24">
        <f>B46/'- 7 -'!$F46</f>
        <v>25.388583901051657</v>
      </c>
      <c r="E46" s="24">
        <v>72400</v>
      </c>
      <c r="F46" s="350">
        <f>E46/'- 3 -'!$D46*100</f>
        <v>1.9582709765578195E-2</v>
      </c>
      <c r="G46" s="24">
        <f>E46/'- 7 -'!$F46</f>
        <v>2.3943382498842518</v>
      </c>
      <c r="H46" s="24">
        <v>10579000</v>
      </c>
      <c r="I46" s="350">
        <f>H46/'- 3 -'!$D46*100</f>
        <v>2.8614017487576202</v>
      </c>
      <c r="J46" s="24">
        <f>H46/'- 7 -'!$F46</f>
        <v>349.85779482770022</v>
      </c>
    </row>
    <row r="47" spans="1:10" ht="5.0999999999999996" customHeight="1">
      <c r="A47"/>
      <c r="B47"/>
      <c r="C47"/>
      <c r="D47"/>
      <c r="E47"/>
      <c r="F47"/>
      <c r="G47"/>
      <c r="H47"/>
      <c r="I47"/>
      <c r="J47"/>
    </row>
    <row r="48" spans="1:10" ht="14.1" customHeight="1">
      <c r="A48" s="360" t="s">
        <v>265</v>
      </c>
      <c r="B48" s="361">
        <f>SUM(B11:B46)</f>
        <v>9987362</v>
      </c>
      <c r="C48" s="362">
        <f>B48/'- 3 -'!$D48*100</f>
        <v>0.46545881119855453</v>
      </c>
      <c r="D48" s="361">
        <f>B48/'- 7 -'!$F48</f>
        <v>57.778576131087291</v>
      </c>
      <c r="E48" s="361">
        <f>SUM(E11:E46)</f>
        <v>272003</v>
      </c>
      <c r="F48" s="362">
        <f>E48/'- 3 -'!$D48*100</f>
        <v>1.2676640039926501E-2</v>
      </c>
      <c r="G48" s="361">
        <f>E48/'- 7 -'!$F48</f>
        <v>1.5735832989115781</v>
      </c>
      <c r="H48" s="361">
        <f>SUM(H11:H46)</f>
        <v>42584425</v>
      </c>
      <c r="I48" s="362">
        <f>H48/'- 3 -'!$D48*100</f>
        <v>1.9846377688196348</v>
      </c>
      <c r="J48" s="361">
        <f>H48/'- 7 -'!$F48</f>
        <v>246.35809154219874</v>
      </c>
    </row>
    <row r="49" spans="1:10" ht="5.0999999999999996" customHeight="1">
      <c r="A49" s="25" t="s">
        <v>3</v>
      </c>
      <c r="B49" s="26"/>
      <c r="C49" s="349"/>
      <c r="D49" s="26"/>
      <c r="E49" s="26"/>
      <c r="F49" s="349"/>
      <c r="H49" s="26"/>
      <c r="I49" s="349"/>
      <c r="J49" s="26"/>
    </row>
    <row r="50" spans="1:10" ht="14.1" customHeight="1">
      <c r="A50" s="23" t="s">
        <v>266</v>
      </c>
      <c r="B50" s="24">
        <v>70012</v>
      </c>
      <c r="C50" s="350">
        <f>B50/'- 3 -'!$D50*100</f>
        <v>2.0815420274549958</v>
      </c>
      <c r="D50" s="24">
        <f>B50/'- 7 -'!$F50</f>
        <v>400.06857142857143</v>
      </c>
      <c r="E50" s="24">
        <v>5000</v>
      </c>
      <c r="F50" s="350">
        <f>E50/'- 3 -'!$D50*100</f>
        <v>0.14865608948858738</v>
      </c>
      <c r="G50" s="24">
        <f>E50/'- 7 -'!$F50</f>
        <v>28.571428571428573</v>
      </c>
      <c r="H50" s="24">
        <v>30768</v>
      </c>
      <c r="I50" s="350">
        <f>H50/'- 3 -'!$D50*100</f>
        <v>0.91477011227697125</v>
      </c>
      <c r="J50" s="24">
        <f>H50/'- 7 -'!$F50</f>
        <v>175.81714285714287</v>
      </c>
    </row>
    <row r="51" spans="1:10" ht="14.1" customHeight="1">
      <c r="A51" s="511" t="s">
        <v>691</v>
      </c>
      <c r="B51" s="358">
        <v>75349</v>
      </c>
      <c r="C51" s="359">
        <f>B51/'- 3 -'!$D51*100</f>
        <v>0.3347014445701732</v>
      </c>
      <c r="D51" s="358">
        <f>B51/'- 7 -'!$F51</f>
        <v>121.33494363929147</v>
      </c>
      <c r="E51" s="358">
        <v>0</v>
      </c>
      <c r="F51" s="359">
        <f>E51/'- 3 -'!$D51*100</f>
        <v>0</v>
      </c>
      <c r="G51" s="358">
        <f>E51/'- 7 -'!$F51</f>
        <v>0</v>
      </c>
      <c r="H51" s="358">
        <v>0</v>
      </c>
      <c r="I51" s="359">
        <f>H51/'- 3 -'!$D51*100</f>
        <v>0</v>
      </c>
      <c r="J51" s="358">
        <f>H51/'- 7 -'!$F51</f>
        <v>0</v>
      </c>
    </row>
    <row r="52" spans="1:10" ht="50.1" customHeight="1">
      <c r="A52" s="27"/>
      <c r="B52" s="27"/>
      <c r="C52" s="27"/>
      <c r="D52" s="27"/>
      <c r="E52" s="27"/>
      <c r="F52" s="27"/>
      <c r="G52" s="27"/>
      <c r="H52" s="27"/>
      <c r="I52" s="27"/>
      <c r="J52" s="27"/>
    </row>
    <row r="53" spans="1:10" ht="15" customHeight="1">
      <c r="A53" s="158" t="s">
        <v>692</v>
      </c>
      <c r="B53" s="155"/>
      <c r="C53" s="115"/>
      <c r="D53" s="115"/>
      <c r="E53" s="115"/>
      <c r="F53" s="115"/>
      <c r="G53" s="115"/>
      <c r="H53" s="115"/>
      <c r="I53" s="115"/>
      <c r="J53" s="115"/>
    </row>
    <row r="54" spans="1:10" ht="12" customHeight="1">
      <c r="A54" s="1" t="s">
        <v>620</v>
      </c>
      <c r="C54" s="115"/>
      <c r="D54" s="115"/>
      <c r="E54" s="115"/>
      <c r="F54" s="115"/>
      <c r="G54" s="115"/>
      <c r="H54" s="115"/>
      <c r="I54" s="115"/>
      <c r="J54" s="115"/>
    </row>
    <row r="55" spans="1:10" ht="12" customHeight="1">
      <c r="A55" s="1" t="s">
        <v>446</v>
      </c>
      <c r="C55" s="115"/>
      <c r="D55" s="115"/>
      <c r="E55" s="209"/>
      <c r="F55" s="115"/>
      <c r="G55" s="115"/>
      <c r="H55" s="115"/>
      <c r="I55" s="115"/>
      <c r="J55" s="115"/>
    </row>
    <row r="56" spans="1:10" ht="14.45" customHeight="1">
      <c r="C56" s="115"/>
      <c r="D56" s="115"/>
      <c r="E56" s="209"/>
      <c r="F56" s="115"/>
      <c r="G56" s="115"/>
      <c r="H56" s="115"/>
      <c r="I56" s="115"/>
      <c r="J56" s="115"/>
    </row>
    <row r="57" spans="1:10" ht="14.45" customHeight="1">
      <c r="C57" s="115"/>
      <c r="D57" s="115"/>
      <c r="E57" s="209"/>
      <c r="F57" s="115"/>
      <c r="G57" s="115"/>
      <c r="H57" s="115"/>
      <c r="I57" s="115"/>
      <c r="J57" s="115"/>
    </row>
    <row r="58" spans="1:10" ht="14.45" customHeight="1"/>
    <row r="59" spans="1:10"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18.xml><?xml version="1.0" encoding="utf-8"?>
<worksheet xmlns="http://schemas.openxmlformats.org/spreadsheetml/2006/main" xmlns:r="http://schemas.openxmlformats.org/officeDocument/2006/relationships">
  <sheetPr codeName="Sheet17"/>
  <dimension ref="A1:I58"/>
  <sheetViews>
    <sheetView showGridLines="0" showZeros="0" workbookViewId="0"/>
  </sheetViews>
  <sheetFormatPr defaultColWidth="15.83203125" defaultRowHeight="12"/>
  <cols>
    <col min="1" max="1" width="30.83203125" style="1" customWidth="1"/>
    <col min="2" max="2" width="15.33203125" style="1" customWidth="1"/>
    <col min="3" max="3" width="7" style="1" customWidth="1"/>
    <col min="4" max="4" width="15" style="1" customWidth="1"/>
    <col min="5" max="5" width="7.83203125" style="1" customWidth="1"/>
    <col min="6" max="6" width="8.83203125" style="1" customWidth="1"/>
    <col min="7" max="7" width="14.5" style="1" customWidth="1"/>
    <col min="8" max="8" width="7.83203125" style="1" customWidth="1"/>
    <col min="9" max="9" width="8.83203125" style="1" customWidth="1"/>
    <col min="10" max="16384" width="15.83203125" style="1"/>
  </cols>
  <sheetData>
    <row r="1" spans="1:9" ht="6.95" customHeight="1">
      <c r="A1" s="3"/>
      <c r="B1" s="4"/>
      <c r="C1" s="4"/>
      <c r="D1" s="4"/>
      <c r="E1" s="4"/>
      <c r="F1" s="4"/>
      <c r="G1" s="4"/>
      <c r="H1" s="4"/>
      <c r="I1" s="4"/>
    </row>
    <row r="2" spans="1:9" ht="15.95" customHeight="1">
      <c r="A2" s="159"/>
      <c r="B2" s="5" t="s">
        <v>474</v>
      </c>
      <c r="C2" s="6"/>
      <c r="D2" s="6"/>
      <c r="E2" s="6"/>
      <c r="F2" s="6"/>
      <c r="G2" s="106"/>
      <c r="H2" s="106"/>
      <c r="I2" s="182" t="s">
        <v>434</v>
      </c>
    </row>
    <row r="3" spans="1:9" ht="15.95" customHeight="1">
      <c r="A3" s="162"/>
      <c r="B3" s="7" t="str">
        <f>OPYEAR</f>
        <v>OPERATING FUND 2014/2015 BUDGET</v>
      </c>
      <c r="C3" s="8"/>
      <c r="D3" s="8"/>
      <c r="E3" s="8"/>
      <c r="F3" s="8"/>
      <c r="G3" s="108"/>
      <c r="H3" s="108"/>
      <c r="I3" s="101"/>
    </row>
    <row r="4" spans="1:9" ht="15.95" customHeight="1">
      <c r="B4" s="4"/>
      <c r="C4" s="4"/>
      <c r="D4" s="4"/>
      <c r="E4" s="4"/>
      <c r="F4" s="4"/>
      <c r="G4" s="4"/>
      <c r="H4" s="4"/>
      <c r="I4" s="4"/>
    </row>
    <row r="5" spans="1:9" ht="15.95" customHeight="1">
      <c r="B5" s="164" t="s">
        <v>441</v>
      </c>
      <c r="C5" s="192"/>
      <c r="D5" s="193"/>
      <c r="E5" s="193"/>
      <c r="F5" s="193"/>
      <c r="G5" s="193"/>
      <c r="H5" s="193"/>
      <c r="I5" s="194"/>
    </row>
    <row r="6" spans="1:9" ht="15.95" customHeight="1">
      <c r="B6" s="351" t="s">
        <v>112</v>
      </c>
      <c r="C6" s="352"/>
      <c r="D6" s="351" t="s">
        <v>62</v>
      </c>
      <c r="E6" s="352"/>
      <c r="F6" s="353"/>
      <c r="G6" s="351" t="s">
        <v>179</v>
      </c>
      <c r="H6" s="352"/>
      <c r="I6" s="353"/>
    </row>
    <row r="7" spans="1:9" ht="15.95" customHeight="1">
      <c r="B7" s="354" t="s">
        <v>457</v>
      </c>
      <c r="C7" s="355"/>
      <c r="D7" s="354" t="s">
        <v>531</v>
      </c>
      <c r="E7" s="355"/>
      <c r="F7" s="356"/>
      <c r="G7" s="354" t="s">
        <v>139</v>
      </c>
      <c r="H7" s="355"/>
      <c r="I7" s="356"/>
    </row>
    <row r="8" spans="1:9" ht="15.95" customHeight="1">
      <c r="A8" s="102"/>
      <c r="B8" s="168"/>
      <c r="C8" s="167"/>
      <c r="D8" s="168"/>
      <c r="E8" s="167"/>
      <c r="F8" s="167" t="s">
        <v>60</v>
      </c>
      <c r="G8" s="168"/>
      <c r="H8" s="167"/>
      <c r="I8" s="167" t="s">
        <v>60</v>
      </c>
    </row>
    <row r="9" spans="1:9" ht="15.95" customHeight="1">
      <c r="A9" s="35" t="s">
        <v>81</v>
      </c>
      <c r="B9" s="113" t="s">
        <v>82</v>
      </c>
      <c r="C9" s="113" t="s">
        <v>83</v>
      </c>
      <c r="D9" s="113" t="s">
        <v>82</v>
      </c>
      <c r="E9" s="113" t="s">
        <v>83</v>
      </c>
      <c r="F9" s="113" t="s">
        <v>84</v>
      </c>
      <c r="G9" s="113" t="s">
        <v>82</v>
      </c>
      <c r="H9" s="113" t="s">
        <v>83</v>
      </c>
      <c r="I9" s="113" t="s">
        <v>84</v>
      </c>
    </row>
    <row r="10" spans="1:9" ht="5.0999999999999996" customHeight="1">
      <c r="A10" s="37"/>
    </row>
    <row r="11" spans="1:9" ht="14.1" customHeight="1">
      <c r="A11" s="357" t="s">
        <v>230</v>
      </c>
      <c r="B11" s="358">
        <v>232510</v>
      </c>
      <c r="C11" s="359">
        <f>B11/'- 3 -'!$D11*100</f>
        <v>1.3385449715072013</v>
      </c>
      <c r="D11" s="358">
        <v>603449</v>
      </c>
      <c r="E11" s="359">
        <f>D11/'- 3 -'!$D11*100</f>
        <v>3.4740167068558301</v>
      </c>
      <c r="F11" s="358">
        <f>D11/'- 7 -'!$F11</f>
        <v>390.20303912059489</v>
      </c>
      <c r="G11" s="358">
        <v>888836</v>
      </c>
      <c r="H11" s="359">
        <f>G11/'- 3 -'!$D11*100</f>
        <v>5.1169711336913455</v>
      </c>
      <c r="I11" s="358">
        <f>G11/'- 7 -'!$F11</f>
        <v>574.74038150662784</v>
      </c>
    </row>
    <row r="12" spans="1:9" ht="14.1" customHeight="1">
      <c r="A12" s="23" t="s">
        <v>231</v>
      </c>
      <c r="B12" s="24">
        <v>0</v>
      </c>
      <c r="C12" s="350">
        <f>B12/'- 3 -'!$D12*100</f>
        <v>0</v>
      </c>
      <c r="D12" s="24">
        <v>2296078</v>
      </c>
      <c r="E12" s="350">
        <f>D12/'- 3 -'!$D12*100</f>
        <v>7.2976747874378107</v>
      </c>
      <c r="F12" s="24">
        <f>D12/'- 7 -'!$F12</f>
        <v>1050.0292681142189</v>
      </c>
      <c r="G12" s="24">
        <v>1218299</v>
      </c>
      <c r="H12" s="350">
        <f>G12/'- 3 -'!$D12*100</f>
        <v>3.87214628416835</v>
      </c>
      <c r="I12" s="24">
        <f>G12/'- 7 -'!$F12</f>
        <v>557.14553569795305</v>
      </c>
    </row>
    <row r="13" spans="1:9" ht="14.1" customHeight="1">
      <c r="A13" s="357" t="s">
        <v>232</v>
      </c>
      <c r="B13" s="358">
        <v>2419000</v>
      </c>
      <c r="C13" s="359">
        <f>B13/'- 3 -'!$D13*100</f>
        <v>2.7100938953986664</v>
      </c>
      <c r="D13" s="358">
        <v>7663200</v>
      </c>
      <c r="E13" s="359">
        <f>D13/'- 3 -'!$D13*100</f>
        <v>8.5853623560227597</v>
      </c>
      <c r="F13" s="358">
        <f>D13/'- 7 -'!$F13</f>
        <v>943.68224734099874</v>
      </c>
      <c r="G13" s="358">
        <v>4627800</v>
      </c>
      <c r="H13" s="359">
        <f>G13/'- 3 -'!$D13*100</f>
        <v>5.1846930670218878</v>
      </c>
      <c r="I13" s="358">
        <f>G13/'- 7 -'!$F13</f>
        <v>569.88891119175719</v>
      </c>
    </row>
    <row r="14" spans="1:9" ht="14.1" customHeight="1">
      <c r="A14" s="23" t="s">
        <v>566</v>
      </c>
      <c r="B14" s="24">
        <v>1087538</v>
      </c>
      <c r="C14" s="350">
        <f>B14/'- 3 -'!$D14*100</f>
        <v>1.361024493880522</v>
      </c>
      <c r="D14" s="24">
        <v>3155774</v>
      </c>
      <c r="E14" s="350">
        <f>D14/'- 3 -'!$D14*100</f>
        <v>3.9493661013696171</v>
      </c>
      <c r="F14" s="24">
        <f>D14/'- 7 -'!$F14</f>
        <v>593.74863593603015</v>
      </c>
      <c r="G14" s="24">
        <v>3048661</v>
      </c>
      <c r="H14" s="350">
        <f>G14/'- 3 -'!$D14*100</f>
        <v>3.8153170689560145</v>
      </c>
      <c r="I14" s="24">
        <f>G14/'- 7 -'!$F14</f>
        <v>573.59567262464725</v>
      </c>
    </row>
    <row r="15" spans="1:9" ht="14.1" customHeight="1">
      <c r="A15" s="357" t="s">
        <v>233</v>
      </c>
      <c r="B15" s="358">
        <v>0</v>
      </c>
      <c r="C15" s="359">
        <f>B15/'- 3 -'!$D15*100</f>
        <v>0</v>
      </c>
      <c r="D15" s="358">
        <v>1456000</v>
      </c>
      <c r="E15" s="359">
        <f>D15/'- 3 -'!$D15*100</f>
        <v>7.3432984987291965</v>
      </c>
      <c r="F15" s="358">
        <f>D15/'- 7 -'!$F15</f>
        <v>1002.4096385542168</v>
      </c>
      <c r="G15" s="358">
        <v>955750</v>
      </c>
      <c r="H15" s="359">
        <f>G15/'- 3 -'!$D15*100</f>
        <v>4.8203005083519423</v>
      </c>
      <c r="I15" s="358">
        <f>G15/'- 7 -'!$F15</f>
        <v>658.00344234079171</v>
      </c>
    </row>
    <row r="16" spans="1:9" ht="14.1" customHeight="1">
      <c r="A16" s="23" t="s">
        <v>234</v>
      </c>
      <c r="B16" s="24">
        <v>165797</v>
      </c>
      <c r="C16" s="350">
        <f>B16/'- 3 -'!$D16*100</f>
        <v>1.2298035601751249</v>
      </c>
      <c r="D16" s="24">
        <v>1022338</v>
      </c>
      <c r="E16" s="350">
        <f>D16/'- 3 -'!$D16*100</f>
        <v>7.5832187078313646</v>
      </c>
      <c r="F16" s="24">
        <f>D16/'- 7 -'!$F16</f>
        <v>1062.7214137214137</v>
      </c>
      <c r="G16" s="24">
        <v>739170</v>
      </c>
      <c r="H16" s="350">
        <f>G16/'- 3 -'!$D16*100</f>
        <v>5.4828127021275836</v>
      </c>
      <c r="I16" s="24">
        <f>G16/'- 7 -'!$F16</f>
        <v>768.36798336798336</v>
      </c>
    </row>
    <row r="17" spans="1:9" ht="14.1" customHeight="1">
      <c r="A17" s="357" t="s">
        <v>235</v>
      </c>
      <c r="B17" s="358">
        <v>187240</v>
      </c>
      <c r="C17" s="359">
        <f>B17/'- 3 -'!$D17*100</f>
        <v>1.0909733318665829</v>
      </c>
      <c r="D17" s="358">
        <v>760960</v>
      </c>
      <c r="E17" s="359">
        <f>D17/'- 3 -'!$D17*100</f>
        <v>4.4338125753962556</v>
      </c>
      <c r="F17" s="358">
        <f>D17/'- 7 -'!$F17</f>
        <v>568.94205607476636</v>
      </c>
      <c r="G17" s="358">
        <v>864020</v>
      </c>
      <c r="H17" s="359">
        <f>G17/'- 3 -'!$D17*100</f>
        <v>5.0343023830344213</v>
      </c>
      <c r="I17" s="358">
        <f>G17/'- 7 -'!$F17</f>
        <v>645.99626168224302</v>
      </c>
    </row>
    <row r="18" spans="1:9" ht="14.1" customHeight="1">
      <c r="A18" s="23" t="s">
        <v>236</v>
      </c>
      <c r="B18" s="24">
        <v>0</v>
      </c>
      <c r="C18" s="350">
        <f>B18/'- 3 -'!$D18*100</f>
        <v>0</v>
      </c>
      <c r="D18" s="24">
        <v>10909419</v>
      </c>
      <c r="E18" s="350">
        <f>D18/'- 3 -'!$D18*100</f>
        <v>8.8138863962682468</v>
      </c>
      <c r="F18" s="24">
        <f>D18/'- 7 -'!$F18</f>
        <v>1767.9386455345423</v>
      </c>
      <c r="G18" s="24">
        <v>3212422</v>
      </c>
      <c r="H18" s="350">
        <f>G18/'- 3 -'!$D18*100</f>
        <v>2.5953648461822603</v>
      </c>
      <c r="I18" s="24">
        <f>G18/'- 7 -'!$F18</f>
        <v>520.59280146498782</v>
      </c>
    </row>
    <row r="19" spans="1:9" ht="14.1" customHeight="1">
      <c r="A19" s="357" t="s">
        <v>237</v>
      </c>
      <c r="B19" s="358">
        <v>1695850</v>
      </c>
      <c r="C19" s="359">
        <f>B19/'- 3 -'!$D19*100</f>
        <v>3.9030170965428548</v>
      </c>
      <c r="D19" s="358">
        <v>2388950</v>
      </c>
      <c r="E19" s="359">
        <f>D19/'- 3 -'!$D19*100</f>
        <v>5.4981942346233765</v>
      </c>
      <c r="F19" s="358">
        <f>D19/'- 7 -'!$F19</f>
        <v>585.59872533398698</v>
      </c>
      <c r="G19" s="358">
        <v>2390100</v>
      </c>
      <c r="H19" s="359">
        <f>G19/'- 3 -'!$D19*100</f>
        <v>5.5008409720476905</v>
      </c>
      <c r="I19" s="358">
        <f>G19/'- 7 -'!$F19</f>
        <v>585.88062262532173</v>
      </c>
    </row>
    <row r="20" spans="1:9" ht="14.1" customHeight="1">
      <c r="A20" s="23" t="s">
        <v>238</v>
      </c>
      <c r="B20" s="24">
        <v>629600</v>
      </c>
      <c r="C20" s="350">
        <f>B20/'- 3 -'!$D20*100</f>
        <v>0.83137901164141892</v>
      </c>
      <c r="D20" s="24">
        <v>3928300</v>
      </c>
      <c r="E20" s="350">
        <f>D20/'- 3 -'!$D20*100</f>
        <v>5.1872715556400673</v>
      </c>
      <c r="F20" s="24">
        <f>D20/'- 7 -'!$F20</f>
        <v>519.68514353750493</v>
      </c>
      <c r="G20" s="24">
        <v>3396000</v>
      </c>
      <c r="H20" s="350">
        <f>G20/'- 3 -'!$D20*100</f>
        <v>4.4843759903657219</v>
      </c>
      <c r="I20" s="24">
        <f>G20/'- 7 -'!$F20</f>
        <v>449.26577589628261</v>
      </c>
    </row>
    <row r="21" spans="1:9" ht="14.1" customHeight="1">
      <c r="A21" s="357" t="s">
        <v>239</v>
      </c>
      <c r="B21" s="358">
        <v>114500</v>
      </c>
      <c r="C21" s="359">
        <f>B21/'- 3 -'!$D21*100</f>
        <v>0.33204089676677423</v>
      </c>
      <c r="D21" s="358">
        <v>1924684</v>
      </c>
      <c r="E21" s="359">
        <f>D21/'- 3 -'!$D21*100</f>
        <v>5.5814305794992327</v>
      </c>
      <c r="F21" s="358">
        <f>D21/'- 7 -'!$F21</f>
        <v>723.83753290710797</v>
      </c>
      <c r="G21" s="358">
        <v>2108000</v>
      </c>
      <c r="H21" s="359">
        <f>G21/'- 3 -'!$D21*100</f>
        <v>6.1130324051035814</v>
      </c>
      <c r="I21" s="358">
        <f>G21/'- 7 -'!$F21</f>
        <v>792.77924031590828</v>
      </c>
    </row>
    <row r="22" spans="1:9" ht="14.1" customHeight="1">
      <c r="A22" s="23" t="s">
        <v>240</v>
      </c>
      <c r="B22" s="24">
        <v>1464830</v>
      </c>
      <c r="C22" s="350">
        <f>B22/'- 3 -'!$D22*100</f>
        <v>7.5492890501629368</v>
      </c>
      <c r="D22" s="24">
        <v>1001799</v>
      </c>
      <c r="E22" s="350">
        <f>D22/'- 3 -'!$D22*100</f>
        <v>5.1629678673731281</v>
      </c>
      <c r="F22" s="24">
        <f>D22/'- 7 -'!$F22</f>
        <v>641.76745675848815</v>
      </c>
      <c r="G22" s="24">
        <v>1257076</v>
      </c>
      <c r="H22" s="350">
        <f>G22/'- 3 -'!$D22*100</f>
        <v>6.4785880150069444</v>
      </c>
      <c r="I22" s="24">
        <f>G22/'- 7 -'!$F22</f>
        <v>805.30172966047405</v>
      </c>
    </row>
    <row r="23" spans="1:9" ht="14.1" customHeight="1">
      <c r="A23" s="357" t="s">
        <v>241</v>
      </c>
      <c r="B23" s="358">
        <v>0</v>
      </c>
      <c r="C23" s="359">
        <f>B23/'- 3 -'!$D23*100</f>
        <v>0</v>
      </c>
      <c r="D23" s="358">
        <v>1561000</v>
      </c>
      <c r="E23" s="359">
        <f>D23/'- 3 -'!$D23*100</f>
        <v>9.5802841312198197</v>
      </c>
      <c r="F23" s="358">
        <f>D23/'- 7 -'!$F23</f>
        <v>1360.3485838779957</v>
      </c>
      <c r="G23" s="358">
        <v>610000</v>
      </c>
      <c r="H23" s="359">
        <f>G23/'- 3 -'!$D23*100</f>
        <v>3.7437369122639912</v>
      </c>
      <c r="I23" s="358">
        <f>G23/'- 7 -'!$F23</f>
        <v>531.59041394335509</v>
      </c>
    </row>
    <row r="24" spans="1:9" ht="14.1" customHeight="1">
      <c r="A24" s="23" t="s">
        <v>242</v>
      </c>
      <c r="B24" s="24">
        <v>400105</v>
      </c>
      <c r="C24" s="350">
        <f>B24/'- 3 -'!$D24*100</f>
        <v>0.73643235139837659</v>
      </c>
      <c r="D24" s="24">
        <v>4000080</v>
      </c>
      <c r="E24" s="350">
        <f>D24/'- 3 -'!$D24*100</f>
        <v>7.3625381341938203</v>
      </c>
      <c r="F24" s="24">
        <f>D24/'- 7 -'!$F24</f>
        <v>987.91800444554212</v>
      </c>
      <c r="G24" s="24">
        <v>2376400</v>
      </c>
      <c r="H24" s="350">
        <f>G24/'- 3 -'!$D24*100</f>
        <v>4.3739964255960366</v>
      </c>
      <c r="I24" s="24">
        <f>G24/'- 7 -'!$F24</f>
        <v>586.9103482341319</v>
      </c>
    </row>
    <row r="25" spans="1:9" ht="14.1" customHeight="1">
      <c r="A25" s="357" t="s">
        <v>243</v>
      </c>
      <c r="B25" s="358">
        <v>8113744</v>
      </c>
      <c r="C25" s="359">
        <f>B25/'- 3 -'!$D25*100</f>
        <v>5.1028100559774039</v>
      </c>
      <c r="D25" s="358">
        <v>8957757</v>
      </c>
      <c r="E25" s="359">
        <f>D25/'- 3 -'!$D25*100</f>
        <v>5.6336177846629099</v>
      </c>
      <c r="F25" s="358">
        <f>D25/'- 7 -'!$F25</f>
        <v>651.71022189887231</v>
      </c>
      <c r="G25" s="358">
        <v>6616018</v>
      </c>
      <c r="H25" s="359">
        <f>G25/'- 3 -'!$D25*100</f>
        <v>4.1608760617696969</v>
      </c>
      <c r="I25" s="358">
        <f>G25/'- 7 -'!$F25</f>
        <v>481.33997817388143</v>
      </c>
    </row>
    <row r="26" spans="1:9" ht="14.1" customHeight="1">
      <c r="A26" s="23" t="s">
        <v>244</v>
      </c>
      <c r="B26" s="24">
        <v>254350</v>
      </c>
      <c r="C26" s="350">
        <f>B26/'- 3 -'!$D26*100</f>
        <v>0.653541064578953</v>
      </c>
      <c r="D26" s="24">
        <v>1543573</v>
      </c>
      <c r="E26" s="350">
        <f>D26/'- 3 -'!$D26*100</f>
        <v>3.9661424874202016</v>
      </c>
      <c r="F26" s="24">
        <f>D26/'- 7 -'!$F26</f>
        <v>499.86172279792748</v>
      </c>
      <c r="G26" s="24">
        <v>1951021</v>
      </c>
      <c r="H26" s="350">
        <f>G26/'- 3 -'!$D26*100</f>
        <v>5.0130620851421019</v>
      </c>
      <c r="I26" s="24">
        <f>G26/'- 7 -'!$F26</f>
        <v>631.80731865284974</v>
      </c>
    </row>
    <row r="27" spans="1:9" ht="14.1" customHeight="1">
      <c r="A27" s="357" t="s">
        <v>245</v>
      </c>
      <c r="B27" s="358">
        <v>1521517</v>
      </c>
      <c r="C27" s="359">
        <f>B27/'- 3 -'!$D27*100</f>
        <v>3.8922141672608102</v>
      </c>
      <c r="D27" s="358">
        <v>2639921</v>
      </c>
      <c r="E27" s="359">
        <f>D27/'- 3 -'!$D27*100</f>
        <v>6.7532192651474308</v>
      </c>
      <c r="F27" s="358">
        <f>D27/'- 7 -'!$F27</f>
        <v>913.46747404844291</v>
      </c>
      <c r="G27" s="358">
        <v>1810096</v>
      </c>
      <c r="H27" s="359">
        <f>G27/'- 3 -'!$D27*100</f>
        <v>4.6304321905717272</v>
      </c>
      <c r="I27" s="358">
        <f>G27/'- 7 -'!$F27</f>
        <v>626.33079584775089</v>
      </c>
    </row>
    <row r="28" spans="1:9" ht="14.1" customHeight="1">
      <c r="A28" s="23" t="s">
        <v>246</v>
      </c>
      <c r="B28" s="24">
        <v>0</v>
      </c>
      <c r="C28" s="350">
        <f>B28/'- 3 -'!$D28*100</f>
        <v>0</v>
      </c>
      <c r="D28" s="24">
        <v>1728401</v>
      </c>
      <c r="E28" s="350">
        <f>D28/'- 3 -'!$D28*100</f>
        <v>6.3195905475155678</v>
      </c>
      <c r="F28" s="24">
        <f>D28/'- 7 -'!$F28</f>
        <v>871.82900378310217</v>
      </c>
      <c r="G28" s="24">
        <v>919736</v>
      </c>
      <c r="H28" s="350">
        <f>G28/'- 3 -'!$D28*100</f>
        <v>3.362850942466348</v>
      </c>
      <c r="I28" s="24">
        <f>G28/'- 7 -'!$F28</f>
        <v>463.92736443883985</v>
      </c>
    </row>
    <row r="29" spans="1:9" ht="14.1" customHeight="1">
      <c r="A29" s="357" t="s">
        <v>247</v>
      </c>
      <c r="B29" s="358">
        <v>280000</v>
      </c>
      <c r="C29" s="359">
        <f>B29/'- 3 -'!$D29*100</f>
        <v>0.19037161818078324</v>
      </c>
      <c r="D29" s="358">
        <v>12432962</v>
      </c>
      <c r="E29" s="359">
        <f>D29/'- 3 -'!$D29*100</f>
        <v>8.4531539097149544</v>
      </c>
      <c r="F29" s="358">
        <f>D29/'- 7 -'!$F29</f>
        <v>1030.8827992205961</v>
      </c>
      <c r="G29" s="358">
        <v>9784306</v>
      </c>
      <c r="H29" s="359">
        <f>G29/'- 3 -'!$D29*100</f>
        <v>6.6523363071283814</v>
      </c>
      <c r="I29" s="358">
        <f>G29/'- 7 -'!$F29</f>
        <v>811.26868703619255</v>
      </c>
    </row>
    <row r="30" spans="1:9" ht="14.1" customHeight="1">
      <c r="A30" s="23" t="s">
        <v>248</v>
      </c>
      <c r="B30" s="24">
        <v>0</v>
      </c>
      <c r="C30" s="350">
        <f>B30/'- 3 -'!$D30*100</f>
        <v>0</v>
      </c>
      <c r="D30" s="24">
        <v>414808</v>
      </c>
      <c r="E30" s="350">
        <f>D30/'- 3 -'!$D30*100</f>
        <v>3.095488531876462</v>
      </c>
      <c r="F30" s="24">
        <f>D30/'- 7 -'!$F30</f>
        <v>404.49341784495368</v>
      </c>
      <c r="G30" s="24">
        <v>523720</v>
      </c>
      <c r="H30" s="350">
        <f>G30/'- 3 -'!$D30*100</f>
        <v>3.908240086773497</v>
      </c>
      <c r="I30" s="24">
        <f>G30/'- 7 -'!$F30</f>
        <v>510.69722086786931</v>
      </c>
    </row>
    <row r="31" spans="1:9" ht="14.1" customHeight="1">
      <c r="A31" s="357" t="s">
        <v>249</v>
      </c>
      <c r="B31" s="358">
        <v>2190961</v>
      </c>
      <c r="C31" s="359">
        <f>B31/'- 3 -'!$D31*100</f>
        <v>6.264245980932909</v>
      </c>
      <c r="D31" s="358">
        <v>2141137</v>
      </c>
      <c r="E31" s="359">
        <f>D31/'- 3 -'!$D31*100</f>
        <v>6.1217926046500803</v>
      </c>
      <c r="F31" s="358">
        <f>D31/'- 7 -'!$F31</f>
        <v>670.99247884675651</v>
      </c>
      <c r="G31" s="358">
        <v>1062844</v>
      </c>
      <c r="H31" s="359">
        <f>G31/'- 3 -'!$D31*100</f>
        <v>3.0388109397468308</v>
      </c>
      <c r="I31" s="358">
        <f>G31/'- 7 -'!$F31</f>
        <v>333.07552491382012</v>
      </c>
    </row>
    <row r="32" spans="1:9" ht="14.1" customHeight="1">
      <c r="A32" s="23" t="s">
        <v>250</v>
      </c>
      <c r="B32" s="24">
        <v>0</v>
      </c>
      <c r="C32" s="350">
        <f>B32/'- 3 -'!$D32*100</f>
        <v>0</v>
      </c>
      <c r="D32" s="24">
        <v>1072300</v>
      </c>
      <c r="E32" s="350">
        <f>D32/'- 3 -'!$D32*100</f>
        <v>4.0285257038574143</v>
      </c>
      <c r="F32" s="24">
        <f>D32/'- 7 -'!$F32</f>
        <v>509.76943189921559</v>
      </c>
      <c r="G32" s="24">
        <v>2114053</v>
      </c>
      <c r="H32" s="350">
        <f>G32/'- 3 -'!$D32*100</f>
        <v>7.9422893311730647</v>
      </c>
      <c r="I32" s="24">
        <f>G32/'- 7 -'!$F32</f>
        <v>1005.0168766341811</v>
      </c>
    </row>
    <row r="33" spans="1:9" ht="14.1" customHeight="1">
      <c r="A33" s="357" t="s">
        <v>251</v>
      </c>
      <c r="B33" s="358">
        <v>0</v>
      </c>
      <c r="C33" s="359">
        <f>B33/'- 3 -'!$D33*100</f>
        <v>0</v>
      </c>
      <c r="D33" s="358">
        <v>1612400</v>
      </c>
      <c r="E33" s="359">
        <f>D33/'- 3 -'!$D33*100</f>
        <v>5.9496565479210073</v>
      </c>
      <c r="F33" s="358">
        <f>D33/'- 7 -'!$F33</f>
        <v>808.82869325307252</v>
      </c>
      <c r="G33" s="358">
        <v>1040900</v>
      </c>
      <c r="H33" s="359">
        <f>G33/'- 3 -'!$D33*100</f>
        <v>3.8408567977741108</v>
      </c>
      <c r="I33" s="358">
        <f>G33/'- 7 -'!$F33</f>
        <v>522.14697767745167</v>
      </c>
    </row>
    <row r="34" spans="1:9" ht="14.1" customHeight="1">
      <c r="A34" s="23" t="s">
        <v>252</v>
      </c>
      <c r="B34" s="24">
        <v>372131</v>
      </c>
      <c r="C34" s="350">
        <f>B34/'- 3 -'!$D34*100</f>
        <v>1.4131698815660263</v>
      </c>
      <c r="D34" s="24">
        <v>1113928</v>
      </c>
      <c r="E34" s="350">
        <f>D34/'- 3 -'!$D34*100</f>
        <v>4.2301487912403983</v>
      </c>
      <c r="F34" s="24">
        <f>D34/'- 7 -'!$F34</f>
        <v>561.03147821707375</v>
      </c>
      <c r="G34" s="24">
        <v>1362629</v>
      </c>
      <c r="H34" s="350">
        <f>G34/'- 3 -'!$D34*100</f>
        <v>5.174592448757112</v>
      </c>
      <c r="I34" s="24">
        <f>G34/'- 7 -'!$F34</f>
        <v>686.29010324855199</v>
      </c>
    </row>
    <row r="35" spans="1:9" ht="14.1" customHeight="1">
      <c r="A35" s="357" t="s">
        <v>253</v>
      </c>
      <c r="B35" s="358">
        <v>3030255</v>
      </c>
      <c r="C35" s="359">
        <f>B35/'- 3 -'!$D35*100</f>
        <v>1.7777585219774357</v>
      </c>
      <c r="D35" s="358">
        <v>13502715</v>
      </c>
      <c r="E35" s="359">
        <f>D35/'- 3 -'!$D35*100</f>
        <v>7.9216325560332548</v>
      </c>
      <c r="F35" s="358">
        <f>D35/'- 7 -'!$F35</f>
        <v>871.31154416983929</v>
      </c>
      <c r="G35" s="358">
        <v>9719857</v>
      </c>
      <c r="H35" s="359">
        <f>G35/'- 3 -'!$D35*100</f>
        <v>5.7023447248340586</v>
      </c>
      <c r="I35" s="358">
        <f>G35/'- 7 -'!$F35</f>
        <v>627.20894366651612</v>
      </c>
    </row>
    <row r="36" spans="1:9" ht="14.1" customHeight="1">
      <c r="A36" s="23" t="s">
        <v>254</v>
      </c>
      <c r="B36" s="24">
        <v>10000</v>
      </c>
      <c r="C36" s="350">
        <f>B36/'- 3 -'!$D36*100</f>
        <v>4.5205759665839021E-2</v>
      </c>
      <c r="D36" s="24">
        <v>1064100</v>
      </c>
      <c r="E36" s="350">
        <f>D36/'- 3 -'!$D36*100</f>
        <v>4.8103448860419302</v>
      </c>
      <c r="F36" s="24">
        <f>D36/'- 7 -'!$F36</f>
        <v>645.49590536851679</v>
      </c>
      <c r="G36" s="24">
        <v>880035</v>
      </c>
      <c r="H36" s="350">
        <f>G36/'- 3 -'!$D36*100</f>
        <v>3.9782650707526646</v>
      </c>
      <c r="I36" s="24">
        <f>G36/'- 7 -'!$F36</f>
        <v>533.83985441310278</v>
      </c>
    </row>
    <row r="37" spans="1:9" ht="14.1" customHeight="1">
      <c r="A37" s="357" t="s">
        <v>255</v>
      </c>
      <c r="B37" s="358">
        <v>0</v>
      </c>
      <c r="C37" s="359">
        <f>B37/'- 3 -'!$D37*100</f>
        <v>0</v>
      </c>
      <c r="D37" s="358">
        <v>3693326</v>
      </c>
      <c r="E37" s="359">
        <f>D37/'- 3 -'!$D37*100</f>
        <v>8.2620214328297443</v>
      </c>
      <c r="F37" s="358">
        <f>D37/'- 7 -'!$F37</f>
        <v>943.73987479238531</v>
      </c>
      <c r="G37" s="358">
        <v>2128330</v>
      </c>
      <c r="H37" s="359">
        <f>G37/'- 3 -'!$D37*100</f>
        <v>4.7611036978957531</v>
      </c>
      <c r="I37" s="358">
        <f>G37/'- 7 -'!$F37</f>
        <v>543.84310719304972</v>
      </c>
    </row>
    <row r="38" spans="1:9" ht="14.1" customHeight="1">
      <c r="A38" s="23" t="s">
        <v>256</v>
      </c>
      <c r="B38" s="24">
        <v>769940</v>
      </c>
      <c r="C38" s="350">
        <f>B38/'- 3 -'!$D38*100</f>
        <v>0.6297271298305317</v>
      </c>
      <c r="D38" s="24">
        <v>10854040</v>
      </c>
      <c r="E38" s="350">
        <f>D38/'- 3 -'!$D38*100</f>
        <v>8.8774235086705264</v>
      </c>
      <c r="F38" s="24">
        <f>D38/'- 7 -'!$F38</f>
        <v>1011.9845228660669</v>
      </c>
      <c r="G38" s="24">
        <v>3515830</v>
      </c>
      <c r="H38" s="350">
        <f>G38/'- 3 -'!$D38*100</f>
        <v>2.8755663231837265</v>
      </c>
      <c r="I38" s="24">
        <f>G38/'- 7 -'!$F38</f>
        <v>327.8010349167871</v>
      </c>
    </row>
    <row r="39" spans="1:9" ht="14.1" customHeight="1">
      <c r="A39" s="357" t="s">
        <v>257</v>
      </c>
      <c r="B39" s="358">
        <v>0</v>
      </c>
      <c r="C39" s="359">
        <f>B39/'- 3 -'!$D39*100</f>
        <v>0</v>
      </c>
      <c r="D39" s="358">
        <v>1344400</v>
      </c>
      <c r="E39" s="359">
        <f>D39/'- 3 -'!$D39*100</f>
        <v>6.4454662923783168</v>
      </c>
      <c r="F39" s="358">
        <f>D39/'- 7 -'!$F39</f>
        <v>867.07513705256372</v>
      </c>
      <c r="G39" s="358">
        <v>786900</v>
      </c>
      <c r="H39" s="359">
        <f>G39/'- 3 -'!$D39*100</f>
        <v>3.7726401558111409</v>
      </c>
      <c r="I39" s="358">
        <f>G39/'- 7 -'!$F39</f>
        <v>507.51370525636889</v>
      </c>
    </row>
    <row r="40" spans="1:9" ht="14.1" customHeight="1">
      <c r="A40" s="23" t="s">
        <v>258</v>
      </c>
      <c r="B40" s="24">
        <v>252579</v>
      </c>
      <c r="C40" s="350">
        <f>B40/'- 3 -'!$D40*100</f>
        <v>0.25444547716437493</v>
      </c>
      <c r="D40" s="24">
        <v>10423194</v>
      </c>
      <c r="E40" s="350">
        <f>D40/'- 3 -'!$D40*100</f>
        <v>10.500218034384687</v>
      </c>
      <c r="F40" s="24">
        <f>D40/'- 7 -'!$F40</f>
        <v>1312.597706302442</v>
      </c>
      <c r="G40" s="24">
        <v>5422544</v>
      </c>
      <c r="H40" s="350">
        <f>G40/'- 3 -'!$D40*100</f>
        <v>5.4626148473341747</v>
      </c>
      <c r="I40" s="24">
        <f>G40/'- 7 -'!$F40</f>
        <v>682.86350774283483</v>
      </c>
    </row>
    <row r="41" spans="1:9" ht="14.1" customHeight="1">
      <c r="A41" s="357" t="s">
        <v>259</v>
      </c>
      <c r="B41" s="358">
        <v>646429</v>
      </c>
      <c r="C41" s="359">
        <f>B41/'- 3 -'!$D41*100</f>
        <v>1.0885638664134747</v>
      </c>
      <c r="D41" s="358">
        <v>5515254</v>
      </c>
      <c r="E41" s="359">
        <f>D41/'- 3 -'!$D41*100</f>
        <v>9.2874951750190373</v>
      </c>
      <c r="F41" s="358">
        <f>D41/'- 7 -'!$F41</f>
        <v>1257.4678522571819</v>
      </c>
      <c r="G41" s="358">
        <v>2417840</v>
      </c>
      <c r="H41" s="359">
        <f>G41/'- 3 -'!$D41*100</f>
        <v>4.0715581429192618</v>
      </c>
      <c r="I41" s="358">
        <f>G41/'- 7 -'!$F41</f>
        <v>551.26310989512081</v>
      </c>
    </row>
    <row r="42" spans="1:9" ht="14.1" customHeight="1">
      <c r="A42" s="23" t="s">
        <v>260</v>
      </c>
      <c r="B42" s="24">
        <v>0</v>
      </c>
      <c r="C42" s="350">
        <f>B42/'- 3 -'!$D42*100</f>
        <v>0</v>
      </c>
      <c r="D42" s="24">
        <v>1845473</v>
      </c>
      <c r="E42" s="350">
        <f>D42/'- 3 -'!$D42*100</f>
        <v>9.0632637341762585</v>
      </c>
      <c r="F42" s="24">
        <f>D42/'- 7 -'!$F42</f>
        <v>1316.7841598287548</v>
      </c>
      <c r="G42" s="24">
        <v>836291</v>
      </c>
      <c r="H42" s="350">
        <f>G42/'- 3 -'!$D42*100</f>
        <v>4.1070911855757286</v>
      </c>
      <c r="I42" s="24">
        <f>G42/'- 7 -'!$F42</f>
        <v>596.71138066357469</v>
      </c>
    </row>
    <row r="43" spans="1:9" ht="14.1" customHeight="1">
      <c r="A43" s="357" t="s">
        <v>261</v>
      </c>
      <c r="B43" s="358">
        <v>0</v>
      </c>
      <c r="C43" s="359">
        <f>B43/'- 3 -'!$D43*100</f>
        <v>0</v>
      </c>
      <c r="D43" s="358">
        <v>594179</v>
      </c>
      <c r="E43" s="359">
        <f>D43/'- 3 -'!$D43*100</f>
        <v>4.774882682964952</v>
      </c>
      <c r="F43" s="358">
        <f>D43/'- 7 -'!$F43</f>
        <v>618.93645833333335</v>
      </c>
      <c r="G43" s="358">
        <v>1012053</v>
      </c>
      <c r="H43" s="359">
        <f>G43/'- 3 -'!$D43*100</f>
        <v>8.1329605118032244</v>
      </c>
      <c r="I43" s="358">
        <f>G43/'- 7 -'!$F43</f>
        <v>1054.221875</v>
      </c>
    </row>
    <row r="44" spans="1:9" ht="14.1" customHeight="1">
      <c r="A44" s="23" t="s">
        <v>262</v>
      </c>
      <c r="B44" s="24">
        <v>0</v>
      </c>
      <c r="C44" s="350">
        <f>B44/'- 3 -'!$D44*100</f>
        <v>0</v>
      </c>
      <c r="D44" s="24">
        <v>799952</v>
      </c>
      <c r="E44" s="350">
        <f>D44/'- 3 -'!$D44*100</f>
        <v>7.4313743395782605</v>
      </c>
      <c r="F44" s="24">
        <f>D44/'- 7 -'!$F44</f>
        <v>1139.5327635327635</v>
      </c>
      <c r="G44" s="24">
        <v>682054</v>
      </c>
      <c r="H44" s="350">
        <f>G44/'- 3 -'!$D44*100</f>
        <v>6.3361284099629867</v>
      </c>
      <c r="I44" s="24">
        <f>G44/'- 7 -'!$F44</f>
        <v>971.58689458689457</v>
      </c>
    </row>
    <row r="45" spans="1:9" ht="14.1" customHeight="1">
      <c r="A45" s="357" t="s">
        <v>263</v>
      </c>
      <c r="B45" s="358">
        <v>189398</v>
      </c>
      <c r="C45" s="359">
        <f>B45/'- 3 -'!$D45*100</f>
        <v>1.0787287815965787</v>
      </c>
      <c r="D45" s="358">
        <v>883987</v>
      </c>
      <c r="E45" s="359">
        <f>D45/'- 3 -'!$D45*100</f>
        <v>5.0348061724897564</v>
      </c>
      <c r="F45" s="358">
        <f>D45/'- 7 -'!$F45</f>
        <v>525.8697204045211</v>
      </c>
      <c r="G45" s="358">
        <v>838748</v>
      </c>
      <c r="H45" s="359">
        <f>G45/'- 3 -'!$D45*100</f>
        <v>4.7771444688252629</v>
      </c>
      <c r="I45" s="358">
        <f>G45/'- 7 -'!$F45</f>
        <v>498.95776323616894</v>
      </c>
    </row>
    <row r="46" spans="1:9" ht="14.1" customHeight="1">
      <c r="A46" s="23" t="s">
        <v>264</v>
      </c>
      <c r="B46" s="24">
        <v>32947100</v>
      </c>
      <c r="C46" s="350">
        <f>B46/'- 3 -'!$D46*100</f>
        <v>8.9115123883630023</v>
      </c>
      <c r="D46" s="24">
        <v>19255900</v>
      </c>
      <c r="E46" s="350">
        <f>D46/'- 3 -'!$D46*100</f>
        <v>5.2083245991021707</v>
      </c>
      <c r="F46" s="24">
        <f>D46/'- 7 -'!$F46</f>
        <v>636.81129704345528</v>
      </c>
      <c r="G46" s="24">
        <v>18739900</v>
      </c>
      <c r="H46" s="350">
        <f>G46/'- 3 -'!$D46*100</f>
        <v>5.0687572201099282</v>
      </c>
      <c r="I46" s="24">
        <f>G46/'- 7 -'!$F46</f>
        <v>619.74667636748461</v>
      </c>
    </row>
    <row r="47" spans="1:9" ht="5.0999999999999996" customHeight="1">
      <c r="A47"/>
      <c r="B47"/>
      <c r="C47"/>
      <c r="D47"/>
      <c r="E47"/>
      <c r="F47"/>
      <c r="G47"/>
      <c r="H47"/>
      <c r="I47"/>
    </row>
    <row r="48" spans="1:9" ht="14.1" customHeight="1">
      <c r="A48" s="360" t="s">
        <v>265</v>
      </c>
      <c r="B48" s="361">
        <f>SUM(B11:B46)</f>
        <v>58975374</v>
      </c>
      <c r="C48" s="362">
        <f>B48/'- 3 -'!$D48*100</f>
        <v>2.748534344908109</v>
      </c>
      <c r="D48" s="361">
        <f>SUM(D11:D46)</f>
        <v>146105738</v>
      </c>
      <c r="E48" s="362">
        <f>D48/'- 3 -'!$D48*100</f>
        <v>6.8092258114572672</v>
      </c>
      <c r="F48" s="361">
        <f>D48/'- 7 -'!$F48</f>
        <v>845.24637298835205</v>
      </c>
      <c r="G48" s="361">
        <f>SUM(G11:G46)</f>
        <v>101858239</v>
      </c>
      <c r="H48" s="362">
        <f>G48/'- 3 -'!$D48*100</f>
        <v>4.7470808443429044</v>
      </c>
      <c r="I48" s="361">
        <f>G48/'- 7 -'!$F48</f>
        <v>589.267117447028</v>
      </c>
    </row>
    <row r="49" spans="1:9" ht="5.0999999999999996" customHeight="1">
      <c r="A49" s="25" t="s">
        <v>3</v>
      </c>
      <c r="B49" s="26"/>
      <c r="C49" s="349"/>
      <c r="D49" s="26"/>
      <c r="E49" s="349"/>
      <c r="G49" s="26"/>
      <c r="H49" s="349"/>
      <c r="I49" s="26"/>
    </row>
    <row r="50" spans="1:9" ht="14.1" customHeight="1">
      <c r="A50" s="23" t="s">
        <v>266</v>
      </c>
      <c r="B50" s="24">
        <v>0</v>
      </c>
      <c r="C50" s="350">
        <f>B50/'- 3 -'!$D50*100</f>
        <v>0</v>
      </c>
      <c r="D50" s="24">
        <v>241140</v>
      </c>
      <c r="E50" s="350">
        <f>D50/'- 3 -'!$D50*100</f>
        <v>7.1693858838555915</v>
      </c>
      <c r="F50" s="24">
        <f>D50/'- 7 -'!$F50</f>
        <v>1377.9428571428571</v>
      </c>
      <c r="G50" s="24">
        <v>96324</v>
      </c>
      <c r="H50" s="350">
        <f>G50/'- 3 -'!$D50*100</f>
        <v>2.863829832779738</v>
      </c>
      <c r="I50" s="24">
        <f>G50/'- 7 -'!$F50</f>
        <v>550.4228571428572</v>
      </c>
    </row>
    <row r="51" spans="1:9" ht="14.1" customHeight="1">
      <c r="A51" s="511" t="s">
        <v>691</v>
      </c>
      <c r="B51" s="358">
        <v>0</v>
      </c>
      <c r="C51" s="359">
        <f>B51/'- 3 -'!$D51*100</f>
        <v>0</v>
      </c>
      <c r="D51" s="358">
        <v>142062</v>
      </c>
      <c r="E51" s="359">
        <f>D51/'- 3 -'!$D51*100</f>
        <v>0.63104164114358452</v>
      </c>
      <c r="F51" s="358">
        <f>D51/'- 7 -'!$F51</f>
        <v>228.76328502415458</v>
      </c>
      <c r="G51" s="358">
        <v>158745</v>
      </c>
      <c r="H51" s="359">
        <f>G51/'- 3 -'!$D51*100</f>
        <v>0.70514778986173865</v>
      </c>
      <c r="I51" s="358">
        <f>G51/'- 7 -'!$F51</f>
        <v>255.62801932367151</v>
      </c>
    </row>
    <row r="52" spans="1:9" ht="50.1" customHeight="1">
      <c r="A52" s="27"/>
      <c r="B52" s="27"/>
      <c r="C52" s="27"/>
      <c r="D52" s="27"/>
      <c r="E52" s="27"/>
      <c r="F52" s="27"/>
      <c r="G52" s="27"/>
      <c r="H52" s="27"/>
      <c r="I52" s="27"/>
    </row>
    <row r="53" spans="1:9" ht="12" customHeight="1">
      <c r="A53" s="154" t="s">
        <v>617</v>
      </c>
      <c r="C53" s="115"/>
      <c r="D53" s="115"/>
      <c r="E53" s="115"/>
      <c r="F53" s="115"/>
      <c r="G53" s="115"/>
      <c r="H53" s="115"/>
      <c r="I53" s="115"/>
    </row>
    <row r="54" spans="1:9" ht="12" customHeight="1">
      <c r="A54" s="1" t="s">
        <v>618</v>
      </c>
      <c r="C54" s="115"/>
      <c r="D54" s="209"/>
      <c r="E54" s="115"/>
      <c r="F54" s="115"/>
      <c r="G54" s="115"/>
      <c r="H54" s="115"/>
      <c r="I54" s="115"/>
    </row>
    <row r="55" spans="1:9" ht="14.45" customHeight="1">
      <c r="B55" s="115"/>
    </row>
    <row r="56" spans="1:9" ht="14.45" customHeight="1">
      <c r="B56" s="115"/>
    </row>
    <row r="57" spans="1:9" ht="14.45" customHeight="1"/>
    <row r="58" spans="1:9"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19.xml><?xml version="1.0" encoding="utf-8"?>
<worksheet xmlns="http://schemas.openxmlformats.org/spreadsheetml/2006/main" xmlns:r="http://schemas.openxmlformats.org/officeDocument/2006/relationships">
  <sheetPr codeName="Sheet23">
    <pageSetUpPr fitToPage="1"/>
  </sheetPr>
  <dimension ref="A1:E59"/>
  <sheetViews>
    <sheetView showGridLines="0" showZeros="0" workbookViewId="0"/>
  </sheetViews>
  <sheetFormatPr defaultColWidth="15.83203125" defaultRowHeight="12"/>
  <cols>
    <col min="1" max="1" width="36.83203125" style="1" customWidth="1"/>
    <col min="2" max="2" width="21.6640625" style="1" customWidth="1"/>
    <col min="3" max="3" width="11.1640625" style="1" customWidth="1"/>
    <col min="4" max="4" width="14.1640625" style="1" customWidth="1"/>
    <col min="5" max="5" width="40.83203125" style="1" customWidth="1"/>
    <col min="6" max="16384" width="15.83203125" style="1"/>
  </cols>
  <sheetData>
    <row r="1" spans="1:5" ht="6.95" customHeight="1">
      <c r="A1" s="3"/>
      <c r="B1" s="4"/>
      <c r="C1" s="4"/>
      <c r="D1" s="4"/>
      <c r="E1" s="4"/>
    </row>
    <row r="2" spans="1:5" ht="15.95" customHeight="1">
      <c r="A2" s="159"/>
      <c r="B2" s="5" t="s">
        <v>474</v>
      </c>
      <c r="C2" s="6"/>
      <c r="D2" s="6"/>
      <c r="E2" s="182" t="s">
        <v>433</v>
      </c>
    </row>
    <row r="3" spans="1:5" ht="15.95" customHeight="1">
      <c r="A3" s="162"/>
      <c r="B3" s="7" t="str">
        <f>OPYEAR</f>
        <v>OPERATING FUND 2014/2015 BUDGET</v>
      </c>
      <c r="C3" s="8"/>
      <c r="D3" s="8"/>
      <c r="E3" s="101"/>
    </row>
    <row r="4" spans="1:5" ht="15.95" customHeight="1">
      <c r="B4" s="4"/>
      <c r="C4" s="4"/>
      <c r="D4" s="4"/>
      <c r="E4" s="4"/>
    </row>
    <row r="5" spans="1:5" ht="15.95" customHeight="1">
      <c r="B5" s="517" t="s">
        <v>459</v>
      </c>
      <c r="C5" s="172"/>
      <c r="D5" s="166"/>
      <c r="E5" s="75"/>
    </row>
    <row r="6" spans="1:5" ht="15.95" customHeight="1">
      <c r="B6" s="351" t="s">
        <v>18</v>
      </c>
      <c r="C6" s="352"/>
      <c r="D6" s="353"/>
      <c r="E6" s="105"/>
    </row>
    <row r="7" spans="1:5" ht="15.95" customHeight="1">
      <c r="B7" s="354" t="s">
        <v>455</v>
      </c>
      <c r="C7" s="355"/>
      <c r="D7" s="356"/>
      <c r="E7" s="105"/>
    </row>
    <row r="8" spans="1:5" ht="15.95" customHeight="1">
      <c r="A8" s="102"/>
      <c r="B8" s="168"/>
      <c r="C8" s="167"/>
      <c r="D8" s="167" t="s">
        <v>60</v>
      </c>
      <c r="E8" s="105"/>
    </row>
    <row r="9" spans="1:5" ht="15.95" customHeight="1">
      <c r="A9" s="35" t="s">
        <v>81</v>
      </c>
      <c r="B9" s="113" t="s">
        <v>82</v>
      </c>
      <c r="C9" s="113" t="s">
        <v>83</v>
      </c>
      <c r="D9" s="113" t="s">
        <v>84</v>
      </c>
    </row>
    <row r="10" spans="1:5" ht="5.0999999999999996" customHeight="1">
      <c r="A10" s="37"/>
    </row>
    <row r="11" spans="1:5" ht="14.1" customHeight="1">
      <c r="A11" s="357" t="s">
        <v>230</v>
      </c>
      <c r="B11" s="358">
        <v>272120</v>
      </c>
      <c r="C11" s="359">
        <f>B11/'- 3 -'!$D11*100</f>
        <v>1.5665771693541768</v>
      </c>
      <c r="D11" s="358">
        <f>B11/'- 7 -'!$F11</f>
        <v>175.95861623019721</v>
      </c>
    </row>
    <row r="12" spans="1:5" ht="14.1" customHeight="1">
      <c r="A12" s="23" t="s">
        <v>231</v>
      </c>
      <c r="B12" s="24">
        <v>477183</v>
      </c>
      <c r="C12" s="350">
        <f>B12/'- 3 -'!$D12*100</f>
        <v>1.516641136796719</v>
      </c>
      <c r="D12" s="24">
        <f>B12/'- 7 -'!$F12</f>
        <v>218.22260230120548</v>
      </c>
    </row>
    <row r="13" spans="1:5" ht="14.1" customHeight="1">
      <c r="A13" s="357" t="s">
        <v>232</v>
      </c>
      <c r="B13" s="358">
        <v>2344300</v>
      </c>
      <c r="C13" s="359">
        <f>B13/'- 3 -'!$D13*100</f>
        <v>2.6264047618780872</v>
      </c>
      <c r="D13" s="358">
        <f>B13/'- 7 -'!$F13</f>
        <v>288.68805361226424</v>
      </c>
    </row>
    <row r="14" spans="1:5" ht="14.1" customHeight="1">
      <c r="A14" s="23" t="s">
        <v>566</v>
      </c>
      <c r="B14" s="24">
        <v>1413895</v>
      </c>
      <c r="C14" s="350">
        <f>B14/'- 3 -'!$D14*100</f>
        <v>1.7694514828679095</v>
      </c>
      <c r="D14" s="24">
        <f>B14/'- 7 -'!$F14</f>
        <v>266.01975540921921</v>
      </c>
    </row>
    <row r="15" spans="1:5" ht="14.1" customHeight="1">
      <c r="A15" s="357" t="s">
        <v>233</v>
      </c>
      <c r="B15" s="358">
        <v>576750</v>
      </c>
      <c r="C15" s="359">
        <f>B15/'- 3 -'!$D15*100</f>
        <v>2.9088237700151538</v>
      </c>
      <c r="D15" s="358">
        <f>B15/'- 7 -'!$F15</f>
        <v>397.07401032702239</v>
      </c>
    </row>
    <row r="16" spans="1:5" ht="14.1" customHeight="1">
      <c r="A16" s="23" t="s">
        <v>234</v>
      </c>
      <c r="B16" s="24">
        <v>303567</v>
      </c>
      <c r="C16" s="350">
        <f>B16/'- 3 -'!$D16*100</f>
        <v>2.2517161188180852</v>
      </c>
      <c r="D16" s="24">
        <f>B16/'- 7 -'!$F16</f>
        <v>315.55821205821206</v>
      </c>
    </row>
    <row r="17" spans="1:4" ht="14.1" customHeight="1">
      <c r="A17" s="357" t="s">
        <v>235</v>
      </c>
      <c r="B17" s="358">
        <v>284842</v>
      </c>
      <c r="C17" s="359">
        <f>B17/'- 3 -'!$D17*100</f>
        <v>1.6596615349046207</v>
      </c>
      <c r="D17" s="358">
        <f>B17/'- 7 -'!$F17</f>
        <v>212.96598130841122</v>
      </c>
    </row>
    <row r="18" spans="1:4" ht="14.1" customHeight="1">
      <c r="A18" s="23" t="s">
        <v>236</v>
      </c>
      <c r="B18" s="24">
        <v>1568725</v>
      </c>
      <c r="C18" s="350">
        <f>B18/'- 3 -'!$D18*100</f>
        <v>1.267396910594955</v>
      </c>
      <c r="D18" s="24">
        <f>B18/'- 7 -'!$F18</f>
        <v>254.22156319380298</v>
      </c>
    </row>
    <row r="19" spans="1:4" ht="14.1" customHeight="1">
      <c r="A19" s="357" t="s">
        <v>237</v>
      </c>
      <c r="B19" s="358">
        <v>777900</v>
      </c>
      <c r="C19" s="359">
        <f>B19/'- 3 -'!$D19*100</f>
        <v>1.7903452542386924</v>
      </c>
      <c r="D19" s="358">
        <f>B19/'- 7 -'!$F19</f>
        <v>190.68513298198309</v>
      </c>
    </row>
    <row r="20" spans="1:4" ht="14.1" customHeight="1">
      <c r="A20" s="23" t="s">
        <v>238</v>
      </c>
      <c r="B20" s="24">
        <v>904100</v>
      </c>
      <c r="C20" s="350">
        <f>B20/'- 3 -'!$D20*100</f>
        <v>1.1938528659863514</v>
      </c>
      <c r="D20" s="24">
        <f>B20/'- 7 -'!$F20</f>
        <v>119.6057679587247</v>
      </c>
    </row>
    <row r="21" spans="1:4" ht="14.1" customHeight="1">
      <c r="A21" s="357" t="s">
        <v>239</v>
      </c>
      <c r="B21" s="358">
        <v>919000</v>
      </c>
      <c r="C21" s="359">
        <f>B21/'- 3 -'!$D21*100</f>
        <v>2.6650269356215328</v>
      </c>
      <c r="D21" s="358">
        <f>B21/'- 7 -'!$F21</f>
        <v>345.61865362918388</v>
      </c>
    </row>
    <row r="22" spans="1:4" ht="14.1" customHeight="1">
      <c r="A22" s="23" t="s">
        <v>240</v>
      </c>
      <c r="B22" s="24">
        <v>550719</v>
      </c>
      <c r="C22" s="350">
        <f>B22/'- 3 -'!$D22*100</f>
        <v>2.8382385098726015</v>
      </c>
      <c r="D22" s="24">
        <f>B22/'- 7 -'!$F22</f>
        <v>352.7988468930173</v>
      </c>
    </row>
    <row r="23" spans="1:4" ht="14.1" customHeight="1">
      <c r="A23" s="357" t="s">
        <v>241</v>
      </c>
      <c r="B23" s="358">
        <v>317000</v>
      </c>
      <c r="C23" s="359">
        <f>B23/'- 3 -'!$D23*100</f>
        <v>1.9455157396519429</v>
      </c>
      <c r="D23" s="358">
        <f>B23/'- 7 -'!$F23</f>
        <v>276.25272331154684</v>
      </c>
    </row>
    <row r="24" spans="1:4" ht="14.1" customHeight="1">
      <c r="A24" s="23" t="s">
        <v>242</v>
      </c>
      <c r="B24" s="24">
        <v>1085280</v>
      </c>
      <c r="C24" s="350">
        <f>B24/'- 3 -'!$D24*100</f>
        <v>1.9975638952915615</v>
      </c>
      <c r="D24" s="24">
        <f>B24/'- 7 -'!$F24</f>
        <v>268.03655223511976</v>
      </c>
    </row>
    <row r="25" spans="1:4" ht="14.1" customHeight="1">
      <c r="A25" s="357" t="s">
        <v>243</v>
      </c>
      <c r="B25" s="358">
        <v>2742563</v>
      </c>
      <c r="C25" s="359">
        <f>B25/'- 3 -'!$D25*100</f>
        <v>1.7248237133870081</v>
      </c>
      <c r="D25" s="358">
        <f>B25/'- 7 -'!$F25</f>
        <v>199.53168424881775</v>
      </c>
    </row>
    <row r="26" spans="1:4" ht="14.1" customHeight="1">
      <c r="A26" s="23" t="s">
        <v>244</v>
      </c>
      <c r="B26" s="24">
        <v>1052304</v>
      </c>
      <c r="C26" s="350">
        <f>B26/'- 3 -'!$D26*100</f>
        <v>2.7038485410681758</v>
      </c>
      <c r="D26" s="24">
        <f>B26/'- 7 -'!$F26</f>
        <v>340.77202072538859</v>
      </c>
    </row>
    <row r="27" spans="1:4" ht="14.1" customHeight="1">
      <c r="A27" s="357" t="s">
        <v>245</v>
      </c>
      <c r="B27" s="358">
        <v>935167</v>
      </c>
      <c r="C27" s="359">
        <f>B27/'- 3 -'!$D27*100</f>
        <v>2.3922639353715991</v>
      </c>
      <c r="D27" s="358">
        <f>B27/'- 7 -'!$F27</f>
        <v>323.5871972318339</v>
      </c>
    </row>
    <row r="28" spans="1:4" ht="14.1" customHeight="1">
      <c r="A28" s="23" t="s">
        <v>246</v>
      </c>
      <c r="B28" s="24">
        <v>486572</v>
      </c>
      <c r="C28" s="350">
        <f>B28/'- 3 -'!$D28*100</f>
        <v>1.7790638930929481</v>
      </c>
      <c r="D28" s="24">
        <f>B28/'- 7 -'!$F28</f>
        <v>245.43354350567466</v>
      </c>
    </row>
    <row r="29" spans="1:4" ht="14.1" customHeight="1">
      <c r="A29" s="357" t="s">
        <v>247</v>
      </c>
      <c r="B29" s="358">
        <v>2889131</v>
      </c>
      <c r="C29" s="359">
        <f>B29/'- 3 -'!$D29*100</f>
        <v>1.9643162271652304</v>
      </c>
      <c r="D29" s="358">
        <f>B29/'- 7 -'!$F29</f>
        <v>239.55316943741968</v>
      </c>
    </row>
    <row r="30" spans="1:4" ht="14.1" customHeight="1">
      <c r="A30" s="23" t="s">
        <v>248</v>
      </c>
      <c r="B30" s="24">
        <v>215869</v>
      </c>
      <c r="C30" s="350">
        <f>B30/'- 3 -'!$D30*100</f>
        <v>1.6109139984948215</v>
      </c>
      <c r="D30" s="24">
        <f>B30/'- 7 -'!$F30</f>
        <v>210.50121891760116</v>
      </c>
    </row>
    <row r="31" spans="1:4" ht="14.1" customHeight="1">
      <c r="A31" s="357" t="s">
        <v>249</v>
      </c>
      <c r="B31" s="358">
        <v>908733</v>
      </c>
      <c r="C31" s="359">
        <f>B31/'- 3 -'!$D31*100</f>
        <v>2.5981872990852439</v>
      </c>
      <c r="D31" s="358">
        <f>B31/'- 7 -'!$F31</f>
        <v>284.7800062676277</v>
      </c>
    </row>
    <row r="32" spans="1:4" ht="14.1" customHeight="1">
      <c r="A32" s="23" t="s">
        <v>250</v>
      </c>
      <c r="B32" s="24">
        <v>344021</v>
      </c>
      <c r="C32" s="350">
        <f>B32/'- 3 -'!$D32*100</f>
        <v>1.2924530832479078</v>
      </c>
      <c r="D32" s="24">
        <f>B32/'- 7 -'!$F32</f>
        <v>163.54694556691229</v>
      </c>
    </row>
    <row r="33" spans="1:5" ht="14.1" customHeight="1">
      <c r="A33" s="357" t="s">
        <v>251</v>
      </c>
      <c r="B33" s="358">
        <v>340300</v>
      </c>
      <c r="C33" s="359">
        <f>B33/'- 3 -'!$D33*100</f>
        <v>1.2556860104549237</v>
      </c>
      <c r="D33" s="358">
        <f>B33/'- 7 -'!$F33</f>
        <v>170.70479056935039</v>
      </c>
    </row>
    <row r="34" spans="1:5" ht="14.1" customHeight="1">
      <c r="A34" s="23" t="s">
        <v>252</v>
      </c>
      <c r="B34" s="24">
        <v>641775</v>
      </c>
      <c r="C34" s="350">
        <f>B34/'- 3 -'!$D34*100</f>
        <v>2.4371447171615279</v>
      </c>
      <c r="D34" s="24">
        <f>B34/'- 7 -'!$F34</f>
        <v>323.23092420045327</v>
      </c>
    </row>
    <row r="35" spans="1:5" ht="14.1" customHeight="1">
      <c r="A35" s="357" t="s">
        <v>253</v>
      </c>
      <c r="B35" s="358">
        <v>2563000</v>
      </c>
      <c r="C35" s="359">
        <f>B35/'- 3 -'!$D35*100</f>
        <v>1.5036342129055698</v>
      </c>
      <c r="D35" s="358">
        <f>B35/'- 7 -'!$F35</f>
        <v>165.38684906756146</v>
      </c>
    </row>
    <row r="36" spans="1:5" ht="14.1" customHeight="1">
      <c r="A36" s="23" t="s">
        <v>254</v>
      </c>
      <c r="B36" s="24">
        <v>509025</v>
      </c>
      <c r="C36" s="350">
        <f>B36/'- 3 -'!$D36*100</f>
        <v>2.3010861813903709</v>
      </c>
      <c r="D36" s="24">
        <f>B36/'- 7 -'!$F36</f>
        <v>308.78070973612375</v>
      </c>
    </row>
    <row r="37" spans="1:5" ht="14.1" customHeight="1">
      <c r="A37" s="357" t="s">
        <v>255</v>
      </c>
      <c r="B37" s="358">
        <v>914860</v>
      </c>
      <c r="C37" s="359">
        <f>B37/'- 3 -'!$D37*100</f>
        <v>2.046554495335267</v>
      </c>
      <c r="D37" s="358">
        <f>B37/'- 7 -'!$F37</f>
        <v>233.77028235594736</v>
      </c>
    </row>
    <row r="38" spans="1:5" ht="14.1" customHeight="1">
      <c r="A38" s="23" t="s">
        <v>256</v>
      </c>
      <c r="B38" s="24">
        <v>2499340</v>
      </c>
      <c r="C38" s="350">
        <f>B38/'- 3 -'!$D38*100</f>
        <v>2.0441881246209328</v>
      </c>
      <c r="D38" s="24">
        <f>B38/'- 7 -'!$F38</f>
        <v>233.0278308703557</v>
      </c>
    </row>
    <row r="39" spans="1:5" ht="14.1" customHeight="1">
      <c r="A39" s="357" t="s">
        <v>257</v>
      </c>
      <c r="B39" s="358">
        <v>281000</v>
      </c>
      <c r="C39" s="359">
        <f>B39/'- 3 -'!$D39*100</f>
        <v>1.3472002589692853</v>
      </c>
      <c r="D39" s="358">
        <f>B39/'- 7 -'!$F39</f>
        <v>181.23186069009998</v>
      </c>
    </row>
    <row r="40" spans="1:5" ht="14.1" customHeight="1">
      <c r="A40" s="23" t="s">
        <v>258</v>
      </c>
      <c r="B40" s="24">
        <v>2520338</v>
      </c>
      <c r="C40" s="350">
        <f>B40/'- 3 -'!$D40*100</f>
        <v>2.5389624831260971</v>
      </c>
      <c r="D40" s="24">
        <f>B40/'- 7 -'!$F40</f>
        <v>317.38734575091706</v>
      </c>
    </row>
    <row r="41" spans="1:5" ht="14.1" customHeight="1">
      <c r="A41" s="357" t="s">
        <v>259</v>
      </c>
      <c r="B41" s="358">
        <v>1127870</v>
      </c>
      <c r="C41" s="359">
        <f>B41/'- 3 -'!$D41*100</f>
        <v>1.899293701259946</v>
      </c>
      <c r="D41" s="358">
        <f>B41/'- 7 -'!$F41</f>
        <v>257.15230278157776</v>
      </c>
    </row>
    <row r="42" spans="1:5" ht="14.1" customHeight="1">
      <c r="A42" s="23" t="s">
        <v>260</v>
      </c>
      <c r="B42" s="24">
        <v>253422</v>
      </c>
      <c r="C42" s="350">
        <f>B42/'- 3 -'!$D42*100</f>
        <v>1.244575467667322</v>
      </c>
      <c r="D42" s="24">
        <f>B42/'- 7 -'!$F42</f>
        <v>180.82197645379949</v>
      </c>
    </row>
    <row r="43" spans="1:5" ht="14.1" customHeight="1">
      <c r="A43" s="357" t="s">
        <v>261</v>
      </c>
      <c r="B43" s="358">
        <v>202616</v>
      </c>
      <c r="C43" s="359">
        <f>B43/'- 3 -'!$D43*100</f>
        <v>1.6282427175844765</v>
      </c>
      <c r="D43" s="358">
        <f>B43/'- 7 -'!$F43</f>
        <v>211.05833333333334</v>
      </c>
    </row>
    <row r="44" spans="1:5" ht="14.1" customHeight="1">
      <c r="A44" s="23" t="s">
        <v>262</v>
      </c>
      <c r="B44" s="24">
        <v>75466</v>
      </c>
      <c r="C44" s="350">
        <f>B44/'- 3 -'!$D44*100</f>
        <v>0.70106218361928341</v>
      </c>
      <c r="D44" s="24">
        <f>B44/'- 7 -'!$F44</f>
        <v>107.50142450142449</v>
      </c>
    </row>
    <row r="45" spans="1:5" ht="14.1" customHeight="1">
      <c r="A45" s="357" t="s">
        <v>263</v>
      </c>
      <c r="B45" s="358">
        <v>449928</v>
      </c>
      <c r="C45" s="359">
        <f>B45/'- 3 -'!$D45*100</f>
        <v>2.562594553512632</v>
      </c>
      <c r="D45" s="358">
        <f>B45/'- 7 -'!$F45</f>
        <v>267.65496728138015</v>
      </c>
    </row>
    <row r="46" spans="1:5" ht="14.1" customHeight="1">
      <c r="A46" s="23" t="s">
        <v>264</v>
      </c>
      <c r="B46" s="24">
        <v>5079700</v>
      </c>
      <c r="C46" s="350">
        <f>B46/'- 3 -'!$D46*100</f>
        <v>1.3739542927652977</v>
      </c>
      <c r="D46" s="24">
        <f>B46/'- 7 -'!$F46</f>
        <v>167.99060784443415</v>
      </c>
    </row>
    <row r="47" spans="1:5" ht="5.0999999999999996" customHeight="1">
      <c r="A47"/>
      <c r="B47"/>
      <c r="C47"/>
      <c r="D47"/>
    </row>
    <row r="48" spans="1:5" ht="14.1" customHeight="1">
      <c r="A48" s="360" t="s">
        <v>265</v>
      </c>
      <c r="B48" s="361">
        <f>SUM(B11:B46)</f>
        <v>38828381</v>
      </c>
      <c r="C48" s="362">
        <f>B48/'- 3 -'!$D48*100</f>
        <v>1.8095881636236419</v>
      </c>
      <c r="D48" s="361">
        <f>B48/'- 7 -'!$F48</f>
        <v>224.62874257039681</v>
      </c>
      <c r="E48" s="37"/>
    </row>
    <row r="49" spans="1:5" ht="5.0999999999999996" customHeight="1">
      <c r="A49" s="25" t="s">
        <v>3</v>
      </c>
      <c r="B49" s="26"/>
      <c r="C49" s="349"/>
      <c r="D49" s="26"/>
    </row>
    <row r="50" spans="1:5" ht="14.1" customHeight="1">
      <c r="A50" s="23" t="s">
        <v>266</v>
      </c>
      <c r="B50" s="24">
        <v>102704</v>
      </c>
      <c r="C50" s="350">
        <f>B50/'- 3 -'!$D50*100</f>
        <v>3.0535150029671754</v>
      </c>
      <c r="D50" s="24">
        <f>B50/'- 7 -'!$F50</f>
        <v>586.88</v>
      </c>
    </row>
    <row r="51" spans="1:5" ht="14.1" customHeight="1">
      <c r="A51" s="511" t="s">
        <v>691</v>
      </c>
      <c r="B51" s="358">
        <v>458046</v>
      </c>
      <c r="C51" s="359">
        <f>B51/'- 3 -'!$D51*100</f>
        <v>2.034647545151091</v>
      </c>
      <c r="D51" s="358">
        <f>B51/'- 7 -'!$F51</f>
        <v>737.59420289855075</v>
      </c>
    </row>
    <row r="52" spans="1:5" ht="50.1" customHeight="1">
      <c r="A52"/>
      <c r="B52"/>
      <c r="C52"/>
      <c r="D52"/>
      <c r="E52"/>
    </row>
    <row r="53" spans="1:5" ht="15" customHeight="1">
      <c r="A53" s="604"/>
      <c r="B53" s="604"/>
      <c r="C53" s="604"/>
      <c r="D53" s="604"/>
      <c r="E53" s="604"/>
    </row>
    <row r="54" spans="1:5" ht="14.45" customHeight="1">
      <c r="A54" s="604"/>
      <c r="B54" s="604"/>
      <c r="C54" s="604"/>
      <c r="D54" s="604"/>
      <c r="E54" s="604"/>
    </row>
    <row r="55" spans="1:5" ht="14.45" customHeight="1"/>
    <row r="56" spans="1:5" ht="14.45" customHeight="1"/>
    <row r="57" spans="1:5" ht="14.45" customHeight="1"/>
    <row r="58" spans="1:5" ht="14.45" customHeight="1"/>
    <row r="59" spans="1:5"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2.xml><?xml version="1.0" encoding="utf-8"?>
<worksheet xmlns="http://schemas.openxmlformats.org/spreadsheetml/2006/main" xmlns:r="http://schemas.openxmlformats.org/officeDocument/2006/relationships">
  <sheetPr transitionEntry="1" codeName="Sheet1">
    <pageSetUpPr fitToPage="1"/>
  </sheetPr>
  <dimension ref="A1:G65536"/>
  <sheetViews>
    <sheetView showGridLines="0" showZeros="0" workbookViewId="0"/>
  </sheetViews>
  <sheetFormatPr defaultColWidth="15.83203125" defaultRowHeight="12"/>
  <cols>
    <col min="1" max="1" width="32.83203125" style="1" customWidth="1"/>
    <col min="2" max="2" width="18.83203125" style="1" customWidth="1"/>
    <col min="3" max="3" width="19.83203125" style="1" customWidth="1"/>
    <col min="4" max="4" width="20.6640625" style="1" customWidth="1"/>
    <col min="5" max="5" width="19.83203125" style="1" customWidth="1"/>
    <col min="6" max="6" width="20.83203125" style="1" customWidth="1"/>
    <col min="7" max="16384" width="15.83203125" style="1"/>
  </cols>
  <sheetData>
    <row r="1" spans="1:6" ht="6.95" customHeight="1">
      <c r="A1" s="3"/>
      <c r="B1" s="4"/>
      <c r="C1" s="4"/>
      <c r="D1" s="4"/>
      <c r="E1" s="4"/>
      <c r="F1" s="4"/>
    </row>
    <row r="2" spans="1:6" ht="15.95" customHeight="1">
      <c r="A2" s="5" t="s">
        <v>468</v>
      </c>
      <c r="B2" s="6"/>
      <c r="C2" s="6"/>
      <c r="D2" s="6"/>
      <c r="E2" s="6"/>
      <c r="F2" s="6"/>
    </row>
    <row r="3" spans="1:6" ht="15.95" customHeight="1">
      <c r="A3" s="7" t="str">
        <f>"OPERATING FUND "&amp;YEAR&amp;"/"&amp;YEAR+1&amp;" BUDGET"</f>
        <v>OPERATING FUND 2014/2015 BUDGET</v>
      </c>
      <c r="B3" s="8"/>
      <c r="C3" s="9"/>
      <c r="D3" s="8"/>
      <c r="E3" s="8"/>
      <c r="F3" s="8"/>
    </row>
    <row r="4" spans="1:6" ht="15.95" customHeight="1">
      <c r="B4" s="4"/>
      <c r="C4" s="4"/>
      <c r="D4" s="4"/>
      <c r="E4" s="4"/>
      <c r="F4" s="4"/>
    </row>
    <row r="5" spans="1:6" ht="15.95" customHeight="1">
      <c r="B5" s="4"/>
      <c r="C5" s="4"/>
      <c r="D5" s="4"/>
      <c r="E5" s="4"/>
      <c r="F5" s="4"/>
    </row>
    <row r="6" spans="1:6" ht="15.95" customHeight="1">
      <c r="B6" s="10"/>
      <c r="C6" s="11" t="s">
        <v>28</v>
      </c>
      <c r="D6" s="12"/>
      <c r="E6" s="13" t="s">
        <v>28</v>
      </c>
      <c r="F6" s="13" t="s">
        <v>29</v>
      </c>
    </row>
    <row r="7" spans="1:6" ht="15.95" customHeight="1">
      <c r="B7" s="10"/>
      <c r="C7" s="14" t="s">
        <v>108</v>
      </c>
      <c r="D7" s="15"/>
      <c r="E7" s="16" t="s">
        <v>449</v>
      </c>
      <c r="F7" s="16" t="s">
        <v>272</v>
      </c>
    </row>
    <row r="8" spans="1:6" ht="15.95" customHeight="1">
      <c r="A8" s="17"/>
      <c r="B8" s="18" t="s">
        <v>54</v>
      </c>
      <c r="C8" s="14" t="s">
        <v>121</v>
      </c>
      <c r="D8" s="16" t="s">
        <v>467</v>
      </c>
      <c r="E8" s="16" t="s">
        <v>77</v>
      </c>
      <c r="F8" s="16" t="s">
        <v>78</v>
      </c>
    </row>
    <row r="9" spans="1:6" ht="13.5">
      <c r="A9" s="19" t="s">
        <v>81</v>
      </c>
      <c r="B9" s="20" t="s">
        <v>381</v>
      </c>
      <c r="C9" s="20" t="s">
        <v>382</v>
      </c>
      <c r="D9" s="21" t="s">
        <v>466</v>
      </c>
      <c r="E9" s="21" t="s">
        <v>383</v>
      </c>
      <c r="F9" s="21" t="s">
        <v>384</v>
      </c>
    </row>
    <row r="10" spans="1:6" ht="5.0999999999999996" customHeight="1">
      <c r="A10" s="22"/>
    </row>
    <row r="11" spans="1:6" ht="14.1" customHeight="1">
      <c r="A11" s="357" t="s">
        <v>230</v>
      </c>
      <c r="B11" s="358">
        <v>17441454</v>
      </c>
      <c r="C11" s="358">
        <f>-Data!L11</f>
        <v>-71100</v>
      </c>
      <c r="D11" s="358">
        <f>B11+C11</f>
        <v>17370354</v>
      </c>
      <c r="E11" s="358">
        <f>-'- 15 -'!H11-'- 16 -'!B11</f>
        <v>-19152</v>
      </c>
      <c r="F11" s="358">
        <f>D11+E11</f>
        <v>17351202</v>
      </c>
    </row>
    <row r="12" spans="1:6" ht="14.1" customHeight="1">
      <c r="A12" s="23" t="s">
        <v>231</v>
      </c>
      <c r="B12" s="24">
        <v>31793145</v>
      </c>
      <c r="C12" s="24">
        <f>-Data!L12</f>
        <v>-330000</v>
      </c>
      <c r="D12" s="24">
        <f t="shared" ref="D12:D46" si="0">B12+C12</f>
        <v>31463145</v>
      </c>
      <c r="E12" s="24">
        <f>-'- 15 -'!H12-'- 16 -'!B12</f>
        <v>-583760</v>
      </c>
      <c r="F12" s="24">
        <f t="shared" ref="F12:F46" si="1">D12+E12</f>
        <v>30879385</v>
      </c>
    </row>
    <row r="13" spans="1:6" ht="14.1" customHeight="1">
      <c r="A13" s="357" t="s">
        <v>232</v>
      </c>
      <c r="B13" s="358">
        <v>89398700</v>
      </c>
      <c r="C13" s="358">
        <f>-Data!L13</f>
        <v>-139800</v>
      </c>
      <c r="D13" s="358">
        <f t="shared" si="0"/>
        <v>89258900</v>
      </c>
      <c r="E13" s="358">
        <f>-'- 15 -'!H13-'- 16 -'!B13</f>
        <v>-290900</v>
      </c>
      <c r="F13" s="358">
        <f t="shared" si="1"/>
        <v>88968000</v>
      </c>
    </row>
    <row r="14" spans="1:6" ht="14.1" customHeight="1">
      <c r="A14" s="23" t="s">
        <v>566</v>
      </c>
      <c r="B14" s="24">
        <v>80221725</v>
      </c>
      <c r="C14" s="24">
        <f>-Data!L14</f>
        <v>-315889</v>
      </c>
      <c r="D14" s="24">
        <f t="shared" si="0"/>
        <v>79905836</v>
      </c>
      <c r="E14" s="24">
        <f>-'- 15 -'!H14-'- 16 -'!B14</f>
        <v>-1424523</v>
      </c>
      <c r="F14" s="24">
        <f t="shared" si="1"/>
        <v>78481313</v>
      </c>
    </row>
    <row r="15" spans="1:6" ht="14.1" customHeight="1">
      <c r="A15" s="357" t="s">
        <v>233</v>
      </c>
      <c r="B15" s="358">
        <v>19876602</v>
      </c>
      <c r="C15" s="358">
        <f>-Data!L15</f>
        <v>-49000</v>
      </c>
      <c r="D15" s="358">
        <f t="shared" si="0"/>
        <v>19827602</v>
      </c>
      <c r="E15" s="358">
        <f>-'- 15 -'!H15-'- 16 -'!B15</f>
        <v>-70000</v>
      </c>
      <c r="F15" s="358">
        <f t="shared" si="1"/>
        <v>19757602</v>
      </c>
    </row>
    <row r="16" spans="1:6" ht="14.1" customHeight="1">
      <c r="A16" s="23" t="s">
        <v>234</v>
      </c>
      <c r="B16" s="24">
        <v>13481584</v>
      </c>
      <c r="C16" s="24">
        <f>-Data!L16</f>
        <v>0</v>
      </c>
      <c r="D16" s="24">
        <f t="shared" si="0"/>
        <v>13481584</v>
      </c>
      <c r="E16" s="24">
        <f>-'- 15 -'!H16-'- 16 -'!B16</f>
        <v>-109672</v>
      </c>
      <c r="F16" s="24">
        <f t="shared" si="1"/>
        <v>13371912</v>
      </c>
    </row>
    <row r="17" spans="1:6" ht="14.1" customHeight="1">
      <c r="A17" s="357" t="s">
        <v>235</v>
      </c>
      <c r="B17" s="358">
        <v>17308806</v>
      </c>
      <c r="C17" s="358">
        <f>-Data!L17</f>
        <v>-146150</v>
      </c>
      <c r="D17" s="358">
        <f t="shared" si="0"/>
        <v>17162656</v>
      </c>
      <c r="E17" s="358">
        <f>-'- 15 -'!H17-'- 16 -'!B17</f>
        <v>-255520</v>
      </c>
      <c r="F17" s="358">
        <f t="shared" si="1"/>
        <v>16907136</v>
      </c>
    </row>
    <row r="18" spans="1:6" ht="14.1" customHeight="1">
      <c r="A18" s="23" t="s">
        <v>236</v>
      </c>
      <c r="B18" s="24">
        <v>128216620</v>
      </c>
      <c r="C18" s="24">
        <f>-Data!L18</f>
        <v>-4441267</v>
      </c>
      <c r="D18" s="24">
        <f t="shared" si="0"/>
        <v>123775353</v>
      </c>
      <c r="E18" s="24">
        <f>-'- 15 -'!H18-'- 16 -'!B18</f>
        <v>-4285087</v>
      </c>
      <c r="F18" s="24">
        <f t="shared" si="1"/>
        <v>119490266</v>
      </c>
    </row>
    <row r="19" spans="1:6" ht="14.1" customHeight="1">
      <c r="A19" s="357" t="s">
        <v>237</v>
      </c>
      <c r="B19" s="358">
        <v>43747720</v>
      </c>
      <c r="C19" s="358">
        <f>-Data!L19</f>
        <v>-298000</v>
      </c>
      <c r="D19" s="358">
        <f t="shared" si="0"/>
        <v>43449720</v>
      </c>
      <c r="E19" s="358">
        <f>-'- 15 -'!H19-'- 16 -'!B19</f>
        <v>-76900</v>
      </c>
      <c r="F19" s="358">
        <f t="shared" si="1"/>
        <v>43372820</v>
      </c>
    </row>
    <row r="20" spans="1:6" ht="14.1" customHeight="1">
      <c r="A20" s="23" t="s">
        <v>238</v>
      </c>
      <c r="B20" s="24">
        <v>76784400</v>
      </c>
      <c r="C20" s="24">
        <f>-Data!L20</f>
        <v>-1054800</v>
      </c>
      <c r="D20" s="24">
        <f t="shared" si="0"/>
        <v>75729600</v>
      </c>
      <c r="E20" s="24">
        <f>-'- 15 -'!H20-'- 16 -'!B20</f>
        <v>-156200</v>
      </c>
      <c r="F20" s="24">
        <f t="shared" si="1"/>
        <v>75573400</v>
      </c>
    </row>
    <row r="21" spans="1:6" ht="14.1" customHeight="1">
      <c r="A21" s="357" t="s">
        <v>239</v>
      </c>
      <c r="B21" s="358">
        <v>34826000</v>
      </c>
      <c r="C21" s="358">
        <f>-Data!L21</f>
        <v>-342296</v>
      </c>
      <c r="D21" s="358">
        <f t="shared" si="0"/>
        <v>34483704</v>
      </c>
      <c r="E21" s="358">
        <f>-'- 15 -'!H21-'- 16 -'!B21</f>
        <v>-245000</v>
      </c>
      <c r="F21" s="358">
        <f t="shared" si="1"/>
        <v>34238704</v>
      </c>
    </row>
    <row r="22" spans="1:6" ht="14.1" customHeight="1">
      <c r="A22" s="23" t="s">
        <v>240</v>
      </c>
      <c r="B22" s="24">
        <v>19421049</v>
      </c>
      <c r="C22" s="24">
        <f>-Data!L22</f>
        <v>-17500</v>
      </c>
      <c r="D22" s="24">
        <f t="shared" si="0"/>
        <v>19403549</v>
      </c>
      <c r="E22" s="24">
        <f>-'- 15 -'!H22-'- 16 -'!B22</f>
        <v>-698355</v>
      </c>
      <c r="F22" s="24">
        <f t="shared" si="1"/>
        <v>18705194</v>
      </c>
    </row>
    <row r="23" spans="1:6" ht="14.1" customHeight="1">
      <c r="A23" s="357" t="s">
        <v>241</v>
      </c>
      <c r="B23" s="358">
        <v>16329980</v>
      </c>
      <c r="C23" s="358">
        <f>-Data!L23</f>
        <v>-36100</v>
      </c>
      <c r="D23" s="358">
        <f t="shared" si="0"/>
        <v>16293880</v>
      </c>
      <c r="E23" s="358">
        <f>-'- 15 -'!H23-'- 16 -'!B23</f>
        <v>-508000</v>
      </c>
      <c r="F23" s="358">
        <f t="shared" si="1"/>
        <v>15785880</v>
      </c>
    </row>
    <row r="24" spans="1:6" ht="14.1" customHeight="1">
      <c r="A24" s="23" t="s">
        <v>242</v>
      </c>
      <c r="B24" s="24">
        <v>54564177</v>
      </c>
      <c r="C24" s="24">
        <f>-Data!L24</f>
        <v>-234000</v>
      </c>
      <c r="D24" s="24">
        <f t="shared" si="0"/>
        <v>54330177</v>
      </c>
      <c r="E24" s="24">
        <f>-'- 15 -'!H24-'- 16 -'!B24</f>
        <v>-735890</v>
      </c>
      <c r="F24" s="24">
        <f t="shared" si="1"/>
        <v>53594287</v>
      </c>
    </row>
    <row r="25" spans="1:6" ht="14.1" customHeight="1">
      <c r="A25" s="357" t="s">
        <v>243</v>
      </c>
      <c r="B25" s="358">
        <v>160190478</v>
      </c>
      <c r="C25" s="358">
        <f>-Data!L25</f>
        <v>-1185069</v>
      </c>
      <c r="D25" s="358">
        <f t="shared" si="0"/>
        <v>159005409</v>
      </c>
      <c r="E25" s="358">
        <f>-'- 15 -'!H25-'- 16 -'!B25</f>
        <v>-1032175</v>
      </c>
      <c r="F25" s="358">
        <f t="shared" si="1"/>
        <v>157973234</v>
      </c>
    </row>
    <row r="26" spans="1:6" ht="14.1" customHeight="1">
      <c r="A26" s="23" t="s">
        <v>244</v>
      </c>
      <c r="B26" s="24">
        <v>38926248</v>
      </c>
      <c r="C26" s="24">
        <f>-Data!L26</f>
        <v>-7500</v>
      </c>
      <c r="D26" s="24">
        <f t="shared" si="0"/>
        <v>38918748</v>
      </c>
      <c r="E26" s="24">
        <f>-'- 15 -'!H26-'- 16 -'!B26</f>
        <v>-116872</v>
      </c>
      <c r="F26" s="24">
        <f t="shared" si="1"/>
        <v>38801876</v>
      </c>
    </row>
    <row r="27" spans="1:6" ht="14.1" customHeight="1">
      <c r="A27" s="357" t="s">
        <v>245</v>
      </c>
      <c r="B27" s="358">
        <v>39101597</v>
      </c>
      <c r="C27" s="358">
        <f>-Data!L27</f>
        <v>-10300</v>
      </c>
      <c r="D27" s="358">
        <f t="shared" si="0"/>
        <v>39091297</v>
      </c>
      <c r="E27" s="358">
        <f>-'- 15 -'!H27-'- 16 -'!B27</f>
        <v>-45416</v>
      </c>
      <c r="F27" s="358">
        <f t="shared" si="1"/>
        <v>39045881</v>
      </c>
    </row>
    <row r="28" spans="1:6" ht="14.1" customHeight="1">
      <c r="A28" s="23" t="s">
        <v>246</v>
      </c>
      <c r="B28" s="24">
        <v>27473889</v>
      </c>
      <c r="C28" s="24">
        <f>-Data!L28</f>
        <v>-124000</v>
      </c>
      <c r="D28" s="24">
        <f t="shared" si="0"/>
        <v>27349889</v>
      </c>
      <c r="E28" s="24">
        <f>-'- 15 -'!H28-'- 16 -'!B28</f>
        <v>-238961</v>
      </c>
      <c r="F28" s="24">
        <f t="shared" si="1"/>
        <v>27110928</v>
      </c>
    </row>
    <row r="29" spans="1:6" ht="14.1" customHeight="1">
      <c r="A29" s="357" t="s">
        <v>247</v>
      </c>
      <c r="B29" s="358">
        <v>149097748</v>
      </c>
      <c r="C29" s="358">
        <f>-Data!L29</f>
        <v>-2017000</v>
      </c>
      <c r="D29" s="358">
        <f t="shared" si="0"/>
        <v>147080748</v>
      </c>
      <c r="E29" s="358">
        <f>-'- 15 -'!H29-'- 16 -'!B29</f>
        <v>-622495</v>
      </c>
      <c r="F29" s="358">
        <f t="shared" si="1"/>
        <v>146458253</v>
      </c>
    </row>
    <row r="30" spans="1:6" ht="14.1" customHeight="1">
      <c r="A30" s="23" t="s">
        <v>248</v>
      </c>
      <c r="B30" s="24">
        <v>13425105</v>
      </c>
      <c r="C30" s="24">
        <f>-Data!L30</f>
        <v>-24700</v>
      </c>
      <c r="D30" s="24">
        <f t="shared" si="0"/>
        <v>13400405</v>
      </c>
      <c r="E30" s="24">
        <f>-'- 15 -'!H30-'- 16 -'!B30</f>
        <v>-13920</v>
      </c>
      <c r="F30" s="24">
        <f t="shared" si="1"/>
        <v>13386485</v>
      </c>
    </row>
    <row r="31" spans="1:6" ht="14.1" customHeight="1">
      <c r="A31" s="357" t="s">
        <v>249</v>
      </c>
      <c r="B31" s="358">
        <v>35025654</v>
      </c>
      <c r="C31" s="358">
        <f>-Data!L31</f>
        <v>-50000</v>
      </c>
      <c r="D31" s="358">
        <f t="shared" si="0"/>
        <v>34975654</v>
      </c>
      <c r="E31" s="358">
        <f>-'- 15 -'!H31-'- 16 -'!B31</f>
        <v>-56120</v>
      </c>
      <c r="F31" s="358">
        <f t="shared" si="1"/>
        <v>34919534</v>
      </c>
    </row>
    <row r="32" spans="1:6" ht="14.1" customHeight="1">
      <c r="A32" s="23" t="s">
        <v>250</v>
      </c>
      <c r="B32" s="24">
        <v>26821678</v>
      </c>
      <c r="C32" s="24">
        <f>-Data!L32</f>
        <v>-204000</v>
      </c>
      <c r="D32" s="24">
        <f t="shared" si="0"/>
        <v>26617678</v>
      </c>
      <c r="E32" s="24">
        <f>-'- 15 -'!H32-'- 16 -'!B32</f>
        <v>-292810</v>
      </c>
      <c r="F32" s="24">
        <f t="shared" si="1"/>
        <v>26324868</v>
      </c>
    </row>
    <row r="33" spans="1:7" ht="14.1" customHeight="1">
      <c r="A33" s="357" t="s">
        <v>251</v>
      </c>
      <c r="B33" s="358">
        <v>27228724</v>
      </c>
      <c r="C33" s="358">
        <f>-Data!L33</f>
        <v>-128000</v>
      </c>
      <c r="D33" s="358">
        <f t="shared" si="0"/>
        <v>27100724</v>
      </c>
      <c r="E33" s="358">
        <f>-'- 15 -'!H33-'- 16 -'!B33</f>
        <v>-30000</v>
      </c>
      <c r="F33" s="358">
        <f t="shared" si="1"/>
        <v>27070724</v>
      </c>
    </row>
    <row r="34" spans="1:7" ht="14.1" customHeight="1">
      <c r="A34" s="23" t="s">
        <v>252</v>
      </c>
      <c r="B34" s="24">
        <v>26704400</v>
      </c>
      <c r="C34" s="24">
        <f>-Data!L34</f>
        <v>-371331</v>
      </c>
      <c r="D34" s="24">
        <f t="shared" si="0"/>
        <v>26333069</v>
      </c>
      <c r="E34" s="24">
        <f>-'- 15 -'!H34-'- 16 -'!B34</f>
        <v>-59409</v>
      </c>
      <c r="F34" s="24">
        <f t="shared" si="1"/>
        <v>26273660</v>
      </c>
    </row>
    <row r="35" spans="1:7" ht="14.1" customHeight="1">
      <c r="A35" s="357" t="s">
        <v>253</v>
      </c>
      <c r="B35" s="358">
        <v>170490990</v>
      </c>
      <c r="C35" s="358">
        <f>-Data!L35</f>
        <v>-37300</v>
      </c>
      <c r="D35" s="358">
        <f t="shared" si="0"/>
        <v>170453690</v>
      </c>
      <c r="E35" s="358">
        <f>-'- 15 -'!H35-'- 16 -'!B35</f>
        <v>-609998</v>
      </c>
      <c r="F35" s="358">
        <f t="shared" si="1"/>
        <v>169843692</v>
      </c>
    </row>
    <row r="36" spans="1:7" ht="14.1" customHeight="1">
      <c r="A36" s="23" t="s">
        <v>254</v>
      </c>
      <c r="B36" s="24">
        <v>22399325</v>
      </c>
      <c r="C36" s="24">
        <f>-Data!L36</f>
        <v>-278250</v>
      </c>
      <c r="D36" s="24">
        <f t="shared" si="0"/>
        <v>22121075</v>
      </c>
      <c r="E36" s="24">
        <f>-'- 15 -'!H36-'- 16 -'!B36</f>
        <v>-34775</v>
      </c>
      <c r="F36" s="24">
        <f t="shared" si="1"/>
        <v>22086300</v>
      </c>
    </row>
    <row r="37" spans="1:7" ht="14.1" customHeight="1">
      <c r="A37" s="357" t="s">
        <v>255</v>
      </c>
      <c r="B37" s="358">
        <v>45264000</v>
      </c>
      <c r="C37" s="358">
        <f>-Data!L37</f>
        <v>-561550</v>
      </c>
      <c r="D37" s="358">
        <f t="shared" si="0"/>
        <v>44702450</v>
      </c>
      <c r="E37" s="358">
        <f>-'- 15 -'!H37-'- 16 -'!B37</f>
        <v>-187239</v>
      </c>
      <c r="F37" s="358">
        <f t="shared" si="1"/>
        <v>44515211</v>
      </c>
    </row>
    <row r="38" spans="1:7" ht="14.1" customHeight="1">
      <c r="A38" s="23" t="s">
        <v>256</v>
      </c>
      <c r="B38" s="24">
        <v>123468155</v>
      </c>
      <c r="C38" s="24">
        <f>-Data!L38</f>
        <v>-1202500</v>
      </c>
      <c r="D38" s="24">
        <f t="shared" si="0"/>
        <v>122265655</v>
      </c>
      <c r="E38" s="24">
        <f>-'- 15 -'!H38-'- 16 -'!B38</f>
        <v>-2523360</v>
      </c>
      <c r="F38" s="24">
        <f t="shared" si="1"/>
        <v>119742295</v>
      </c>
    </row>
    <row r="39" spans="1:7" ht="14.1" customHeight="1">
      <c r="A39" s="357" t="s">
        <v>257</v>
      </c>
      <c r="B39" s="358">
        <v>20965072</v>
      </c>
      <c r="C39" s="358">
        <f>-Data!L39</f>
        <v>-107000</v>
      </c>
      <c r="D39" s="358">
        <f t="shared" si="0"/>
        <v>20858072</v>
      </c>
      <c r="E39" s="358">
        <f>-'- 15 -'!H39-'- 16 -'!B39</f>
        <v>-170200</v>
      </c>
      <c r="F39" s="358">
        <f t="shared" si="1"/>
        <v>20687872</v>
      </c>
    </row>
    <row r="40" spans="1:7" ht="14.1" customHeight="1">
      <c r="A40" s="23" t="s">
        <v>258</v>
      </c>
      <c r="B40" s="24">
        <v>99746453</v>
      </c>
      <c r="C40" s="24">
        <f>-Data!L40</f>
        <v>-480000</v>
      </c>
      <c r="D40" s="24">
        <f t="shared" si="0"/>
        <v>99266453</v>
      </c>
      <c r="E40" s="24">
        <f>-'- 15 -'!H40-'- 16 -'!B40</f>
        <v>-1115047</v>
      </c>
      <c r="F40" s="24">
        <f t="shared" si="1"/>
        <v>98151406</v>
      </c>
    </row>
    <row r="41" spans="1:7" ht="14.1" customHeight="1">
      <c r="A41" s="357" t="s">
        <v>259</v>
      </c>
      <c r="B41" s="358">
        <v>60063654</v>
      </c>
      <c r="C41" s="358">
        <f>-Data!L41</f>
        <v>-680000</v>
      </c>
      <c r="D41" s="358">
        <f t="shared" si="0"/>
        <v>59383654</v>
      </c>
      <c r="E41" s="358">
        <f>-'- 15 -'!H41-'- 16 -'!B41</f>
        <v>-1247811</v>
      </c>
      <c r="F41" s="358">
        <f t="shared" si="1"/>
        <v>58135843</v>
      </c>
    </row>
    <row r="42" spans="1:7" ht="14.1" customHeight="1">
      <c r="A42" s="23" t="s">
        <v>260</v>
      </c>
      <c r="B42" s="24">
        <v>20363424</v>
      </c>
      <c r="C42" s="24">
        <f>-Data!L42</f>
        <v>-1300</v>
      </c>
      <c r="D42" s="24">
        <f t="shared" si="0"/>
        <v>20362124</v>
      </c>
      <c r="E42" s="24">
        <f>-'- 15 -'!H42-'- 16 -'!B42</f>
        <v>-208256</v>
      </c>
      <c r="F42" s="24">
        <f t="shared" si="1"/>
        <v>20153868</v>
      </c>
    </row>
    <row r="43" spans="1:7" ht="14.1" customHeight="1">
      <c r="A43" s="357" t="s">
        <v>261</v>
      </c>
      <c r="B43" s="358">
        <v>12469845</v>
      </c>
      <c r="C43" s="358">
        <f>-Data!L43</f>
        <v>-26000</v>
      </c>
      <c r="D43" s="358">
        <f t="shared" si="0"/>
        <v>12443845</v>
      </c>
      <c r="E43" s="358">
        <f>-'- 15 -'!H43-'- 16 -'!B43</f>
        <v>-231930</v>
      </c>
      <c r="F43" s="358">
        <f t="shared" si="1"/>
        <v>12211915</v>
      </c>
    </row>
    <row r="44" spans="1:7" ht="14.1" customHeight="1">
      <c r="A44" s="23" t="s">
        <v>262</v>
      </c>
      <c r="B44" s="24">
        <v>10954447</v>
      </c>
      <c r="C44" s="24">
        <f>-Data!L44</f>
        <v>-189924</v>
      </c>
      <c r="D44" s="24">
        <f t="shared" si="0"/>
        <v>10764523</v>
      </c>
      <c r="E44" s="24">
        <f>-'- 15 -'!H44-'- 16 -'!B44</f>
        <v>-9956</v>
      </c>
      <c r="F44" s="24">
        <f t="shared" si="1"/>
        <v>10754567</v>
      </c>
    </row>
    <row r="45" spans="1:7" ht="14.1" customHeight="1">
      <c r="A45" s="357" t="s">
        <v>263</v>
      </c>
      <c r="B45" s="358">
        <v>17707218</v>
      </c>
      <c r="C45" s="358">
        <f>-Data!L45</f>
        <v>-149700</v>
      </c>
      <c r="D45" s="358">
        <f t="shared" si="0"/>
        <v>17557518</v>
      </c>
      <c r="E45" s="358">
        <f>-'- 15 -'!H45-'- 16 -'!B45</f>
        <v>-437426</v>
      </c>
      <c r="F45" s="358">
        <f t="shared" si="1"/>
        <v>17120092</v>
      </c>
    </row>
    <row r="46" spans="1:7" ht="14.1" customHeight="1">
      <c r="A46" s="23" t="s">
        <v>264</v>
      </c>
      <c r="B46" s="24">
        <v>372129000</v>
      </c>
      <c r="C46" s="24">
        <f>-Data!L46</f>
        <v>-2415100</v>
      </c>
      <c r="D46" s="24">
        <f t="shared" si="0"/>
        <v>369713900</v>
      </c>
      <c r="E46" s="24">
        <f>-'- 15 -'!H46-'- 16 -'!B46</f>
        <v>-9888200</v>
      </c>
      <c r="F46" s="24">
        <f t="shared" si="1"/>
        <v>359825700</v>
      </c>
    </row>
    <row r="47" spans="1:7" ht="5.0999999999999996" customHeight="1">
      <c r="A47"/>
      <c r="B47"/>
      <c r="C47"/>
      <c r="D47"/>
      <c r="E47"/>
      <c r="F47"/>
      <c r="G47"/>
    </row>
    <row r="48" spans="1:7" ht="14.1" customHeight="1">
      <c r="A48" s="360" t="s">
        <v>265</v>
      </c>
      <c r="B48" s="361">
        <f>SUM(B11:B46)</f>
        <v>2163429066</v>
      </c>
      <c r="C48" s="361">
        <f>SUM(C11:C46)</f>
        <v>-17726426</v>
      </c>
      <c r="D48" s="361">
        <f>SUM(D11:D46)</f>
        <v>2145702640</v>
      </c>
      <c r="E48" s="361">
        <f>SUM(E11:E46)</f>
        <v>-28631335</v>
      </c>
      <c r="F48" s="361">
        <f>SUM(F11:F46)</f>
        <v>2117071305</v>
      </c>
    </row>
    <row r="49" spans="1:6" ht="5.0999999999999996" customHeight="1">
      <c r="A49" s="25" t="s">
        <v>3</v>
      </c>
      <c r="B49" s="26"/>
      <c r="C49" s="26"/>
      <c r="D49" s="26"/>
      <c r="E49" s="26"/>
      <c r="F49" s="26"/>
    </row>
    <row r="50" spans="1:6" ht="14.1" customHeight="1">
      <c r="A50" s="23" t="s">
        <v>266</v>
      </c>
      <c r="B50" s="24">
        <v>3374968</v>
      </c>
      <c r="C50" s="24">
        <f>-Data!L50</f>
        <v>-11500</v>
      </c>
      <c r="D50" s="24">
        <f>B50+C50</f>
        <v>3363468</v>
      </c>
      <c r="E50" s="24">
        <f>-'- 15 -'!H50-'- 16 -'!B50</f>
        <v>-109716</v>
      </c>
      <c r="F50" s="24">
        <f>D50+E50</f>
        <v>3253752</v>
      </c>
    </row>
    <row r="51" spans="1:6" ht="14.1" customHeight="1">
      <c r="A51" s="511" t="s">
        <v>691</v>
      </c>
      <c r="B51" s="358">
        <v>23595952</v>
      </c>
      <c r="C51" s="358">
        <f>-Data!L51</f>
        <v>-1083650</v>
      </c>
      <c r="D51" s="358">
        <f>B51+C51</f>
        <v>22512302</v>
      </c>
      <c r="E51" s="358">
        <f>-'- 15 -'!H51-'- 16 -'!B51</f>
        <v>-11164229</v>
      </c>
      <c r="F51" s="358">
        <f>D51+E51</f>
        <v>11348073</v>
      </c>
    </row>
    <row r="52" spans="1:6" ht="50.1" customHeight="1">
      <c r="A52" s="27"/>
      <c r="B52" s="27"/>
      <c r="C52" s="27"/>
      <c r="D52" s="27"/>
      <c r="E52" s="27"/>
      <c r="F52" s="27"/>
    </row>
    <row r="53" spans="1:6" ht="15" customHeight="1">
      <c r="A53" s="2" t="s">
        <v>581</v>
      </c>
      <c r="B53" s="28"/>
      <c r="C53" s="28"/>
      <c r="D53" s="28"/>
      <c r="E53" s="28"/>
      <c r="F53" s="28"/>
    </row>
    <row r="54" spans="1:6" ht="12" customHeight="1">
      <c r="A54" s="603" t="s">
        <v>582</v>
      </c>
      <c r="B54" s="28"/>
      <c r="C54" s="28"/>
      <c r="D54" s="28"/>
      <c r="E54" s="28"/>
      <c r="F54" s="28"/>
    </row>
    <row r="55" spans="1:6" ht="12" customHeight="1">
      <c r="A55" s="505" t="s">
        <v>678</v>
      </c>
      <c r="B55" s="28"/>
      <c r="C55" s="28"/>
      <c r="D55" s="28"/>
      <c r="E55" s="28"/>
      <c r="F55" s="28"/>
    </row>
    <row r="56" spans="1:6" ht="12" customHeight="1">
      <c r="A56" s="603" t="s">
        <v>583</v>
      </c>
      <c r="B56" s="28"/>
      <c r="C56" s="28"/>
      <c r="D56" s="28"/>
      <c r="E56" s="28"/>
      <c r="F56" s="28"/>
    </row>
    <row r="57" spans="1:6" ht="12" customHeight="1">
      <c r="A57" s="603" t="s">
        <v>584</v>
      </c>
    </row>
    <row r="58" spans="1:6" ht="12" customHeight="1">
      <c r="A58" s="603" t="s">
        <v>585</v>
      </c>
    </row>
    <row r="59" spans="1:6" ht="14.45" customHeight="1"/>
    <row r="64" spans="1:6">
      <c r="B64" s="1">
        <v>0</v>
      </c>
    </row>
    <row r="65536" spans="2:2">
      <c r="B65536" s="1">
        <v>0</v>
      </c>
    </row>
  </sheetData>
  <phoneticPr fontId="0" type="noConversion"/>
  <printOptions horizontalCentered="1"/>
  <pageMargins left="0.5" right="0.5" top="0.6" bottom="0" header="0.3" footer="0"/>
  <pageSetup scale="90" orientation="portrait" horizontalDpi="1200" verticalDpi="1200" r:id="rId1"/>
  <headerFooter alignWithMargins="0">
    <oddHeader>&amp;C&amp;"Arial,Bold"&amp;10&amp;A</oddHeader>
  </headerFooter>
</worksheet>
</file>

<file path=xl/worksheets/sheet20.xml><?xml version="1.0" encoding="utf-8"?>
<worksheet xmlns="http://schemas.openxmlformats.org/spreadsheetml/2006/main" xmlns:r="http://schemas.openxmlformats.org/officeDocument/2006/relationships">
  <sheetPr codeName="Sheet171">
    <pageSetUpPr fitToPage="1"/>
  </sheetPr>
  <dimension ref="A1:F59"/>
  <sheetViews>
    <sheetView showGridLines="0" showZeros="0" workbookViewId="0"/>
  </sheetViews>
  <sheetFormatPr defaultColWidth="15.83203125" defaultRowHeight="12"/>
  <cols>
    <col min="1" max="1" width="34.83203125" style="1" customWidth="1"/>
    <col min="2" max="2" width="19.6640625" style="1" customWidth="1"/>
    <col min="3" max="3" width="10.33203125" style="1" customWidth="1"/>
    <col min="4" max="4" width="19" style="1" customWidth="1"/>
    <col min="5" max="5" width="10.6640625" style="1" customWidth="1"/>
    <col min="6" max="6" width="25.83203125" style="1" customWidth="1"/>
    <col min="7" max="16384" width="15.83203125" style="1"/>
  </cols>
  <sheetData>
    <row r="1" spans="1:6" ht="6.95" customHeight="1">
      <c r="A1" s="3"/>
      <c r="B1" s="4"/>
      <c r="C1" s="4"/>
      <c r="D1" s="4"/>
      <c r="E1" s="4"/>
    </row>
    <row r="2" spans="1:6" ht="15.95" customHeight="1">
      <c r="A2" s="159"/>
      <c r="B2" s="5" t="s">
        <v>474</v>
      </c>
      <c r="C2" s="6"/>
      <c r="D2" s="6"/>
      <c r="E2" s="182"/>
      <c r="F2" s="182" t="s">
        <v>432</v>
      </c>
    </row>
    <row r="3" spans="1:6" ht="15.95" customHeight="1">
      <c r="A3" s="162"/>
      <c r="B3" s="7" t="str">
        <f>OPYEAR</f>
        <v>OPERATING FUND 2014/2015 BUDGET</v>
      </c>
      <c r="C3" s="8"/>
      <c r="D3" s="8"/>
      <c r="E3" s="101"/>
      <c r="F3" s="101"/>
    </row>
    <row r="4" spans="1:6" ht="15.95" customHeight="1">
      <c r="B4" s="4"/>
      <c r="C4" s="4"/>
      <c r="D4" s="4"/>
      <c r="E4" s="4"/>
    </row>
    <row r="5" spans="1:6" ht="15.95" customHeight="1">
      <c r="B5" s="164" t="s">
        <v>331</v>
      </c>
      <c r="C5" s="193"/>
      <c r="D5" s="72"/>
      <c r="E5" s="207"/>
    </row>
    <row r="6" spans="1:6" ht="15.95" customHeight="1">
      <c r="B6" s="351" t="s">
        <v>30</v>
      </c>
      <c r="C6" s="352"/>
      <c r="D6" s="411"/>
      <c r="E6" s="413"/>
    </row>
    <row r="7" spans="1:6" ht="15.95" customHeight="1">
      <c r="B7" s="354" t="s">
        <v>214</v>
      </c>
      <c r="C7" s="355"/>
      <c r="D7" s="354" t="s">
        <v>161</v>
      </c>
      <c r="E7" s="356"/>
    </row>
    <row r="8" spans="1:6" ht="15.95" customHeight="1">
      <c r="A8" s="102"/>
      <c r="B8" s="168"/>
      <c r="C8" s="167"/>
      <c r="D8" s="167"/>
      <c r="E8" s="168"/>
    </row>
    <row r="9" spans="1:6" ht="15.95" customHeight="1">
      <c r="A9" s="35" t="s">
        <v>81</v>
      </c>
      <c r="B9" s="113" t="s">
        <v>82</v>
      </c>
      <c r="C9" s="113" t="s">
        <v>83</v>
      </c>
      <c r="D9" s="113" t="s">
        <v>82</v>
      </c>
      <c r="E9" s="113" t="s">
        <v>83</v>
      </c>
    </row>
    <row r="10" spans="1:6" ht="5.0999999999999996" customHeight="1">
      <c r="A10" s="37"/>
    </row>
    <row r="11" spans="1:6" ht="14.1" customHeight="1">
      <c r="A11" s="357" t="s">
        <v>230</v>
      </c>
      <c r="B11" s="358">
        <v>0</v>
      </c>
      <c r="C11" s="359">
        <f>B11/'- 3 -'!$D11*100</f>
        <v>0</v>
      </c>
      <c r="D11" s="358">
        <v>0</v>
      </c>
      <c r="E11" s="359">
        <f>D11/'- 3 -'!$D11*100</f>
        <v>0</v>
      </c>
    </row>
    <row r="12" spans="1:6" ht="14.1" customHeight="1">
      <c r="A12" s="23" t="s">
        <v>231</v>
      </c>
      <c r="B12" s="24">
        <v>117729</v>
      </c>
      <c r="C12" s="350">
        <f>B12/'- 3 -'!$D12*100</f>
        <v>0.37418064850160404</v>
      </c>
      <c r="D12" s="24">
        <v>414670</v>
      </c>
      <c r="E12" s="350">
        <f>D12/'- 3 -'!$D12*100</f>
        <v>1.3179547054180376</v>
      </c>
    </row>
    <row r="13" spans="1:6" ht="14.1" customHeight="1">
      <c r="A13" s="357" t="s">
        <v>232</v>
      </c>
      <c r="B13" s="358">
        <v>0</v>
      </c>
      <c r="C13" s="359">
        <f>B13/'- 3 -'!$D13*100</f>
        <v>0</v>
      </c>
      <c r="D13" s="358">
        <v>0</v>
      </c>
      <c r="E13" s="359">
        <f>D13/'- 3 -'!$D13*100</f>
        <v>0</v>
      </c>
    </row>
    <row r="14" spans="1:6" ht="14.1" customHeight="1">
      <c r="A14" s="23" t="s">
        <v>566</v>
      </c>
      <c r="B14" s="24">
        <v>105180</v>
      </c>
      <c r="C14" s="350">
        <f>B14/'- 3 -'!$D14*100</f>
        <v>0.13162993501500941</v>
      </c>
      <c r="D14" s="24">
        <v>167167</v>
      </c>
      <c r="E14" s="350">
        <f>D14/'- 3 -'!$D14*100</f>
        <v>0.2092049947390576</v>
      </c>
    </row>
    <row r="15" spans="1:6" ht="14.1" customHeight="1">
      <c r="A15" s="357" t="s">
        <v>233</v>
      </c>
      <c r="B15" s="358">
        <v>0</v>
      </c>
      <c r="C15" s="359">
        <f>B15/'- 3 -'!$D15*100</f>
        <v>0</v>
      </c>
      <c r="D15" s="358">
        <v>0</v>
      </c>
      <c r="E15" s="359">
        <f>D15/'- 3 -'!$D15*100</f>
        <v>0</v>
      </c>
    </row>
    <row r="16" spans="1:6" ht="14.1" customHeight="1">
      <c r="A16" s="23" t="s">
        <v>234</v>
      </c>
      <c r="B16" s="24">
        <v>24966</v>
      </c>
      <c r="C16" s="350">
        <f>B16/'- 3 -'!$D16*100</f>
        <v>0.18518595441010494</v>
      </c>
      <c r="D16" s="24">
        <v>72976</v>
      </c>
      <c r="E16" s="350">
        <f>D16/'- 3 -'!$D16*100</f>
        <v>0.54130137823567315</v>
      </c>
    </row>
    <row r="17" spans="1:5" ht="14.1" customHeight="1">
      <c r="A17" s="357" t="s">
        <v>235</v>
      </c>
      <c r="B17" s="358">
        <v>0</v>
      </c>
      <c r="C17" s="359">
        <f>B17/'- 3 -'!$D17*100</f>
        <v>0</v>
      </c>
      <c r="D17" s="358">
        <v>0</v>
      </c>
      <c r="E17" s="359">
        <f>D17/'- 3 -'!$D17*100</f>
        <v>0</v>
      </c>
    </row>
    <row r="18" spans="1:5" ht="14.1" customHeight="1">
      <c r="A18" s="23" t="s">
        <v>236</v>
      </c>
      <c r="B18" s="24">
        <v>231778</v>
      </c>
      <c r="C18" s="350">
        <f>B18/'- 3 -'!$D18*100</f>
        <v>0.18725698968517585</v>
      </c>
      <c r="D18" s="24">
        <v>1745053</v>
      </c>
      <c r="E18" s="350">
        <f>D18/'- 3 -'!$D18*100</f>
        <v>1.4098549975454322</v>
      </c>
    </row>
    <row r="19" spans="1:5" ht="14.1" customHeight="1">
      <c r="A19" s="357" t="s">
        <v>237</v>
      </c>
      <c r="B19" s="358">
        <v>0</v>
      </c>
      <c r="C19" s="359">
        <f>B19/'- 3 -'!$D19*100</f>
        <v>0</v>
      </c>
      <c r="D19" s="358">
        <v>0</v>
      </c>
      <c r="E19" s="359">
        <f>D19/'- 3 -'!$D19*100</f>
        <v>0</v>
      </c>
    </row>
    <row r="20" spans="1:5" ht="14.1" customHeight="1">
      <c r="A20" s="23" t="s">
        <v>238</v>
      </c>
      <c r="B20" s="24">
        <v>0</v>
      </c>
      <c r="C20" s="350">
        <f>B20/'- 3 -'!$D20*100</f>
        <v>0</v>
      </c>
      <c r="D20" s="24">
        <v>0</v>
      </c>
      <c r="E20" s="350">
        <f>D20/'- 3 -'!$D20*100</f>
        <v>0</v>
      </c>
    </row>
    <row r="21" spans="1:5" ht="14.1" customHeight="1">
      <c r="A21" s="357" t="s">
        <v>239</v>
      </c>
      <c r="B21" s="358">
        <v>0</v>
      </c>
      <c r="C21" s="359">
        <f>B21/'- 3 -'!$D21*100</f>
        <v>0</v>
      </c>
      <c r="D21" s="358">
        <v>0</v>
      </c>
      <c r="E21" s="359">
        <f>D21/'- 3 -'!$D21*100</f>
        <v>0</v>
      </c>
    </row>
    <row r="22" spans="1:5" ht="14.1" customHeight="1">
      <c r="A22" s="23" t="s">
        <v>240</v>
      </c>
      <c r="B22" s="24">
        <v>141350</v>
      </c>
      <c r="C22" s="350">
        <f>B22/'- 3 -'!$D22*100</f>
        <v>0.72847498156136281</v>
      </c>
      <c r="D22" s="24">
        <v>471940</v>
      </c>
      <c r="E22" s="350">
        <f>D22/'- 3 -'!$D22*100</f>
        <v>2.4322354637288259</v>
      </c>
    </row>
    <row r="23" spans="1:5" ht="14.1" customHeight="1">
      <c r="A23" s="357" t="s">
        <v>241</v>
      </c>
      <c r="B23" s="358">
        <v>21050</v>
      </c>
      <c r="C23" s="359">
        <f>B23/'- 3 -'!$D23*100</f>
        <v>0.129189609841241</v>
      </c>
      <c r="D23" s="358">
        <v>208950</v>
      </c>
      <c r="E23" s="359">
        <f>D23/'- 3 -'!$D23*100</f>
        <v>1.2823833242910836</v>
      </c>
    </row>
    <row r="24" spans="1:5" ht="14.1" customHeight="1">
      <c r="A24" s="23" t="s">
        <v>242</v>
      </c>
      <c r="B24" s="24">
        <v>119950</v>
      </c>
      <c r="C24" s="350">
        <f>B24/'- 3 -'!$D24*100</f>
        <v>0.22077969670520306</v>
      </c>
      <c r="D24" s="24">
        <v>209720</v>
      </c>
      <c r="E24" s="350">
        <f>D24/'- 3 -'!$D24*100</f>
        <v>0.38601015417269852</v>
      </c>
    </row>
    <row r="25" spans="1:5" ht="14.1" customHeight="1">
      <c r="A25" s="357" t="s">
        <v>243</v>
      </c>
      <c r="B25" s="358">
        <v>0</v>
      </c>
      <c r="C25" s="359">
        <f>B25/'- 3 -'!$D25*100</f>
        <v>0</v>
      </c>
      <c r="D25" s="358">
        <v>0</v>
      </c>
      <c r="E25" s="359">
        <f>D25/'- 3 -'!$D25*100</f>
        <v>0</v>
      </c>
    </row>
    <row r="26" spans="1:5" ht="14.1" customHeight="1">
      <c r="A26" s="23" t="s">
        <v>244</v>
      </c>
      <c r="B26" s="24">
        <v>0</v>
      </c>
      <c r="C26" s="350">
        <f>B26/'- 3 -'!$D26*100</f>
        <v>0</v>
      </c>
      <c r="D26" s="24">
        <v>0</v>
      </c>
      <c r="E26" s="350">
        <f>D26/'- 3 -'!$D26*100</f>
        <v>0</v>
      </c>
    </row>
    <row r="27" spans="1:5" ht="14.1" customHeight="1">
      <c r="A27" s="357" t="s">
        <v>245</v>
      </c>
      <c r="B27" s="358">
        <v>0</v>
      </c>
      <c r="C27" s="359">
        <f>B27/'- 3 -'!$D27*100</f>
        <v>0</v>
      </c>
      <c r="D27" s="358">
        <v>0</v>
      </c>
      <c r="E27" s="359">
        <f>D27/'- 3 -'!$D27*100</f>
        <v>0</v>
      </c>
    </row>
    <row r="28" spans="1:5" ht="14.1" customHeight="1">
      <c r="A28" s="23" t="s">
        <v>246</v>
      </c>
      <c r="B28" s="24">
        <v>0</v>
      </c>
      <c r="C28" s="350">
        <f>B28/'- 3 -'!$D28*100</f>
        <v>0</v>
      </c>
      <c r="D28" s="24">
        <v>109774</v>
      </c>
      <c r="E28" s="350">
        <f>D28/'- 3 -'!$D28*100</f>
        <v>0.40136908782335462</v>
      </c>
    </row>
    <row r="29" spans="1:5" ht="14.1" customHeight="1">
      <c r="A29" s="357" t="s">
        <v>247</v>
      </c>
      <c r="B29" s="358">
        <v>0</v>
      </c>
      <c r="C29" s="359">
        <f>B29/'- 3 -'!$D29*100</f>
        <v>0</v>
      </c>
      <c r="D29" s="358">
        <v>0</v>
      </c>
      <c r="E29" s="359">
        <f>D29/'- 3 -'!$D29*100</f>
        <v>0</v>
      </c>
    </row>
    <row r="30" spans="1:5" ht="14.1" customHeight="1">
      <c r="A30" s="23" t="s">
        <v>248</v>
      </c>
      <c r="B30" s="24">
        <v>0</v>
      </c>
      <c r="C30" s="350">
        <f>B30/'- 3 -'!$D30*100</f>
        <v>0</v>
      </c>
      <c r="D30" s="24">
        <v>0</v>
      </c>
      <c r="E30" s="350">
        <f>D30/'- 3 -'!$D30*100</f>
        <v>0</v>
      </c>
    </row>
    <row r="31" spans="1:5" ht="14.1" customHeight="1">
      <c r="A31" s="357" t="s">
        <v>249</v>
      </c>
      <c r="B31" s="358">
        <v>0</v>
      </c>
      <c r="C31" s="359">
        <f>B31/'- 3 -'!$D31*100</f>
        <v>0</v>
      </c>
      <c r="D31" s="358">
        <v>0</v>
      </c>
      <c r="E31" s="359">
        <f>D31/'- 3 -'!$D31*100</f>
        <v>0</v>
      </c>
    </row>
    <row r="32" spans="1:5" ht="14.1" customHeight="1">
      <c r="A32" s="23" t="s">
        <v>250</v>
      </c>
      <c r="B32" s="24">
        <v>65075</v>
      </c>
      <c r="C32" s="350">
        <f>B32/'- 3 -'!$D32*100</f>
        <v>0.24448037879186904</v>
      </c>
      <c r="D32" s="24">
        <v>192800</v>
      </c>
      <c r="E32" s="350">
        <f>D32/'- 3 -'!$D32*100</f>
        <v>0.72433064972834971</v>
      </c>
    </row>
    <row r="33" spans="1:5" ht="14.1" customHeight="1">
      <c r="A33" s="357" t="s">
        <v>251</v>
      </c>
      <c r="B33" s="358">
        <v>0</v>
      </c>
      <c r="C33" s="359">
        <f>B33/'- 3 -'!$D33*100</f>
        <v>0</v>
      </c>
      <c r="D33" s="358">
        <v>0</v>
      </c>
      <c r="E33" s="359">
        <f>D33/'- 3 -'!$D33*100</f>
        <v>0</v>
      </c>
    </row>
    <row r="34" spans="1:5" ht="14.1" customHeight="1">
      <c r="A34" s="23" t="s">
        <v>252</v>
      </c>
      <c r="B34" s="24">
        <v>0</v>
      </c>
      <c r="C34" s="350">
        <f>B34/'- 3 -'!$D34*100</f>
        <v>0</v>
      </c>
      <c r="D34" s="24">
        <v>0</v>
      </c>
      <c r="E34" s="350">
        <f>D34/'- 3 -'!$D34*100</f>
        <v>0</v>
      </c>
    </row>
    <row r="35" spans="1:5" ht="14.1" customHeight="1">
      <c r="A35" s="357" t="s">
        <v>253</v>
      </c>
      <c r="B35" s="358">
        <v>0</v>
      </c>
      <c r="C35" s="359">
        <f>B35/'- 3 -'!$D35*100</f>
        <v>0</v>
      </c>
      <c r="D35" s="358">
        <v>0</v>
      </c>
      <c r="E35" s="359">
        <f>D35/'- 3 -'!$D35*100</f>
        <v>0</v>
      </c>
    </row>
    <row r="36" spans="1:5" ht="14.1" customHeight="1">
      <c r="A36" s="23" t="s">
        <v>254</v>
      </c>
      <c r="B36" s="24">
        <v>0</v>
      </c>
      <c r="C36" s="350">
        <f>B36/'- 3 -'!$D36*100</f>
        <v>0</v>
      </c>
      <c r="D36" s="24">
        <v>0</v>
      </c>
      <c r="E36" s="350">
        <f>D36/'- 3 -'!$D36*100</f>
        <v>0</v>
      </c>
    </row>
    <row r="37" spans="1:5" ht="14.1" customHeight="1">
      <c r="A37" s="357" t="s">
        <v>255</v>
      </c>
      <c r="B37" s="358">
        <v>0</v>
      </c>
      <c r="C37" s="359">
        <f>B37/'- 3 -'!$D37*100</f>
        <v>0</v>
      </c>
      <c r="D37" s="358">
        <v>0</v>
      </c>
      <c r="E37" s="359">
        <f>D37/'- 3 -'!$D37*100</f>
        <v>0</v>
      </c>
    </row>
    <row r="38" spans="1:5" ht="14.1" customHeight="1">
      <c r="A38" s="23" t="s">
        <v>256</v>
      </c>
      <c r="B38" s="24">
        <v>205570</v>
      </c>
      <c r="C38" s="350">
        <f>B38/'- 3 -'!$D38*100</f>
        <v>0.16813388845788296</v>
      </c>
      <c r="D38" s="24">
        <v>496160</v>
      </c>
      <c r="E38" s="350">
        <f>D38/'- 3 -'!$D38*100</f>
        <v>0.40580488445426477</v>
      </c>
    </row>
    <row r="39" spans="1:5" ht="14.1" customHeight="1">
      <c r="A39" s="357" t="s">
        <v>257</v>
      </c>
      <c r="B39" s="358">
        <v>0</v>
      </c>
      <c r="C39" s="359">
        <f>B39/'- 3 -'!$D39*100</f>
        <v>0</v>
      </c>
      <c r="D39" s="358">
        <v>0</v>
      </c>
      <c r="E39" s="359">
        <f>D39/'- 3 -'!$D39*100</f>
        <v>0</v>
      </c>
    </row>
    <row r="40" spans="1:5" ht="14.1" customHeight="1">
      <c r="A40" s="23" t="s">
        <v>258</v>
      </c>
      <c r="B40" s="24">
        <v>0</v>
      </c>
      <c r="C40" s="350">
        <f>B40/'- 3 -'!$D40*100</f>
        <v>0</v>
      </c>
      <c r="D40" s="24">
        <v>0</v>
      </c>
      <c r="E40" s="350">
        <f>D40/'- 3 -'!$D40*100</f>
        <v>0</v>
      </c>
    </row>
    <row r="41" spans="1:5" ht="14.1" customHeight="1">
      <c r="A41" s="357" t="s">
        <v>259</v>
      </c>
      <c r="B41" s="358">
        <v>379774</v>
      </c>
      <c r="C41" s="359">
        <f>B41/'- 3 -'!$D41*100</f>
        <v>0.63952615647396838</v>
      </c>
      <c r="D41" s="358">
        <v>600401</v>
      </c>
      <c r="E41" s="359">
        <f>D41/'- 3 -'!$D41*100</f>
        <v>1.0110543214467738</v>
      </c>
    </row>
    <row r="42" spans="1:5" ht="14.1" customHeight="1">
      <c r="A42" s="23" t="s">
        <v>260</v>
      </c>
      <c r="B42" s="24">
        <v>0</v>
      </c>
      <c r="C42" s="350">
        <f>B42/'- 3 -'!$D42*100</f>
        <v>0</v>
      </c>
      <c r="D42" s="24">
        <v>0</v>
      </c>
      <c r="E42" s="350">
        <f>D42/'- 3 -'!$D42*100</f>
        <v>0</v>
      </c>
    </row>
    <row r="43" spans="1:5" ht="14.1" customHeight="1">
      <c r="A43" s="357" t="s">
        <v>261</v>
      </c>
      <c r="B43" s="358">
        <v>7427</v>
      </c>
      <c r="C43" s="359">
        <f>B43/'- 3 -'!$D43*100</f>
        <v>5.9684124962983705E-2</v>
      </c>
      <c r="D43" s="358">
        <v>211242</v>
      </c>
      <c r="E43" s="359">
        <f>D43/'- 3 -'!$D43*100</f>
        <v>1.6975621281042956</v>
      </c>
    </row>
    <row r="44" spans="1:5" ht="14.1" customHeight="1">
      <c r="A44" s="23" t="s">
        <v>262</v>
      </c>
      <c r="B44" s="24">
        <v>0</v>
      </c>
      <c r="C44" s="350">
        <f>B44/'- 3 -'!$D44*100</f>
        <v>0</v>
      </c>
      <c r="D44" s="24">
        <v>0</v>
      </c>
      <c r="E44" s="350">
        <f>D44/'- 3 -'!$D44*100</f>
        <v>0</v>
      </c>
    </row>
    <row r="45" spans="1:5" ht="14.1" customHeight="1">
      <c r="A45" s="357" t="s">
        <v>263</v>
      </c>
      <c r="B45" s="358">
        <v>160695</v>
      </c>
      <c r="C45" s="359">
        <f>B45/'- 3 -'!$D45*100</f>
        <v>0.91524895489214364</v>
      </c>
      <c r="D45" s="358">
        <v>224804</v>
      </c>
      <c r="E45" s="359">
        <f>D45/'- 3 -'!$D45*100</f>
        <v>1.2803859862196925</v>
      </c>
    </row>
    <row r="46" spans="1:5" ht="14.1" customHeight="1">
      <c r="A46" s="23" t="s">
        <v>264</v>
      </c>
      <c r="B46" s="24">
        <v>123200</v>
      </c>
      <c r="C46" s="350">
        <f>B46/'- 3 -'!$D46*100</f>
        <v>3.3323064131481124E-2</v>
      </c>
      <c r="D46" s="24">
        <v>633500</v>
      </c>
      <c r="E46" s="350">
        <f>D46/'- 3 -'!$D46*100</f>
        <v>0.1713487104488092</v>
      </c>
    </row>
    <row r="47" spans="1:5" ht="5.0999999999999996" customHeight="1">
      <c r="A47"/>
      <c r="B47"/>
      <c r="C47"/>
      <c r="D47"/>
      <c r="E47"/>
    </row>
    <row r="48" spans="1:5" ht="14.1" customHeight="1">
      <c r="A48" s="360" t="s">
        <v>265</v>
      </c>
      <c r="B48" s="361">
        <f>SUM(B11:B46)</f>
        <v>1703744</v>
      </c>
      <c r="C48" s="362">
        <f>B48/'- 3 -'!$D48*100</f>
        <v>7.9402614707133876E-2</v>
      </c>
      <c r="D48" s="361">
        <f>SUM(D11:D46)</f>
        <v>5759157</v>
      </c>
      <c r="E48" s="362">
        <f>D48/'- 3 -'!$D48*100</f>
        <v>0.26840424635913207</v>
      </c>
    </row>
    <row r="49" spans="1:5" ht="5.0999999999999996" customHeight="1">
      <c r="A49" s="25" t="s">
        <v>3</v>
      </c>
      <c r="B49" s="26"/>
      <c r="C49" s="349"/>
      <c r="D49" s="26"/>
      <c r="E49" s="349"/>
    </row>
    <row r="50" spans="1:5" ht="14.1" customHeight="1">
      <c r="A50" s="23" t="s">
        <v>266</v>
      </c>
      <c r="B50" s="24">
        <v>0</v>
      </c>
      <c r="C50" s="350">
        <f>B50/'- 3 -'!$D50*100</f>
        <v>0</v>
      </c>
      <c r="D50" s="24">
        <v>0</v>
      </c>
      <c r="E50" s="350">
        <f>D50/'- 3 -'!$D50*100</f>
        <v>0</v>
      </c>
    </row>
    <row r="51" spans="1:5" ht="14.1" customHeight="1">
      <c r="A51" s="511" t="s">
        <v>691</v>
      </c>
      <c r="B51" s="358">
        <v>2452647</v>
      </c>
      <c r="C51" s="359">
        <f>B51/'- 3 -'!$D51*100</f>
        <v>10.894696597442589</v>
      </c>
      <c r="D51" s="358">
        <v>295695</v>
      </c>
      <c r="E51" s="359">
        <f>D51/'- 3 -'!$D51*100</f>
        <v>1.3134818465033029</v>
      </c>
    </row>
    <row r="52" spans="1:5" ht="50.1" customHeight="1"/>
    <row r="53" spans="1:5" ht="15" customHeight="1">
      <c r="A53" s="158"/>
    </row>
    <row r="54" spans="1:5" ht="14.45" customHeight="1"/>
    <row r="55" spans="1:5" ht="14.45" customHeight="1"/>
    <row r="56" spans="1:5" ht="14.45" customHeight="1"/>
    <row r="57" spans="1:5" ht="14.45" customHeight="1"/>
    <row r="58" spans="1:5" ht="14.45" customHeight="1">
      <c r="A58" s="28"/>
    </row>
    <row r="59" spans="1:5"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21.xml><?xml version="1.0" encoding="utf-8"?>
<worksheet xmlns="http://schemas.openxmlformats.org/spreadsheetml/2006/main" xmlns:r="http://schemas.openxmlformats.org/officeDocument/2006/relationships">
  <sheetPr codeName="Sheet20">
    <pageSetUpPr fitToPage="1"/>
  </sheetPr>
  <dimension ref="A1:I59"/>
  <sheetViews>
    <sheetView showGridLines="0" showZeros="0" workbookViewId="0"/>
  </sheetViews>
  <sheetFormatPr defaultColWidth="15.83203125" defaultRowHeight="12"/>
  <cols>
    <col min="1" max="1" width="29.33203125" style="1" customWidth="1"/>
    <col min="2" max="2" width="12.83203125" style="1" customWidth="1"/>
    <col min="3" max="3" width="8.83203125" style="1" customWidth="1"/>
    <col min="4" max="4" width="16.83203125" style="1" customWidth="1"/>
    <col min="5" max="5" width="8.83203125" style="1" customWidth="1"/>
    <col min="6" max="6" width="16.1640625" style="1" customWidth="1"/>
    <col min="7" max="7" width="8.83203125" style="1" customWidth="1"/>
    <col min="8" max="8" width="15.33203125" style="1" customWidth="1"/>
    <col min="9" max="9" width="8.83203125" style="1" customWidth="1"/>
    <col min="10" max="16384" width="15.83203125" style="1"/>
  </cols>
  <sheetData>
    <row r="1" spans="1:9" ht="6.95" customHeight="1">
      <c r="A1" s="3"/>
      <c r="B1" s="4"/>
      <c r="C1" s="4"/>
      <c r="D1" s="4"/>
      <c r="E1" s="4"/>
      <c r="F1" s="4"/>
      <c r="G1" s="4"/>
      <c r="H1" s="4"/>
      <c r="I1" s="4"/>
    </row>
    <row r="2" spans="1:9" ht="15.95" customHeight="1">
      <c r="A2" s="159"/>
      <c r="B2" s="5" t="s">
        <v>474</v>
      </c>
      <c r="C2" s="6"/>
      <c r="D2" s="6"/>
      <c r="E2" s="6"/>
      <c r="F2" s="6"/>
      <c r="G2" s="106"/>
      <c r="H2" s="106"/>
      <c r="I2" s="182" t="s">
        <v>431</v>
      </c>
    </row>
    <row r="3" spans="1:9" ht="15.95" customHeight="1">
      <c r="A3" s="162"/>
      <c r="B3" s="7" t="str">
        <f>OPYEAR</f>
        <v>OPERATING FUND 2014/2015 BUDGET</v>
      </c>
      <c r="C3" s="8"/>
      <c r="D3" s="8"/>
      <c r="E3" s="8"/>
      <c r="F3" s="8"/>
      <c r="G3" s="108"/>
      <c r="H3" s="108"/>
      <c r="I3" s="101"/>
    </row>
    <row r="4" spans="1:9" ht="15.95" customHeight="1">
      <c r="B4" s="4"/>
      <c r="C4" s="4"/>
      <c r="D4" s="4"/>
      <c r="E4" s="4"/>
      <c r="F4" s="4"/>
      <c r="G4" s="4"/>
      <c r="H4" s="4"/>
      <c r="I4" s="4"/>
    </row>
    <row r="5" spans="1:9" ht="15.95" customHeight="1">
      <c r="B5" s="183" t="s">
        <v>13</v>
      </c>
      <c r="C5" s="184"/>
      <c r="D5" s="185"/>
      <c r="E5" s="185"/>
      <c r="F5" s="185"/>
      <c r="G5" s="185"/>
      <c r="H5" s="185"/>
      <c r="I5" s="186"/>
    </row>
    <row r="6" spans="1:9" ht="15.95" customHeight="1">
      <c r="B6" s="351"/>
      <c r="C6" s="353"/>
      <c r="D6" s="351" t="s">
        <v>420</v>
      </c>
      <c r="E6" s="353"/>
      <c r="F6" s="411"/>
      <c r="G6" s="413"/>
      <c r="H6" s="351"/>
      <c r="I6" s="353"/>
    </row>
    <row r="7" spans="1:9" ht="15.95" customHeight="1">
      <c r="B7" s="430" t="s">
        <v>226</v>
      </c>
      <c r="C7" s="439"/>
      <c r="D7" s="430" t="s">
        <v>532</v>
      </c>
      <c r="E7" s="439"/>
      <c r="F7" s="430" t="s">
        <v>37</v>
      </c>
      <c r="G7" s="439"/>
      <c r="H7" s="430" t="s">
        <v>183</v>
      </c>
      <c r="I7" s="439"/>
    </row>
    <row r="8" spans="1:9" ht="15.95" customHeight="1">
      <c r="A8" s="102"/>
      <c r="B8" s="354" t="s">
        <v>77</v>
      </c>
      <c r="C8" s="356"/>
      <c r="D8" s="354" t="s">
        <v>533</v>
      </c>
      <c r="E8" s="356"/>
      <c r="F8" s="354" t="s">
        <v>61</v>
      </c>
      <c r="G8" s="356"/>
      <c r="H8" s="354" t="s">
        <v>77</v>
      </c>
      <c r="I8" s="356"/>
    </row>
    <row r="9" spans="1:9" ht="15.95" customHeight="1">
      <c r="A9" s="35" t="s">
        <v>81</v>
      </c>
      <c r="B9" s="187" t="s">
        <v>82</v>
      </c>
      <c r="C9" s="187" t="s">
        <v>83</v>
      </c>
      <c r="D9" s="187" t="s">
        <v>82</v>
      </c>
      <c r="E9" s="187" t="s">
        <v>83</v>
      </c>
      <c r="F9" s="187" t="s">
        <v>82</v>
      </c>
      <c r="G9" s="187" t="s">
        <v>83</v>
      </c>
      <c r="H9" s="187" t="s">
        <v>82</v>
      </c>
      <c r="I9" s="187" t="s">
        <v>83</v>
      </c>
    </row>
    <row r="10" spans="1:9" ht="5.0999999999999996" customHeight="1">
      <c r="A10" s="37"/>
    </row>
    <row r="11" spans="1:9" ht="14.1" customHeight="1">
      <c r="A11" s="357" t="s">
        <v>230</v>
      </c>
      <c r="B11" s="358">
        <v>0</v>
      </c>
      <c r="C11" s="359">
        <f>B11/'- 3 -'!$D11*100</f>
        <v>0</v>
      </c>
      <c r="D11" s="358">
        <v>0</v>
      </c>
      <c r="E11" s="359">
        <f>D11/'- 3 -'!$D11*100</f>
        <v>0</v>
      </c>
      <c r="F11" s="358">
        <v>0</v>
      </c>
      <c r="G11" s="359">
        <f>F11/'- 3 -'!$D11*100</f>
        <v>0</v>
      </c>
      <c r="H11" s="358">
        <v>19152</v>
      </c>
      <c r="I11" s="359">
        <f>H11/'- 3 -'!$D11*100</f>
        <v>0.11025682032732322</v>
      </c>
    </row>
    <row r="12" spans="1:9" ht="14.1" customHeight="1">
      <c r="A12" s="23" t="s">
        <v>231</v>
      </c>
      <c r="B12" s="24">
        <v>0</v>
      </c>
      <c r="C12" s="350">
        <f>B12/'- 3 -'!$D12*100</f>
        <v>0</v>
      </c>
      <c r="D12" s="24">
        <v>0</v>
      </c>
      <c r="E12" s="350">
        <f>D12/'- 3 -'!$D12*100</f>
        <v>0</v>
      </c>
      <c r="F12" s="24">
        <v>0</v>
      </c>
      <c r="G12" s="350">
        <f>F12/'- 3 -'!$D12*100</f>
        <v>0</v>
      </c>
      <c r="H12" s="24">
        <v>51361</v>
      </c>
      <c r="I12" s="350">
        <f>H12/'- 3 -'!$D12*100</f>
        <v>0.16324178654104668</v>
      </c>
    </row>
    <row r="13" spans="1:9" ht="14.1" customHeight="1">
      <c r="A13" s="357" t="s">
        <v>232</v>
      </c>
      <c r="B13" s="358">
        <v>0</v>
      </c>
      <c r="C13" s="359">
        <f>B13/'- 3 -'!$D13*100</f>
        <v>0</v>
      </c>
      <c r="D13" s="358">
        <v>0</v>
      </c>
      <c r="E13" s="359">
        <f>D13/'- 3 -'!$D13*100</f>
        <v>0</v>
      </c>
      <c r="F13" s="358">
        <v>81600</v>
      </c>
      <c r="G13" s="359">
        <f>F13/'- 3 -'!$D13*100</f>
        <v>9.141945509075286E-2</v>
      </c>
      <c r="H13" s="358">
        <v>209300</v>
      </c>
      <c r="I13" s="359">
        <f>H13/'- 3 -'!$D13*100</f>
        <v>0.23448642096194328</v>
      </c>
    </row>
    <row r="14" spans="1:9" ht="14.1" customHeight="1">
      <c r="A14" s="23" t="s">
        <v>566</v>
      </c>
      <c r="B14" s="24">
        <v>0</v>
      </c>
      <c r="C14" s="350">
        <f>B14/'- 3 -'!$D14*100</f>
        <v>0</v>
      </c>
      <c r="D14" s="24">
        <v>0</v>
      </c>
      <c r="E14" s="350">
        <f>D14/'- 3 -'!$D14*100</f>
        <v>0</v>
      </c>
      <c r="F14" s="24">
        <v>0</v>
      </c>
      <c r="G14" s="350">
        <f>F14/'- 3 -'!$D14*100</f>
        <v>0</v>
      </c>
      <c r="H14" s="24">
        <v>1152176</v>
      </c>
      <c r="I14" s="350">
        <f>H14/'- 3 -'!$D14*100</f>
        <v>1.4419172086504422</v>
      </c>
    </row>
    <row r="15" spans="1:9" ht="14.1" customHeight="1">
      <c r="A15" s="357" t="s">
        <v>233</v>
      </c>
      <c r="B15" s="358">
        <v>0</v>
      </c>
      <c r="C15" s="359">
        <f>B15/'- 3 -'!$D15*100</f>
        <v>0</v>
      </c>
      <c r="D15" s="358">
        <v>0</v>
      </c>
      <c r="E15" s="359">
        <f>D15/'- 3 -'!$D15*100</f>
        <v>0</v>
      </c>
      <c r="F15" s="358">
        <v>0</v>
      </c>
      <c r="G15" s="359">
        <f>F15/'- 3 -'!$D15*100</f>
        <v>0</v>
      </c>
      <c r="H15" s="358">
        <v>70000</v>
      </c>
      <c r="I15" s="359">
        <f>H15/'- 3 -'!$D15*100</f>
        <v>0.35304319705428827</v>
      </c>
    </row>
    <row r="16" spans="1:9" ht="14.1" customHeight="1">
      <c r="A16" s="23" t="s">
        <v>234</v>
      </c>
      <c r="B16" s="24">
        <v>0</v>
      </c>
      <c r="C16" s="350">
        <f>B16/'- 3 -'!$D16*100</f>
        <v>0</v>
      </c>
      <c r="D16" s="24">
        <v>0</v>
      </c>
      <c r="E16" s="350">
        <f>D16/'- 3 -'!$D16*100</f>
        <v>0</v>
      </c>
      <c r="F16" s="24">
        <v>0</v>
      </c>
      <c r="G16" s="350">
        <f>F16/'- 3 -'!$D16*100</f>
        <v>0</v>
      </c>
      <c r="H16" s="24">
        <v>11730</v>
      </c>
      <c r="I16" s="350">
        <f>H16/'- 3 -'!$D16*100</f>
        <v>8.7007580118181951E-2</v>
      </c>
    </row>
    <row r="17" spans="1:9" ht="14.1" customHeight="1">
      <c r="A17" s="357" t="s">
        <v>235</v>
      </c>
      <c r="B17" s="358">
        <v>0</v>
      </c>
      <c r="C17" s="359">
        <f>B17/'- 3 -'!$D17*100</f>
        <v>0</v>
      </c>
      <c r="D17" s="358">
        <v>0</v>
      </c>
      <c r="E17" s="359">
        <f>D17/'- 3 -'!$D17*100</f>
        <v>0</v>
      </c>
      <c r="F17" s="358">
        <v>0</v>
      </c>
      <c r="G17" s="359">
        <f>F17/'- 3 -'!$D17*100</f>
        <v>0</v>
      </c>
      <c r="H17" s="358">
        <v>255520</v>
      </c>
      <c r="I17" s="359">
        <f>H17/'- 3 -'!$D17*100</f>
        <v>1.4888138525878511</v>
      </c>
    </row>
    <row r="18" spans="1:9" ht="14.1" customHeight="1">
      <c r="A18" s="23" t="s">
        <v>236</v>
      </c>
      <c r="B18" s="24">
        <v>0</v>
      </c>
      <c r="C18" s="350">
        <f>B18/'- 3 -'!$D18*100</f>
        <v>0</v>
      </c>
      <c r="D18" s="24">
        <v>0</v>
      </c>
      <c r="E18" s="350">
        <f>D18/'- 3 -'!$D18*100</f>
        <v>0</v>
      </c>
      <c r="F18" s="24">
        <v>810452</v>
      </c>
      <c r="G18" s="350">
        <f>F18/'- 3 -'!$D18*100</f>
        <v>0.65477656121085748</v>
      </c>
      <c r="H18" s="24">
        <v>1497804</v>
      </c>
      <c r="I18" s="350">
        <f>H18/'- 3 -'!$D18*100</f>
        <v>1.2100987504353957</v>
      </c>
    </row>
    <row r="19" spans="1:9" ht="14.1" customHeight="1">
      <c r="A19" s="357" t="s">
        <v>237</v>
      </c>
      <c r="B19" s="358">
        <v>0</v>
      </c>
      <c r="C19" s="359">
        <f>B19/'- 3 -'!$D19*100</f>
        <v>0</v>
      </c>
      <c r="D19" s="358">
        <v>0</v>
      </c>
      <c r="E19" s="359">
        <f>D19/'- 3 -'!$D19*100</f>
        <v>0</v>
      </c>
      <c r="F19" s="358">
        <v>0</v>
      </c>
      <c r="G19" s="359">
        <f>F19/'- 3 -'!$D19*100</f>
        <v>0</v>
      </c>
      <c r="H19" s="358">
        <v>76900</v>
      </c>
      <c r="I19" s="359">
        <f>H19/'- 3 -'!$D19*100</f>
        <v>0.17698618080852996</v>
      </c>
    </row>
    <row r="20" spans="1:9" ht="14.1" customHeight="1">
      <c r="A20" s="23" t="s">
        <v>238</v>
      </c>
      <c r="B20" s="24">
        <v>0</v>
      </c>
      <c r="C20" s="350">
        <f>B20/'- 3 -'!$D20*100</f>
        <v>0</v>
      </c>
      <c r="D20" s="24">
        <v>0</v>
      </c>
      <c r="E20" s="350">
        <f>D20/'- 3 -'!$D20*100</f>
        <v>0</v>
      </c>
      <c r="F20" s="24">
        <v>0</v>
      </c>
      <c r="G20" s="350">
        <f>F20/'- 3 -'!$D20*100</f>
        <v>0</v>
      </c>
      <c r="H20" s="24">
        <v>156200</v>
      </c>
      <c r="I20" s="350">
        <f>H20/'- 3 -'!$D20*100</f>
        <v>0.20626016775474845</v>
      </c>
    </row>
    <row r="21" spans="1:9" ht="14.1" customHeight="1">
      <c r="A21" s="357" t="s">
        <v>239</v>
      </c>
      <c r="B21" s="358">
        <v>155000</v>
      </c>
      <c r="C21" s="359">
        <f>B21/'- 3 -'!$D21*100</f>
        <v>0.44948767684585156</v>
      </c>
      <c r="D21" s="358">
        <v>0</v>
      </c>
      <c r="E21" s="359">
        <f>D21/'- 3 -'!$D21*100</f>
        <v>0</v>
      </c>
      <c r="F21" s="358">
        <v>0</v>
      </c>
      <c r="G21" s="359">
        <f>F21/'- 3 -'!$D21*100</f>
        <v>0</v>
      </c>
      <c r="H21" s="358">
        <v>90000</v>
      </c>
      <c r="I21" s="359">
        <f>H21/'- 3 -'!$D21*100</f>
        <v>0.26099284462017192</v>
      </c>
    </row>
    <row r="22" spans="1:9" ht="14.1" customHeight="1">
      <c r="A22" s="23" t="s">
        <v>240</v>
      </c>
      <c r="B22" s="24">
        <v>0</v>
      </c>
      <c r="C22" s="350">
        <f>B22/'- 3 -'!$D22*100</f>
        <v>0</v>
      </c>
      <c r="D22" s="24">
        <v>0</v>
      </c>
      <c r="E22" s="350">
        <f>D22/'- 3 -'!$D22*100</f>
        <v>0</v>
      </c>
      <c r="F22" s="24">
        <v>85065</v>
      </c>
      <c r="G22" s="350">
        <f>F22/'- 3 -'!$D22*100</f>
        <v>0.43839918151055768</v>
      </c>
      <c r="H22" s="24">
        <v>0</v>
      </c>
      <c r="I22" s="350">
        <f>H22/'- 3 -'!$D22*100</f>
        <v>0</v>
      </c>
    </row>
    <row r="23" spans="1:9" ht="14.1" customHeight="1">
      <c r="A23" s="357" t="s">
        <v>241</v>
      </c>
      <c r="B23" s="358">
        <v>119000</v>
      </c>
      <c r="C23" s="359">
        <f>B23/'- 3 -'!$D23*100</f>
        <v>0.73033556157281132</v>
      </c>
      <c r="D23" s="358">
        <v>0</v>
      </c>
      <c r="E23" s="359">
        <f>D23/'- 3 -'!$D23*100</f>
        <v>0</v>
      </c>
      <c r="F23" s="358">
        <v>116000</v>
      </c>
      <c r="G23" s="359">
        <f>F23/'- 3 -'!$D23*100</f>
        <v>0.71192374069282449</v>
      </c>
      <c r="H23" s="358">
        <v>43000</v>
      </c>
      <c r="I23" s="359">
        <f>H23/'- 3 -'!$D23*100</f>
        <v>0.26390276594647805</v>
      </c>
    </row>
    <row r="24" spans="1:9" ht="14.1" customHeight="1">
      <c r="A24" s="23" t="s">
        <v>242</v>
      </c>
      <c r="B24" s="24">
        <v>210665</v>
      </c>
      <c r="C24" s="350">
        <f>B24/'- 3 -'!$D24*100</f>
        <v>0.38774951901960492</v>
      </c>
      <c r="D24" s="24">
        <v>0</v>
      </c>
      <c r="E24" s="350">
        <f>D24/'- 3 -'!$D24*100</f>
        <v>0</v>
      </c>
      <c r="F24" s="24">
        <v>195555</v>
      </c>
      <c r="G24" s="350">
        <f>F24/'- 3 -'!$D24*100</f>
        <v>0.35993808744631922</v>
      </c>
      <c r="H24" s="24">
        <v>0</v>
      </c>
      <c r="I24" s="350">
        <f>H24/'- 3 -'!$D24*100</f>
        <v>0</v>
      </c>
    </row>
    <row r="25" spans="1:9" ht="14.1" customHeight="1">
      <c r="A25" s="357" t="s">
        <v>243</v>
      </c>
      <c r="B25" s="358">
        <v>342170</v>
      </c>
      <c r="C25" s="359">
        <f>B25/'- 3 -'!$D25*100</f>
        <v>0.21519393720750721</v>
      </c>
      <c r="D25" s="358">
        <v>0</v>
      </c>
      <c r="E25" s="359">
        <f>D25/'- 3 -'!$D25*100</f>
        <v>0</v>
      </c>
      <c r="F25" s="358">
        <v>178150</v>
      </c>
      <c r="G25" s="359">
        <f>F25/'- 3 -'!$D25*100</f>
        <v>0.11204021367600142</v>
      </c>
      <c r="H25" s="358">
        <v>511855</v>
      </c>
      <c r="I25" s="359">
        <f>H25/'- 3 -'!$D25*100</f>
        <v>0.32191043261930796</v>
      </c>
    </row>
    <row r="26" spans="1:9" ht="14.1" customHeight="1">
      <c r="A26" s="23" t="s">
        <v>244</v>
      </c>
      <c r="B26" s="24">
        <v>0</v>
      </c>
      <c r="C26" s="350">
        <f>B26/'- 3 -'!$D26*100</f>
        <v>0</v>
      </c>
      <c r="D26" s="24">
        <v>0</v>
      </c>
      <c r="E26" s="350">
        <f>D26/'- 3 -'!$D26*100</f>
        <v>0</v>
      </c>
      <c r="F26" s="24">
        <v>0</v>
      </c>
      <c r="G26" s="350">
        <f>F26/'- 3 -'!$D26*100</f>
        <v>0</v>
      </c>
      <c r="H26" s="24">
        <v>116872</v>
      </c>
      <c r="I26" s="350">
        <f>H26/'- 3 -'!$D26*100</f>
        <v>0.30029742991732417</v>
      </c>
    </row>
    <row r="27" spans="1:9" ht="14.1" customHeight="1">
      <c r="A27" s="357" t="s">
        <v>245</v>
      </c>
      <c r="B27" s="358">
        <v>0</v>
      </c>
      <c r="C27" s="359">
        <f>B27/'- 3 -'!$D27*100</f>
        <v>0</v>
      </c>
      <c r="D27" s="358">
        <v>0</v>
      </c>
      <c r="E27" s="359">
        <f>D27/'- 3 -'!$D27*100</f>
        <v>0</v>
      </c>
      <c r="F27" s="358">
        <v>0</v>
      </c>
      <c r="G27" s="359">
        <f>F27/'- 3 -'!$D27*100</f>
        <v>0</v>
      </c>
      <c r="H27" s="358">
        <v>45416</v>
      </c>
      <c r="I27" s="359">
        <f>H27/'- 3 -'!$D27*100</f>
        <v>0.11617931223924342</v>
      </c>
    </row>
    <row r="28" spans="1:9" ht="14.1" customHeight="1">
      <c r="A28" s="23" t="s">
        <v>246</v>
      </c>
      <c r="B28" s="24">
        <v>0</v>
      </c>
      <c r="C28" s="350">
        <f>B28/'- 3 -'!$D28*100</f>
        <v>0</v>
      </c>
      <c r="D28" s="24">
        <v>0</v>
      </c>
      <c r="E28" s="350">
        <f>D28/'- 3 -'!$D28*100</f>
        <v>0</v>
      </c>
      <c r="F28" s="24">
        <v>0</v>
      </c>
      <c r="G28" s="350">
        <f>F28/'- 3 -'!$D28*100</f>
        <v>0</v>
      </c>
      <c r="H28" s="24">
        <v>129187</v>
      </c>
      <c r="I28" s="350">
        <f>H28/'- 3 -'!$D28*100</f>
        <v>0.47234926620725959</v>
      </c>
    </row>
    <row r="29" spans="1:9" ht="14.1" customHeight="1">
      <c r="A29" s="357" t="s">
        <v>247</v>
      </c>
      <c r="B29" s="358">
        <v>0</v>
      </c>
      <c r="C29" s="359">
        <f>B29/'- 3 -'!$D29*100</f>
        <v>0</v>
      </c>
      <c r="D29" s="358">
        <v>0</v>
      </c>
      <c r="E29" s="359">
        <f>D29/'- 3 -'!$D29*100</f>
        <v>0</v>
      </c>
      <c r="F29" s="358">
        <v>290974</v>
      </c>
      <c r="G29" s="359">
        <f>F29/'- 3 -'!$D29*100</f>
        <v>0.19783282581619724</v>
      </c>
      <c r="H29" s="358">
        <v>331521</v>
      </c>
      <c r="I29" s="359">
        <f>H29/'- 3 -'!$D29*100</f>
        <v>0.22540067582468376</v>
      </c>
    </row>
    <row r="30" spans="1:9" ht="14.1" customHeight="1">
      <c r="A30" s="23" t="s">
        <v>248</v>
      </c>
      <c r="B30" s="24">
        <v>0</v>
      </c>
      <c r="C30" s="350">
        <f>B30/'- 3 -'!$D30*100</f>
        <v>0</v>
      </c>
      <c r="D30" s="24">
        <v>0</v>
      </c>
      <c r="E30" s="350">
        <f>D30/'- 3 -'!$D30*100</f>
        <v>0</v>
      </c>
      <c r="F30" s="24">
        <v>0</v>
      </c>
      <c r="G30" s="350">
        <f>F30/'- 3 -'!$D30*100</f>
        <v>0</v>
      </c>
      <c r="H30" s="24">
        <v>13920</v>
      </c>
      <c r="I30" s="350">
        <f>H30/'- 3 -'!$D30*100</f>
        <v>0.10387745743505514</v>
      </c>
    </row>
    <row r="31" spans="1:9" ht="14.1" customHeight="1">
      <c r="A31" s="357" t="s">
        <v>249</v>
      </c>
      <c r="B31" s="358">
        <v>0</v>
      </c>
      <c r="C31" s="359">
        <f>B31/'- 3 -'!$D31*100</f>
        <v>0</v>
      </c>
      <c r="D31" s="358">
        <v>0</v>
      </c>
      <c r="E31" s="359">
        <f>D31/'- 3 -'!$D31*100</f>
        <v>0</v>
      </c>
      <c r="F31" s="358">
        <v>0</v>
      </c>
      <c r="G31" s="359">
        <f>F31/'- 3 -'!$D31*100</f>
        <v>0</v>
      </c>
      <c r="H31" s="358">
        <v>56120</v>
      </c>
      <c r="I31" s="359">
        <f>H31/'- 3 -'!$D31*100</f>
        <v>0.16045446927168253</v>
      </c>
    </row>
    <row r="32" spans="1:9" ht="14.1" customHeight="1">
      <c r="A32" s="23" t="s">
        <v>250</v>
      </c>
      <c r="B32" s="24">
        <v>0</v>
      </c>
      <c r="C32" s="350">
        <f>B32/'- 3 -'!$D32*100</f>
        <v>0</v>
      </c>
      <c r="D32" s="24">
        <v>0</v>
      </c>
      <c r="E32" s="350">
        <f>D32/'- 3 -'!$D32*100</f>
        <v>0</v>
      </c>
      <c r="F32" s="24">
        <v>0</v>
      </c>
      <c r="G32" s="350">
        <f>F32/'- 3 -'!$D32*100</f>
        <v>0</v>
      </c>
      <c r="H32" s="24">
        <v>34935</v>
      </c>
      <c r="I32" s="350">
        <f>H32/'- 3 -'!$D32*100</f>
        <v>0.13124736124616129</v>
      </c>
    </row>
    <row r="33" spans="1:9" ht="14.1" customHeight="1">
      <c r="A33" s="357" t="s">
        <v>251</v>
      </c>
      <c r="B33" s="358">
        <v>0</v>
      </c>
      <c r="C33" s="359">
        <f>B33/'- 3 -'!$D33*100</f>
        <v>0</v>
      </c>
      <c r="D33" s="358">
        <v>0</v>
      </c>
      <c r="E33" s="359">
        <f>D33/'- 3 -'!$D33*100</f>
        <v>0</v>
      </c>
      <c r="F33" s="358">
        <v>0</v>
      </c>
      <c r="G33" s="359">
        <f>F33/'- 3 -'!$D33*100</f>
        <v>0</v>
      </c>
      <c r="H33" s="358">
        <v>30000</v>
      </c>
      <c r="I33" s="359">
        <f>H33/'- 3 -'!$D33*100</f>
        <v>0.11069814961401031</v>
      </c>
    </row>
    <row r="34" spans="1:9" ht="14.1" customHeight="1">
      <c r="A34" s="23" t="s">
        <v>252</v>
      </c>
      <c r="B34" s="24">
        <v>0</v>
      </c>
      <c r="C34" s="350">
        <f>B34/'- 3 -'!$D34*100</f>
        <v>0</v>
      </c>
      <c r="D34" s="24">
        <v>0</v>
      </c>
      <c r="E34" s="350">
        <f>D34/'- 3 -'!$D34*100</f>
        <v>0</v>
      </c>
      <c r="F34" s="24">
        <v>0</v>
      </c>
      <c r="G34" s="350">
        <f>F34/'- 3 -'!$D34*100</f>
        <v>0</v>
      </c>
      <c r="H34" s="24">
        <v>59409</v>
      </c>
      <c r="I34" s="350">
        <f>H34/'- 3 -'!$D34*100</f>
        <v>0.22560606209629419</v>
      </c>
    </row>
    <row r="35" spans="1:9" ht="14.1" customHeight="1">
      <c r="A35" s="357" t="s">
        <v>253</v>
      </c>
      <c r="B35" s="358">
        <v>364600</v>
      </c>
      <c r="C35" s="359">
        <f>B35/'- 3 -'!$D35*100</f>
        <v>0.21389974015816263</v>
      </c>
      <c r="D35" s="358">
        <v>0</v>
      </c>
      <c r="E35" s="359">
        <f>D35/'- 3 -'!$D35*100</f>
        <v>0</v>
      </c>
      <c r="F35" s="358">
        <v>33000</v>
      </c>
      <c r="G35" s="359">
        <f>F35/'- 3 -'!$D35*100</f>
        <v>1.9360097161874288E-2</v>
      </c>
      <c r="H35" s="358">
        <v>212398</v>
      </c>
      <c r="I35" s="359">
        <f>H35/'- 3 -'!$D35*100</f>
        <v>0.12460745202993258</v>
      </c>
    </row>
    <row r="36" spans="1:9" ht="14.1" customHeight="1">
      <c r="A36" s="23" t="s">
        <v>254</v>
      </c>
      <c r="B36" s="24">
        <v>0</v>
      </c>
      <c r="C36" s="350">
        <f>B36/'- 3 -'!$D36*100</f>
        <v>0</v>
      </c>
      <c r="D36" s="24">
        <v>0</v>
      </c>
      <c r="E36" s="350">
        <f>D36/'- 3 -'!$D36*100</f>
        <v>0</v>
      </c>
      <c r="F36" s="24">
        <v>0</v>
      </c>
      <c r="G36" s="350">
        <f>F36/'- 3 -'!$D36*100</f>
        <v>0</v>
      </c>
      <c r="H36" s="24">
        <v>34775</v>
      </c>
      <c r="I36" s="350">
        <f>H36/'- 3 -'!$D36*100</f>
        <v>0.15720302923795521</v>
      </c>
    </row>
    <row r="37" spans="1:9" ht="14.1" customHeight="1">
      <c r="A37" s="357" t="s">
        <v>255</v>
      </c>
      <c r="B37" s="358">
        <v>0</v>
      </c>
      <c r="C37" s="359">
        <f>B37/'- 3 -'!$D37*100</f>
        <v>0</v>
      </c>
      <c r="D37" s="358">
        <v>0</v>
      </c>
      <c r="E37" s="359">
        <f>D37/'- 3 -'!$D37*100</f>
        <v>0</v>
      </c>
      <c r="F37" s="358">
        <v>0</v>
      </c>
      <c r="G37" s="359">
        <f>F37/'- 3 -'!$D37*100</f>
        <v>0</v>
      </c>
      <c r="H37" s="358">
        <v>187239</v>
      </c>
      <c r="I37" s="359">
        <f>H37/'- 3 -'!$D37*100</f>
        <v>0.41885623718610504</v>
      </c>
    </row>
    <row r="38" spans="1:9" ht="14.1" customHeight="1">
      <c r="A38" s="23" t="s">
        <v>256</v>
      </c>
      <c r="B38" s="24">
        <v>109200</v>
      </c>
      <c r="C38" s="350">
        <f>B38/'- 3 -'!$D38*100</f>
        <v>8.9313716104493943E-2</v>
      </c>
      <c r="D38" s="24">
        <v>635220</v>
      </c>
      <c r="E38" s="350">
        <f>D38/'- 3 -'!$D38*100</f>
        <v>0.51954083098806447</v>
      </c>
      <c r="F38" s="24">
        <v>688130</v>
      </c>
      <c r="G38" s="350">
        <f>F38/'- 3 -'!$D38*100</f>
        <v>0.56281545295774194</v>
      </c>
      <c r="H38" s="24">
        <v>389080</v>
      </c>
      <c r="I38" s="350">
        <f>H38/'- 3 -'!$D38*100</f>
        <v>0.31822509763678114</v>
      </c>
    </row>
    <row r="39" spans="1:9" ht="14.1" customHeight="1">
      <c r="A39" s="357" t="s">
        <v>257</v>
      </c>
      <c r="B39" s="358">
        <v>0</v>
      </c>
      <c r="C39" s="359">
        <f>B39/'- 3 -'!$D39*100</f>
        <v>0</v>
      </c>
      <c r="D39" s="358">
        <v>0</v>
      </c>
      <c r="E39" s="359">
        <f>D39/'- 3 -'!$D39*100</f>
        <v>0</v>
      </c>
      <c r="F39" s="358">
        <v>0</v>
      </c>
      <c r="G39" s="359">
        <f>F39/'- 3 -'!$D39*100</f>
        <v>0</v>
      </c>
      <c r="H39" s="358">
        <v>170200</v>
      </c>
      <c r="I39" s="359">
        <f>H39/'- 3 -'!$D39*100</f>
        <v>0.81599104653584476</v>
      </c>
    </row>
    <row r="40" spans="1:9" ht="14.1" customHeight="1">
      <c r="A40" s="23" t="s">
        <v>258</v>
      </c>
      <c r="B40" s="24">
        <v>532208</v>
      </c>
      <c r="C40" s="350">
        <f>B40/'- 3 -'!$D40*100</f>
        <v>0.5361408450848949</v>
      </c>
      <c r="D40" s="24">
        <v>0</v>
      </c>
      <c r="E40" s="350">
        <f>D40/'- 3 -'!$D40*100</f>
        <v>0</v>
      </c>
      <c r="F40" s="24">
        <v>493905</v>
      </c>
      <c r="G40" s="350">
        <f>F40/'- 3 -'!$D40*100</f>
        <v>0.4975547982962582</v>
      </c>
      <c r="H40" s="24">
        <v>88934</v>
      </c>
      <c r="I40" s="350">
        <f>H40/'- 3 -'!$D40*100</f>
        <v>8.9591193512273473E-2</v>
      </c>
    </row>
    <row r="41" spans="1:9" ht="14.1" customHeight="1">
      <c r="A41" s="357" t="s">
        <v>259</v>
      </c>
      <c r="B41" s="358">
        <v>0</v>
      </c>
      <c r="C41" s="359">
        <f>B41/'- 3 -'!$D41*100</f>
        <v>0</v>
      </c>
      <c r="D41" s="358">
        <v>0</v>
      </c>
      <c r="E41" s="359">
        <f>D41/'- 3 -'!$D41*100</f>
        <v>0</v>
      </c>
      <c r="F41" s="358">
        <v>0</v>
      </c>
      <c r="G41" s="359">
        <f>F41/'- 3 -'!$D41*100</f>
        <v>0</v>
      </c>
      <c r="H41" s="358">
        <v>267636</v>
      </c>
      <c r="I41" s="359">
        <f>H41/'- 3 -'!$D41*100</f>
        <v>0.45068967968862272</v>
      </c>
    </row>
    <row r="42" spans="1:9" ht="14.1" customHeight="1">
      <c r="A42" s="23" t="s">
        <v>260</v>
      </c>
      <c r="B42" s="24">
        <v>0</v>
      </c>
      <c r="C42" s="350">
        <f>B42/'- 3 -'!$D42*100</f>
        <v>0</v>
      </c>
      <c r="D42" s="24">
        <v>0</v>
      </c>
      <c r="E42" s="350">
        <f>D42/'- 3 -'!$D42*100</f>
        <v>0</v>
      </c>
      <c r="F42" s="24">
        <v>0</v>
      </c>
      <c r="G42" s="350">
        <f>F42/'- 3 -'!$D42*100</f>
        <v>0</v>
      </c>
      <c r="H42" s="24">
        <v>208256</v>
      </c>
      <c r="I42" s="350">
        <f>H42/'- 3 -'!$D42*100</f>
        <v>1.0227616726035065</v>
      </c>
    </row>
    <row r="43" spans="1:9" ht="14.1" customHeight="1">
      <c r="A43" s="357" t="s">
        <v>261</v>
      </c>
      <c r="B43" s="358">
        <v>0</v>
      </c>
      <c r="C43" s="359">
        <f>B43/'- 3 -'!$D43*100</f>
        <v>0</v>
      </c>
      <c r="D43" s="358">
        <v>0</v>
      </c>
      <c r="E43" s="359">
        <f>D43/'- 3 -'!$D43*100</f>
        <v>0</v>
      </c>
      <c r="F43" s="358">
        <v>0</v>
      </c>
      <c r="G43" s="359">
        <f>F43/'- 3 -'!$D43*100</f>
        <v>0</v>
      </c>
      <c r="H43" s="358">
        <v>13261</v>
      </c>
      <c r="I43" s="359">
        <f>H43/'- 3 -'!$D43*100</f>
        <v>0.10656674042468384</v>
      </c>
    </row>
    <row r="44" spans="1:9" ht="14.1" customHeight="1">
      <c r="A44" s="23" t="s">
        <v>262</v>
      </c>
      <c r="B44" s="24">
        <v>0</v>
      </c>
      <c r="C44" s="350">
        <f>B44/'- 3 -'!$D44*100</f>
        <v>0</v>
      </c>
      <c r="D44" s="24">
        <v>0</v>
      </c>
      <c r="E44" s="350">
        <f>D44/'- 3 -'!$D44*100</f>
        <v>0</v>
      </c>
      <c r="F44" s="24">
        <v>0</v>
      </c>
      <c r="G44" s="350">
        <f>F44/'- 3 -'!$D44*100</f>
        <v>0</v>
      </c>
      <c r="H44" s="24">
        <v>9956</v>
      </c>
      <c r="I44" s="350">
        <f>H44/'- 3 -'!$D44*100</f>
        <v>9.2489002996231223E-2</v>
      </c>
    </row>
    <row r="45" spans="1:9" ht="14.1" customHeight="1">
      <c r="A45" s="357" t="s">
        <v>263</v>
      </c>
      <c r="B45" s="358">
        <v>0</v>
      </c>
      <c r="C45" s="359">
        <f>B45/'- 3 -'!$D45*100</f>
        <v>0</v>
      </c>
      <c r="D45" s="358">
        <v>0</v>
      </c>
      <c r="E45" s="359">
        <f>D45/'- 3 -'!$D45*100</f>
        <v>0</v>
      </c>
      <c r="F45" s="358">
        <v>4000</v>
      </c>
      <c r="G45" s="359">
        <f>F45/'- 3 -'!$D45*100</f>
        <v>2.2782263415592113E-2</v>
      </c>
      <c r="H45" s="358">
        <v>47927</v>
      </c>
      <c r="I45" s="359">
        <f>H45/'- 3 -'!$D45*100</f>
        <v>0.27297138467977078</v>
      </c>
    </row>
    <row r="46" spans="1:9" ht="14.1" customHeight="1">
      <c r="A46" s="23" t="s">
        <v>264</v>
      </c>
      <c r="B46" s="24">
        <v>0</v>
      </c>
      <c r="C46" s="350">
        <f>B46/'- 3 -'!$D46*100</f>
        <v>0</v>
      </c>
      <c r="D46" s="24">
        <v>3500000</v>
      </c>
      <c r="E46" s="350">
        <f>D46/'- 3 -'!$D46*100</f>
        <v>0.94667795828071377</v>
      </c>
      <c r="F46" s="24">
        <v>191000</v>
      </c>
      <c r="G46" s="350">
        <f>F46/'- 3 -'!$D46*100</f>
        <v>5.1661568580461809E-2</v>
      </c>
      <c r="H46" s="24">
        <v>5440500</v>
      </c>
      <c r="I46" s="350">
        <f>H46/'- 3 -'!$D46*100</f>
        <v>1.4715432662932066</v>
      </c>
    </row>
    <row r="47" spans="1:9" ht="5.0999999999999996" customHeight="1">
      <c r="A47"/>
      <c r="B47"/>
      <c r="C47"/>
      <c r="D47"/>
      <c r="E47"/>
      <c r="F47"/>
      <c r="G47"/>
      <c r="H47"/>
      <c r="I47"/>
    </row>
    <row r="48" spans="1:9" ht="14.1" customHeight="1">
      <c r="A48" s="360" t="s">
        <v>265</v>
      </c>
      <c r="B48" s="361">
        <f>SUM(B11:B46)</f>
        <v>1832843</v>
      </c>
      <c r="C48" s="362">
        <f>B48/'- 3 -'!$D48*100</f>
        <v>8.5419245231482782E-2</v>
      </c>
      <c r="D48" s="361">
        <f>SUM(D11:D46)</f>
        <v>4135220</v>
      </c>
      <c r="E48" s="362">
        <f>D48/'- 3 -'!$D48*100</f>
        <v>0.19272101934870153</v>
      </c>
      <c r="F48" s="361">
        <f>SUM(F11:F46)</f>
        <v>3167831</v>
      </c>
      <c r="G48" s="362">
        <f>F48/'- 3 -'!$D48*100</f>
        <v>0.14763606759602069</v>
      </c>
      <c r="H48" s="361">
        <f>SUM(H11:H46)</f>
        <v>12032540</v>
      </c>
      <c r="I48" s="362">
        <f>H48/'- 3 -'!$D48*100</f>
        <v>0.56077388244253645</v>
      </c>
    </row>
    <row r="49" spans="1:9" ht="5.0999999999999996" customHeight="1">
      <c r="A49" s="25" t="s">
        <v>3</v>
      </c>
      <c r="B49" s="26"/>
      <c r="C49" s="349"/>
      <c r="D49" s="26"/>
      <c r="E49" s="349"/>
      <c r="F49" s="26"/>
      <c r="G49" s="349"/>
      <c r="H49" s="26"/>
      <c r="I49" s="349"/>
    </row>
    <row r="50" spans="1:9" ht="14.1" customHeight="1">
      <c r="A50" s="23" t="s">
        <v>266</v>
      </c>
      <c r="B50" s="24">
        <v>0</v>
      </c>
      <c r="C50" s="350">
        <f>B50/'- 3 -'!$D50*100</f>
        <v>0</v>
      </c>
      <c r="D50" s="24">
        <v>0</v>
      </c>
      <c r="E50" s="350">
        <f>D50/'- 3 -'!$D50*100</f>
        <v>0</v>
      </c>
      <c r="F50" s="24">
        <v>40868</v>
      </c>
      <c r="G50" s="350">
        <f>F50/'- 3 -'!$D50*100</f>
        <v>1.2150554130439177</v>
      </c>
      <c r="H50" s="24">
        <v>68848</v>
      </c>
      <c r="I50" s="350">
        <f>H50/'- 3 -'!$D50*100</f>
        <v>2.0469348898220527</v>
      </c>
    </row>
    <row r="51" spans="1:9" ht="14.1" customHeight="1">
      <c r="A51" s="511" t="s">
        <v>691</v>
      </c>
      <c r="B51" s="358">
        <v>0</v>
      </c>
      <c r="C51" s="359">
        <f>B51/'- 3 -'!$D51*100</f>
        <v>0</v>
      </c>
      <c r="D51" s="358">
        <v>4553116</v>
      </c>
      <c r="E51" s="359">
        <f>D51/'- 3 -'!$D51*100</f>
        <v>20.225012972906992</v>
      </c>
      <c r="F51" s="358">
        <v>3862771</v>
      </c>
      <c r="G51" s="359">
        <f>F51/'- 3 -'!$D51*100</f>
        <v>17.158489611591033</v>
      </c>
      <c r="H51" s="358">
        <v>0</v>
      </c>
      <c r="I51" s="359">
        <f>H51/'- 3 -'!$D51*100</f>
        <v>0</v>
      </c>
    </row>
    <row r="52" spans="1:9" ht="50.1" customHeight="1"/>
    <row r="53" spans="1:9" ht="15" customHeight="1"/>
    <row r="54" spans="1:9" ht="14.45" customHeight="1"/>
    <row r="55" spans="1:9" ht="14.45" customHeight="1"/>
    <row r="56" spans="1:9" ht="14.45" customHeight="1"/>
    <row r="57" spans="1:9" ht="14.45" customHeight="1"/>
    <row r="58" spans="1:9" ht="14.45" customHeight="1"/>
    <row r="59" spans="1:9"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22.xml><?xml version="1.0" encoding="utf-8"?>
<worksheet xmlns="http://schemas.openxmlformats.org/spreadsheetml/2006/main" xmlns:r="http://schemas.openxmlformats.org/officeDocument/2006/relationships">
  <sheetPr codeName="Sheet21">
    <pageSetUpPr fitToPage="1"/>
  </sheetPr>
  <dimension ref="A1:J59"/>
  <sheetViews>
    <sheetView showGridLines="0" showZeros="0" workbookViewId="0"/>
  </sheetViews>
  <sheetFormatPr defaultColWidth="15.83203125" defaultRowHeight="12"/>
  <cols>
    <col min="1" max="1" width="30.83203125" style="1" customWidth="1"/>
    <col min="2" max="2" width="15.1640625" style="1" customWidth="1"/>
    <col min="3" max="3" width="7.83203125" style="1" customWidth="1"/>
    <col min="4" max="4" width="8" style="1" customWidth="1"/>
    <col min="5" max="5" width="12.6640625" style="1" customWidth="1"/>
    <col min="6" max="6" width="7.83203125" style="1" customWidth="1"/>
    <col min="7" max="7" width="7.33203125" style="1" customWidth="1"/>
    <col min="8" max="8" width="12.6640625" style="1" customWidth="1"/>
    <col min="9" max="9" width="7.83203125" style="1" customWidth="1"/>
    <col min="10" max="10" width="9.5" style="1" customWidth="1"/>
    <col min="11" max="16384" width="15.83203125" style="1"/>
  </cols>
  <sheetData>
    <row r="1" spans="1:10" ht="6.95" customHeight="1">
      <c r="A1" s="3"/>
      <c r="B1" s="4"/>
      <c r="C1" s="4"/>
      <c r="D1" s="4"/>
      <c r="E1" s="4"/>
      <c r="F1" s="4"/>
      <c r="G1" s="4"/>
      <c r="H1" s="4"/>
      <c r="I1" s="4"/>
      <c r="J1" s="4"/>
    </row>
    <row r="2" spans="1:10" ht="15.95" customHeight="1">
      <c r="A2" s="159"/>
      <c r="B2" s="5" t="s">
        <v>474</v>
      </c>
      <c r="C2" s="6"/>
      <c r="D2" s="6"/>
      <c r="E2" s="6"/>
      <c r="F2" s="6"/>
      <c r="G2" s="106"/>
      <c r="H2" s="106"/>
      <c r="I2" s="171"/>
      <c r="J2" s="182" t="s">
        <v>430</v>
      </c>
    </row>
    <row r="3" spans="1:10" ht="15.95" customHeight="1">
      <c r="A3" s="162"/>
      <c r="B3" s="7" t="str">
        <f>OPYEAR</f>
        <v>OPERATING FUND 2014/2015 BUDGET</v>
      </c>
      <c r="C3" s="8"/>
      <c r="D3" s="8"/>
      <c r="E3" s="8"/>
      <c r="F3" s="8"/>
      <c r="G3" s="108"/>
      <c r="H3" s="108"/>
      <c r="I3" s="108"/>
      <c r="J3" s="101"/>
    </row>
    <row r="4" spans="1:10" ht="15.95" customHeight="1">
      <c r="B4" s="4"/>
      <c r="C4" s="4"/>
      <c r="D4" s="4"/>
      <c r="E4" s="4"/>
      <c r="F4" s="4"/>
      <c r="G4" s="4"/>
      <c r="H4" s="4"/>
      <c r="I4" s="4"/>
      <c r="J4" s="4"/>
    </row>
    <row r="5" spans="1:10" ht="15.95" customHeight="1">
      <c r="B5" s="183" t="s">
        <v>182</v>
      </c>
      <c r="C5" s="184"/>
      <c r="D5" s="185"/>
      <c r="E5" s="185"/>
      <c r="F5" s="185"/>
      <c r="G5" s="185"/>
      <c r="H5" s="185"/>
      <c r="I5" s="185"/>
      <c r="J5" s="186"/>
    </row>
    <row r="6" spans="1:10" ht="15.95" customHeight="1">
      <c r="B6" s="351"/>
      <c r="C6" s="352"/>
      <c r="D6" s="353"/>
      <c r="E6" s="351" t="s">
        <v>14</v>
      </c>
      <c r="F6" s="352"/>
      <c r="G6" s="353"/>
      <c r="H6" s="351" t="s">
        <v>12</v>
      </c>
      <c r="I6" s="352"/>
      <c r="J6" s="353"/>
    </row>
    <row r="7" spans="1:10" ht="15.95" customHeight="1">
      <c r="B7" s="354" t="s">
        <v>38</v>
      </c>
      <c r="C7" s="355"/>
      <c r="D7" s="356"/>
      <c r="E7" s="354" t="s">
        <v>39</v>
      </c>
      <c r="F7" s="355"/>
      <c r="G7" s="356"/>
      <c r="H7" s="354" t="s">
        <v>40</v>
      </c>
      <c r="I7" s="355"/>
      <c r="J7" s="356"/>
    </row>
    <row r="8" spans="1:10" ht="15.95" customHeight="1">
      <c r="A8" s="102"/>
      <c r="B8" s="168"/>
      <c r="C8" s="167"/>
      <c r="D8" s="167" t="s">
        <v>60</v>
      </c>
      <c r="E8" s="168"/>
      <c r="F8" s="167"/>
      <c r="G8" s="167" t="s">
        <v>60</v>
      </c>
      <c r="H8" s="168"/>
      <c r="I8" s="167"/>
      <c r="J8" s="167" t="s">
        <v>60</v>
      </c>
    </row>
    <row r="9" spans="1:10" ht="15.95" customHeight="1">
      <c r="A9" s="35" t="s">
        <v>81</v>
      </c>
      <c r="B9" s="113" t="s">
        <v>82</v>
      </c>
      <c r="C9" s="113" t="s">
        <v>83</v>
      </c>
      <c r="D9" s="113" t="s">
        <v>84</v>
      </c>
      <c r="E9" s="113" t="s">
        <v>82</v>
      </c>
      <c r="F9" s="113" t="s">
        <v>83</v>
      </c>
      <c r="G9" s="113" t="s">
        <v>84</v>
      </c>
      <c r="H9" s="113" t="s">
        <v>82</v>
      </c>
      <c r="I9" s="113" t="s">
        <v>83</v>
      </c>
      <c r="J9" s="113" t="s">
        <v>84</v>
      </c>
    </row>
    <row r="10" spans="1:10" ht="5.0999999999999996" customHeight="1">
      <c r="A10" s="37"/>
    </row>
    <row r="11" spans="1:10" ht="14.1" customHeight="1">
      <c r="A11" s="357" t="s">
        <v>230</v>
      </c>
      <c r="B11" s="358">
        <v>126540</v>
      </c>
      <c r="C11" s="359">
        <f>B11/'- 3 -'!$D11*100</f>
        <v>0.7284825628769569</v>
      </c>
      <c r="D11" s="358">
        <f>B11/'- 7 -'!$F11</f>
        <v>81.823472356935014</v>
      </c>
      <c r="E11" s="358">
        <v>171550</v>
      </c>
      <c r="F11" s="359">
        <f>E11/'- 3 -'!$D11*100</f>
        <v>0.9876022100643429</v>
      </c>
      <c r="G11" s="358">
        <f>E11/'- 7 -'!$F11</f>
        <v>110.92790171354672</v>
      </c>
      <c r="H11" s="358">
        <v>337600</v>
      </c>
      <c r="I11" s="359">
        <f>H11/'- 3 -'!$D11*100</f>
        <v>1.9435412772819713</v>
      </c>
      <c r="J11" s="358">
        <f>H11/'- 7 -'!$F11</f>
        <v>218.29938570966698</v>
      </c>
    </row>
    <row r="12" spans="1:10" ht="14.1" customHeight="1">
      <c r="A12" s="23" t="s">
        <v>231</v>
      </c>
      <c r="B12" s="24">
        <v>171473</v>
      </c>
      <c r="C12" s="350">
        <f>B12/'- 3 -'!$D12*100</f>
        <v>0.54499637591855488</v>
      </c>
      <c r="D12" s="24">
        <f>B12/'- 7 -'!$F12</f>
        <v>78.417052335046748</v>
      </c>
      <c r="E12" s="24">
        <v>166257</v>
      </c>
      <c r="F12" s="350">
        <f>E12/'- 3 -'!$D12*100</f>
        <v>0.52841824935174153</v>
      </c>
      <c r="G12" s="24">
        <f>E12/'- 7 -'!$F12</f>
        <v>76.031701026213256</v>
      </c>
      <c r="H12" s="24">
        <v>637115</v>
      </c>
      <c r="I12" s="350">
        <f>H12/'- 3 -'!$D12*100</f>
        <v>2.0249565006931127</v>
      </c>
      <c r="J12" s="24">
        <f>H12/'- 7 -'!$F12</f>
        <v>291.36179047688734</v>
      </c>
    </row>
    <row r="13" spans="1:10" ht="14.1" customHeight="1">
      <c r="A13" s="357" t="s">
        <v>232</v>
      </c>
      <c r="B13" s="358">
        <v>383000</v>
      </c>
      <c r="C13" s="359">
        <f>B13/'- 3 -'!$D13*100</f>
        <v>0.42908886396762674</v>
      </c>
      <c r="D13" s="358">
        <f>B13/'- 7 -'!$F13</f>
        <v>47.164409219595271</v>
      </c>
      <c r="E13" s="358">
        <v>586600</v>
      </c>
      <c r="F13" s="359">
        <f>E13/'- 3 -'!$D13*100</f>
        <v>0.65718936711073062</v>
      </c>
      <c r="G13" s="358">
        <f>E13/'- 7 -'!$F13</f>
        <v>72.236664355651669</v>
      </c>
      <c r="H13" s="358">
        <v>1627400</v>
      </c>
      <c r="I13" s="359">
        <f>H13/'- 3 -'!$D13*100</f>
        <v>1.8232355541016079</v>
      </c>
      <c r="J13" s="358">
        <f>H13/'- 7 -'!$F13</f>
        <v>200.40563854822284</v>
      </c>
    </row>
    <row r="14" spans="1:10" ht="14.1" customHeight="1">
      <c r="A14" s="23" t="s">
        <v>566</v>
      </c>
      <c r="B14" s="24">
        <v>737892</v>
      </c>
      <c r="C14" s="350">
        <f>B14/'- 3 -'!$D14*100</f>
        <v>0.9234519491167078</v>
      </c>
      <c r="D14" s="24">
        <f>B14/'- 7 -'!$F14</f>
        <v>138.83198494825965</v>
      </c>
      <c r="E14" s="24">
        <v>1432639</v>
      </c>
      <c r="F14" s="350">
        <f>E14/'- 3 -'!$D14*100</f>
        <v>1.7929090936486793</v>
      </c>
      <c r="G14" s="24">
        <f>E14/'- 7 -'!$F14</f>
        <v>269.5463781749765</v>
      </c>
      <c r="H14" s="24">
        <v>944793</v>
      </c>
      <c r="I14" s="350">
        <f>H14/'- 3 -'!$D14*100</f>
        <v>1.1823829738794047</v>
      </c>
      <c r="J14" s="24">
        <f>H14/'- 7 -'!$F14</f>
        <v>177.75973659454374</v>
      </c>
    </row>
    <row r="15" spans="1:10" ht="14.1" customHeight="1">
      <c r="A15" s="357" t="s">
        <v>233</v>
      </c>
      <c r="B15" s="358">
        <v>149750</v>
      </c>
      <c r="C15" s="359">
        <f>B15/'- 3 -'!$D15*100</f>
        <v>0.75526026798399526</v>
      </c>
      <c r="D15" s="358">
        <f>B15/'- 7 -'!$F15</f>
        <v>103.09810671256454</v>
      </c>
      <c r="E15" s="358">
        <v>200300</v>
      </c>
      <c r="F15" s="359">
        <f>E15/'- 3 -'!$D15*100</f>
        <v>1.0102078909996277</v>
      </c>
      <c r="G15" s="358">
        <f>E15/'- 7 -'!$F15</f>
        <v>137.90017211703957</v>
      </c>
      <c r="H15" s="358">
        <v>380150</v>
      </c>
      <c r="I15" s="359">
        <f>H15/'- 3 -'!$D15*100</f>
        <v>1.9172767337169667</v>
      </c>
      <c r="J15" s="358">
        <f>H15/'- 7 -'!$F15</f>
        <v>261.72117039586919</v>
      </c>
    </row>
    <row r="16" spans="1:10" ht="14.1" customHeight="1">
      <c r="A16" s="23" t="s">
        <v>234</v>
      </c>
      <c r="B16" s="24">
        <v>119660</v>
      </c>
      <c r="C16" s="350">
        <f>B16/'- 3 -'!$D16*100</f>
        <v>0.88758116256962094</v>
      </c>
      <c r="D16" s="24">
        <f>B16/'- 7 -'!$F16</f>
        <v>124.38669438669439</v>
      </c>
      <c r="E16" s="24">
        <v>200479</v>
      </c>
      <c r="F16" s="350">
        <f>E16/'- 3 -'!$D16*100</f>
        <v>1.4870581973156862</v>
      </c>
      <c r="G16" s="24">
        <f>E16/'- 7 -'!$F16</f>
        <v>208.3981288981289</v>
      </c>
      <c r="H16" s="24">
        <v>331772</v>
      </c>
      <c r="I16" s="350">
        <f>H16/'- 3 -'!$D16*100</f>
        <v>2.4609274399803467</v>
      </c>
      <c r="J16" s="24">
        <f>H16/'- 7 -'!$F16</f>
        <v>344.8773388773389</v>
      </c>
    </row>
    <row r="17" spans="1:10" ht="14.1" customHeight="1">
      <c r="A17" s="357" t="s">
        <v>235</v>
      </c>
      <c r="B17" s="358">
        <v>230210</v>
      </c>
      <c r="C17" s="359">
        <f>B17/'- 3 -'!$D17*100</f>
        <v>1.3413425054956529</v>
      </c>
      <c r="D17" s="358">
        <f>B17/'- 7 -'!$F17</f>
        <v>172.1196261682243</v>
      </c>
      <c r="E17" s="358">
        <v>157504</v>
      </c>
      <c r="F17" s="359">
        <f>E17/'- 3 -'!$D17*100</f>
        <v>0.91771343549623097</v>
      </c>
      <c r="G17" s="358">
        <f>E17/'- 7 -'!$F17</f>
        <v>117.76</v>
      </c>
      <c r="H17" s="358">
        <v>283053</v>
      </c>
      <c r="I17" s="359">
        <f>H17/'- 3 -'!$D17*100</f>
        <v>1.6492377403590681</v>
      </c>
      <c r="J17" s="358">
        <f>H17/'- 7 -'!$F17</f>
        <v>211.62841121495327</v>
      </c>
    </row>
    <row r="18" spans="1:10" ht="14.1" customHeight="1">
      <c r="A18" s="23" t="s">
        <v>236</v>
      </c>
      <c r="B18" s="24">
        <v>1155527</v>
      </c>
      <c r="C18" s="350">
        <f>B18/'- 3 -'!$D18*100</f>
        <v>0.93356792931141952</v>
      </c>
      <c r="D18" s="24">
        <f>B18/'- 7 -'!$F18</f>
        <v>187.26027841249777</v>
      </c>
      <c r="E18" s="24">
        <v>2006093</v>
      </c>
      <c r="F18" s="350">
        <f>E18/'- 3 -'!$D18*100</f>
        <v>1.6207532043960318</v>
      </c>
      <c r="G18" s="24">
        <f>E18/'- 7 -'!$F18</f>
        <v>325.09974557181522</v>
      </c>
      <c r="H18" s="24">
        <v>3035996</v>
      </c>
      <c r="I18" s="350">
        <f>H18/'- 3 -'!$D18*100</f>
        <v>2.4528275835335327</v>
      </c>
      <c r="J18" s="24">
        <f>H18/'- 7 -'!$F18</f>
        <v>492.00187985155657</v>
      </c>
    </row>
    <row r="19" spans="1:10" ht="14.1" customHeight="1">
      <c r="A19" s="357" t="s">
        <v>237</v>
      </c>
      <c r="B19" s="358">
        <v>213305</v>
      </c>
      <c r="C19" s="359">
        <f>B19/'- 3 -'!$D19*100</f>
        <v>0.49092376199432358</v>
      </c>
      <c r="D19" s="358">
        <f>B19/'- 7 -'!$F19</f>
        <v>52.287044981002573</v>
      </c>
      <c r="E19" s="358">
        <v>447250</v>
      </c>
      <c r="F19" s="359">
        <f>E19/'- 3 -'!$D19*100</f>
        <v>1.0293507069780887</v>
      </c>
      <c r="G19" s="358">
        <f>E19/'- 7 -'!$F19</f>
        <v>109.63353352126487</v>
      </c>
      <c r="H19" s="358">
        <v>765215</v>
      </c>
      <c r="I19" s="359">
        <f>H19/'- 3 -'!$D19*100</f>
        <v>1.7611505896930981</v>
      </c>
      <c r="J19" s="358">
        <f>H19/'- 7 -'!$F19</f>
        <v>187.57568329452138</v>
      </c>
    </row>
    <row r="20" spans="1:10" ht="14.1" customHeight="1">
      <c r="A20" s="23" t="s">
        <v>238</v>
      </c>
      <c r="B20" s="24">
        <v>326500</v>
      </c>
      <c r="C20" s="350">
        <f>B20/'- 3 -'!$D20*100</f>
        <v>0.43113921108787051</v>
      </c>
      <c r="D20" s="24">
        <f>B20/'- 7 -'!$F20</f>
        <v>43.193544119592538</v>
      </c>
      <c r="E20" s="24">
        <v>561300</v>
      </c>
      <c r="F20" s="350">
        <f>E20/'- 3 -'!$D20*100</f>
        <v>0.74118970653482918</v>
      </c>
      <c r="G20" s="24">
        <f>E20/'- 7 -'!$F20</f>
        <v>74.255853948935041</v>
      </c>
      <c r="H20" s="24">
        <v>1266800</v>
      </c>
      <c r="I20" s="350">
        <f>H20/'- 3 -'!$D20*100</f>
        <v>1.6727937292683441</v>
      </c>
      <c r="J20" s="24">
        <f>H20/'- 7 -'!$F20</f>
        <v>167.58830533139303</v>
      </c>
    </row>
    <row r="21" spans="1:10" ht="14.1" customHeight="1">
      <c r="A21" s="357" t="s">
        <v>239</v>
      </c>
      <c r="B21" s="358">
        <v>204600</v>
      </c>
      <c r="C21" s="359">
        <f>B21/'- 3 -'!$D21*100</f>
        <v>0.59332373343652411</v>
      </c>
      <c r="D21" s="358">
        <f>B21/'- 7 -'!$F21</f>
        <v>76.946220383602864</v>
      </c>
      <c r="E21" s="358">
        <v>393000</v>
      </c>
      <c r="F21" s="359">
        <f>E21/'- 3 -'!$D21*100</f>
        <v>1.1396687548414173</v>
      </c>
      <c r="G21" s="358">
        <f>E21/'- 7 -'!$F21</f>
        <v>147.79992478375328</v>
      </c>
      <c r="H21" s="358">
        <v>655000</v>
      </c>
      <c r="I21" s="359">
        <f>H21/'- 3 -'!$D21*100</f>
        <v>1.8994479247356957</v>
      </c>
      <c r="J21" s="358">
        <f>H21/'- 7 -'!$F21</f>
        <v>246.33320797292214</v>
      </c>
    </row>
    <row r="22" spans="1:10" ht="14.1" customHeight="1">
      <c r="A22" s="23" t="s">
        <v>240</v>
      </c>
      <c r="B22" s="24">
        <v>125770</v>
      </c>
      <c r="C22" s="350">
        <f>B22/'- 3 -'!$D22*100</f>
        <v>0.64818039215403322</v>
      </c>
      <c r="D22" s="24">
        <f>B22/'- 7 -'!$F22</f>
        <v>80.570147341447793</v>
      </c>
      <c r="E22" s="24">
        <v>135775</v>
      </c>
      <c r="F22" s="350">
        <f>E22/'- 3 -'!$D22*100</f>
        <v>0.69974312431194929</v>
      </c>
      <c r="G22" s="24">
        <f>E22/'- 7 -'!$F22</f>
        <v>86.979500320307494</v>
      </c>
      <c r="H22" s="24">
        <v>533200</v>
      </c>
      <c r="I22" s="350">
        <f>H22/'- 3 -'!$D22*100</f>
        <v>2.7479509032084799</v>
      </c>
      <c r="J22" s="24">
        <f>H22/'- 7 -'!$F22</f>
        <v>341.57591287636131</v>
      </c>
    </row>
    <row r="23" spans="1:10" ht="14.1" customHeight="1">
      <c r="A23" s="357" t="s">
        <v>241</v>
      </c>
      <c r="B23" s="358">
        <v>109200</v>
      </c>
      <c r="C23" s="359">
        <f>B23/'- 3 -'!$D23*100</f>
        <v>0.67019028003152104</v>
      </c>
      <c r="D23" s="358">
        <f>B23/'- 7 -'!$F23</f>
        <v>95.16339869281046</v>
      </c>
      <c r="E23" s="358">
        <v>166000</v>
      </c>
      <c r="F23" s="359">
        <f>E23/'- 3 -'!$D23*100</f>
        <v>1.0187874220259385</v>
      </c>
      <c r="G23" s="358">
        <f>E23/'- 7 -'!$F23</f>
        <v>144.66230936819173</v>
      </c>
      <c r="H23" s="358">
        <v>292900</v>
      </c>
      <c r="I23" s="359">
        <f>H23/'- 3 -'!$D23*100</f>
        <v>1.7976074452493818</v>
      </c>
      <c r="J23" s="358">
        <f>H23/'- 7 -'!$F23</f>
        <v>255.25054466230938</v>
      </c>
    </row>
    <row r="24" spans="1:10" ht="14.1" customHeight="1">
      <c r="A24" s="23" t="s">
        <v>242</v>
      </c>
      <c r="B24" s="24">
        <v>376360</v>
      </c>
      <c r="C24" s="350">
        <f>B24/'- 3 -'!$D24*100</f>
        <v>0.69272735849912659</v>
      </c>
      <c r="D24" s="24">
        <f>B24/'- 7 -'!$F24</f>
        <v>92.951346011360826</v>
      </c>
      <c r="E24" s="24">
        <v>326965</v>
      </c>
      <c r="F24" s="350">
        <f>E24/'- 3 -'!$D24*100</f>
        <v>0.60181103404098979</v>
      </c>
      <c r="G24" s="24">
        <f>E24/'- 7 -'!$F24</f>
        <v>80.752037540133372</v>
      </c>
      <c r="H24" s="24">
        <v>1065800</v>
      </c>
      <c r="I24" s="350">
        <f>H24/'- 3 -'!$D24*100</f>
        <v>1.9617090516749098</v>
      </c>
      <c r="J24" s="24">
        <f>H24/'- 7 -'!$F24</f>
        <v>263.22548777475919</v>
      </c>
    </row>
    <row r="25" spans="1:10" ht="14.1" customHeight="1">
      <c r="A25" s="357" t="s">
        <v>243</v>
      </c>
      <c r="B25" s="358">
        <v>569881</v>
      </c>
      <c r="C25" s="359">
        <f>B25/'- 3 -'!$D25*100</f>
        <v>0.3584035307880627</v>
      </c>
      <c r="D25" s="358">
        <f>B25/'- 7 -'!$F25</f>
        <v>41.460967624590758</v>
      </c>
      <c r="E25" s="358">
        <v>715990</v>
      </c>
      <c r="F25" s="359">
        <f>E25/'- 3 -'!$D25*100</f>
        <v>0.45029285764737731</v>
      </c>
      <c r="G25" s="358">
        <f>E25/'- 7 -'!$F25</f>
        <v>52.090942160785737</v>
      </c>
      <c r="H25" s="358">
        <v>3762046</v>
      </c>
      <c r="I25" s="359">
        <f>H25/'- 3 -'!$D25*100</f>
        <v>2.3659861784953491</v>
      </c>
      <c r="J25" s="358">
        <f>H25/'- 7 -'!$F25</f>
        <v>273.70287377228084</v>
      </c>
    </row>
    <row r="26" spans="1:10" ht="14.1" customHeight="1">
      <c r="A26" s="23" t="s">
        <v>244</v>
      </c>
      <c r="B26" s="24">
        <v>212000</v>
      </c>
      <c r="C26" s="350">
        <f>B26/'- 3 -'!$D26*100</f>
        <v>0.54472461447115406</v>
      </c>
      <c r="D26" s="24">
        <f>B26/'- 7 -'!$F26</f>
        <v>68.652849740932638</v>
      </c>
      <c r="E26" s="24">
        <v>421104</v>
      </c>
      <c r="F26" s="350">
        <f>E26/'- 3 -'!$D26*100</f>
        <v>1.0820080851521741</v>
      </c>
      <c r="G26" s="24">
        <f>E26/'- 7 -'!$F26</f>
        <v>136.3678756476684</v>
      </c>
      <c r="H26" s="24">
        <v>659174</v>
      </c>
      <c r="I26" s="350">
        <f>H26/'- 3 -'!$D26*100</f>
        <v>1.693718410468908</v>
      </c>
      <c r="J26" s="24">
        <f>H26/'- 7 -'!$F26</f>
        <v>213.4630829015544</v>
      </c>
    </row>
    <row r="27" spans="1:10" ht="14.1" customHeight="1">
      <c r="A27" s="357" t="s">
        <v>245</v>
      </c>
      <c r="B27" s="358">
        <v>243305</v>
      </c>
      <c r="C27" s="359">
        <f>B27/'- 3 -'!$D27*100</f>
        <v>0.62240196328098296</v>
      </c>
      <c r="D27" s="358">
        <f>B27/'- 7 -'!$F27</f>
        <v>84.188581314878888</v>
      </c>
      <c r="E27" s="358">
        <v>497554</v>
      </c>
      <c r="F27" s="359">
        <f>E27/'- 3 -'!$D27*100</f>
        <v>1.2727999278202511</v>
      </c>
      <c r="G27" s="358">
        <f>E27/'- 7 -'!$F27</f>
        <v>172.16401384083045</v>
      </c>
      <c r="H27" s="358">
        <v>839071</v>
      </c>
      <c r="I27" s="359">
        <f>H27/'- 3 -'!$D27*100</f>
        <v>2.1464393980071832</v>
      </c>
      <c r="J27" s="358">
        <f>H27/'- 7 -'!$F27</f>
        <v>290.33598615916952</v>
      </c>
    </row>
    <row r="28" spans="1:10" ht="14.1" customHeight="1">
      <c r="A28" s="23" t="s">
        <v>246</v>
      </c>
      <c r="B28" s="24">
        <v>163950</v>
      </c>
      <c r="C28" s="350">
        <f>B28/'- 3 -'!$D28*100</f>
        <v>0.59945398681508366</v>
      </c>
      <c r="D28" s="24">
        <f>B28/'- 7 -'!$F28</f>
        <v>82.698612862547293</v>
      </c>
      <c r="E28" s="24">
        <v>377466</v>
      </c>
      <c r="F28" s="350">
        <f>E28/'- 3 -'!$D28*100</f>
        <v>1.3801372283448754</v>
      </c>
      <c r="G28" s="24">
        <f>E28/'- 7 -'!$F28</f>
        <v>190.39899117276167</v>
      </c>
      <c r="H28" s="24">
        <v>518718</v>
      </c>
      <c r="I28" s="350">
        <f>H28/'- 3 -'!$D28*100</f>
        <v>1.8966000191079386</v>
      </c>
      <c r="J28" s="24">
        <f>H28/'- 7 -'!$F28</f>
        <v>261.64842370744009</v>
      </c>
    </row>
    <row r="29" spans="1:10" ht="14.1" customHeight="1">
      <c r="A29" s="357" t="s">
        <v>247</v>
      </c>
      <c r="B29" s="358">
        <v>378356</v>
      </c>
      <c r="C29" s="359">
        <f>B29/'- 3 -'!$D29*100</f>
        <v>0.25724372845860155</v>
      </c>
      <c r="D29" s="358">
        <f>B29/'- 7 -'!$F29</f>
        <v>31.371502010696073</v>
      </c>
      <c r="E29" s="358">
        <v>2082212</v>
      </c>
      <c r="F29" s="359">
        <f>E29/'- 3 -'!$D29*100</f>
        <v>1.4156930994123038</v>
      </c>
      <c r="G29" s="358">
        <f>E29/'- 7 -'!$F29</f>
        <v>172.64723684756021</v>
      </c>
      <c r="H29" s="358">
        <v>1631180</v>
      </c>
      <c r="I29" s="359">
        <f>H29/'- 3 -'!$D29*100</f>
        <v>1.1090370576576072</v>
      </c>
      <c r="J29" s="358">
        <f>H29/'- 7 -'!$F29</f>
        <v>135.2497823473322</v>
      </c>
    </row>
    <row r="30" spans="1:10" ht="14.1" customHeight="1">
      <c r="A30" s="23" t="s">
        <v>248</v>
      </c>
      <c r="B30" s="24">
        <v>104150</v>
      </c>
      <c r="C30" s="350">
        <f>B30/'- 3 -'!$D30*100</f>
        <v>0.7772153155072552</v>
      </c>
      <c r="D30" s="24">
        <f>B30/'- 7 -'!$F30</f>
        <v>101.56021452949781</v>
      </c>
      <c r="E30" s="24">
        <v>102670</v>
      </c>
      <c r="F30" s="350">
        <f>E30/'- 3 -'!$D30*100</f>
        <v>0.76617087319375798</v>
      </c>
      <c r="G30" s="24">
        <f>E30/'- 7 -'!$F30</f>
        <v>100.11701608971234</v>
      </c>
      <c r="H30" s="24">
        <v>264150</v>
      </c>
      <c r="I30" s="350">
        <f>H30/'- 3 -'!$D30*100</f>
        <v>1.9712090791285786</v>
      </c>
      <c r="J30" s="24">
        <f>H30/'- 7 -'!$F30</f>
        <v>257.58166747927839</v>
      </c>
    </row>
    <row r="31" spans="1:10" ht="14.1" customHeight="1">
      <c r="A31" s="357" t="s">
        <v>249</v>
      </c>
      <c r="B31" s="358">
        <v>187127</v>
      </c>
      <c r="C31" s="359">
        <f>B31/'- 3 -'!$D31*100</f>
        <v>0.53502073184964605</v>
      </c>
      <c r="D31" s="358">
        <f>B31/'- 7 -'!$F31</f>
        <v>58.642118458163587</v>
      </c>
      <c r="E31" s="358">
        <v>310821</v>
      </c>
      <c r="F31" s="359">
        <f>E31/'- 3 -'!$D31*100</f>
        <v>0.88867816453124782</v>
      </c>
      <c r="G31" s="358">
        <f>E31/'- 7 -'!$F31</f>
        <v>97.405515512378571</v>
      </c>
      <c r="H31" s="358">
        <v>572968</v>
      </c>
      <c r="I31" s="359">
        <f>H31/'- 3 -'!$D31*100</f>
        <v>1.6381909541991695</v>
      </c>
      <c r="J31" s="358">
        <f>H31/'- 7 -'!$F31</f>
        <v>179.55750548417424</v>
      </c>
    </row>
    <row r="32" spans="1:10" ht="14.1" customHeight="1">
      <c r="A32" s="23" t="s">
        <v>250</v>
      </c>
      <c r="B32" s="24">
        <v>189950</v>
      </c>
      <c r="C32" s="350">
        <f>B32/'- 3 -'!$D32*100</f>
        <v>0.71362347985425323</v>
      </c>
      <c r="D32" s="24">
        <f>B32/'- 7 -'!$F32</f>
        <v>90.301877822676488</v>
      </c>
      <c r="E32" s="24">
        <v>203325</v>
      </c>
      <c r="F32" s="350">
        <f>E32/'- 3 -'!$D32*100</f>
        <v>0.76387204022830246</v>
      </c>
      <c r="G32" s="24">
        <f>E32/'- 7 -'!$F32</f>
        <v>96.660328024720698</v>
      </c>
      <c r="H32" s="24">
        <v>589120</v>
      </c>
      <c r="I32" s="350">
        <f>H32/'- 3 -'!$D32*100</f>
        <v>2.2132659355184927</v>
      </c>
      <c r="J32" s="24">
        <f>H32/'- 7 -'!$F32</f>
        <v>280.06655574043259</v>
      </c>
    </row>
    <row r="33" spans="1:10" ht="14.1" customHeight="1">
      <c r="A33" s="357" t="s">
        <v>251</v>
      </c>
      <c r="B33" s="358">
        <v>225200</v>
      </c>
      <c r="C33" s="359">
        <f>B33/'- 3 -'!$D33*100</f>
        <v>0.83097410976917074</v>
      </c>
      <c r="D33" s="358">
        <f>B33/'- 7 -'!$F33</f>
        <v>112.96714321545021</v>
      </c>
      <c r="E33" s="358">
        <v>224000</v>
      </c>
      <c r="F33" s="359">
        <f>E33/'- 3 -'!$D33*100</f>
        <v>0.82654618378461031</v>
      </c>
      <c r="G33" s="358">
        <f>E33/'- 7 -'!$F33</f>
        <v>112.36518685728618</v>
      </c>
      <c r="H33" s="358">
        <v>394300</v>
      </c>
      <c r="I33" s="359">
        <f>H33/'- 3 -'!$D33*100</f>
        <v>1.4549426797601421</v>
      </c>
      <c r="J33" s="358">
        <f>H33/'- 7 -'!$F33</f>
        <v>197.79282668673187</v>
      </c>
    </row>
    <row r="34" spans="1:10" ht="14.1" customHeight="1">
      <c r="A34" s="23" t="s">
        <v>252</v>
      </c>
      <c r="B34" s="24">
        <v>173400</v>
      </c>
      <c r="C34" s="350">
        <f>B34/'- 3 -'!$D34*100</f>
        <v>0.65848762254031235</v>
      </c>
      <c r="D34" s="24">
        <f>B34/'- 7 -'!$F34</f>
        <v>87.33316544950894</v>
      </c>
      <c r="E34" s="24">
        <v>291013</v>
      </c>
      <c r="F34" s="350">
        <f>E34/'- 3 -'!$D34*100</f>
        <v>1.1051237514320871</v>
      </c>
      <c r="G34" s="24">
        <f>E34/'- 7 -'!$F34</f>
        <v>146.56912616469404</v>
      </c>
      <c r="H34" s="24">
        <v>540351</v>
      </c>
      <c r="I34" s="350">
        <f>H34/'- 3 -'!$D34*100</f>
        <v>2.0519864205725509</v>
      </c>
      <c r="J34" s="24">
        <f>H34/'- 7 -'!$F34</f>
        <v>272.14857718458825</v>
      </c>
    </row>
    <row r="35" spans="1:10" ht="14.1" customHeight="1">
      <c r="A35" s="357" t="s">
        <v>253</v>
      </c>
      <c r="B35" s="358">
        <v>412400</v>
      </c>
      <c r="C35" s="359">
        <f>B35/'- 3 -'!$D35*100</f>
        <v>0.24194254756233205</v>
      </c>
      <c r="D35" s="358">
        <f>B35/'- 7 -'!$F35</f>
        <v>26.611602245595922</v>
      </c>
      <c r="E35" s="358">
        <v>1272850</v>
      </c>
      <c r="F35" s="359">
        <f>E35/'- 3 -'!$D35*100</f>
        <v>0.74674241431792998</v>
      </c>
      <c r="G35" s="358">
        <f>E35/'- 7 -'!$F35</f>
        <v>82.135251984255021</v>
      </c>
      <c r="H35" s="358">
        <v>2146500</v>
      </c>
      <c r="I35" s="359">
        <f>H35/'- 3 -'!$D35*100</f>
        <v>1.2592863199382778</v>
      </c>
      <c r="J35" s="358">
        <f>H35/'- 7 -'!$F35</f>
        <v>138.51067948635219</v>
      </c>
    </row>
    <row r="36" spans="1:10" ht="14.1" customHeight="1">
      <c r="A36" s="23" t="s">
        <v>254</v>
      </c>
      <c r="B36" s="24">
        <v>231900</v>
      </c>
      <c r="C36" s="350">
        <f>B36/'- 3 -'!$D36*100</f>
        <v>1.048321566650807</v>
      </c>
      <c r="D36" s="24">
        <f>B36/'- 7 -'!$F36</f>
        <v>140.67333939945405</v>
      </c>
      <c r="E36" s="24">
        <v>196915</v>
      </c>
      <c r="F36" s="350">
        <f>E36/'- 3 -'!$D36*100</f>
        <v>0.89016921645986913</v>
      </c>
      <c r="G36" s="24">
        <f>E36/'- 7 -'!$F36</f>
        <v>119.4510160752199</v>
      </c>
      <c r="H36" s="24">
        <v>449880</v>
      </c>
      <c r="I36" s="350">
        <f>H36/'- 3 -'!$D36*100</f>
        <v>2.0337167158467659</v>
      </c>
      <c r="J36" s="24">
        <f>H36/'- 7 -'!$F36</f>
        <v>272.9026387625114</v>
      </c>
    </row>
    <row r="37" spans="1:10" ht="14.1" customHeight="1">
      <c r="A37" s="357" t="s">
        <v>255</v>
      </c>
      <c r="B37" s="358">
        <v>175500</v>
      </c>
      <c r="C37" s="359">
        <f>B37/'- 3 -'!$D37*100</f>
        <v>0.39259593154290201</v>
      </c>
      <c r="D37" s="358">
        <f>B37/'- 7 -'!$F37</f>
        <v>44.844768110387122</v>
      </c>
      <c r="E37" s="358">
        <v>427312</v>
      </c>
      <c r="F37" s="359">
        <f>E37/'- 3 -'!$D37*100</f>
        <v>0.95590286438439054</v>
      </c>
      <c r="G37" s="358">
        <f>E37/'- 7 -'!$F37</f>
        <v>109.18921681359397</v>
      </c>
      <c r="H37" s="358">
        <v>717879</v>
      </c>
      <c r="I37" s="359">
        <f>H37/'- 3 -'!$D37*100</f>
        <v>1.6059052691742848</v>
      </c>
      <c r="J37" s="358">
        <f>H37/'- 7 -'!$F37</f>
        <v>183.4365657339977</v>
      </c>
    </row>
    <row r="38" spans="1:10" ht="14.1" customHeight="1">
      <c r="A38" s="23" t="s">
        <v>256</v>
      </c>
      <c r="B38" s="24">
        <v>410350</v>
      </c>
      <c r="C38" s="350">
        <f>B38/'- 3 -'!$D38*100</f>
        <v>0.33562164288900265</v>
      </c>
      <c r="D38" s="24">
        <f>B38/'- 7 -'!$F38</f>
        <v>38.259288611253552</v>
      </c>
      <c r="E38" s="24">
        <v>1073890</v>
      </c>
      <c r="F38" s="350">
        <f>E38/'- 3 -'!$D38*100</f>
        <v>0.87832515189977101</v>
      </c>
      <c r="G38" s="24">
        <f>E38/'- 7 -'!$F38</f>
        <v>100.12493590042422</v>
      </c>
      <c r="H38" s="24">
        <v>1722340</v>
      </c>
      <c r="I38" s="350">
        <f>H38/'- 3 -'!$D38*100</f>
        <v>1.4086866831081877</v>
      </c>
      <c r="J38" s="24">
        <f>H38/'- 7 -'!$F38</f>
        <v>160.5836557736236</v>
      </c>
    </row>
    <row r="39" spans="1:10" ht="14.1" customHeight="1">
      <c r="A39" s="357" t="s">
        <v>257</v>
      </c>
      <c r="B39" s="358">
        <v>190500</v>
      </c>
      <c r="C39" s="359">
        <f>B39/'- 3 -'!$D39*100</f>
        <v>0.91331547805568991</v>
      </c>
      <c r="D39" s="358">
        <f>B39/'- 7 -'!$F39</f>
        <v>122.86359238955175</v>
      </c>
      <c r="E39" s="358">
        <v>205100</v>
      </c>
      <c r="F39" s="359">
        <f>E39/'- 3 -'!$D39*100</f>
        <v>0.98331235983843568</v>
      </c>
      <c r="G39" s="358">
        <f>E39/'- 7 -'!$F39</f>
        <v>132.27990970654628</v>
      </c>
      <c r="H39" s="358">
        <v>394180</v>
      </c>
      <c r="I39" s="359">
        <f>H39/'- 3 -'!$D39*100</f>
        <v>1.8898199219947078</v>
      </c>
      <c r="J39" s="358">
        <f>H39/'- 7 -'!$F39</f>
        <v>254.22766849403419</v>
      </c>
    </row>
    <row r="40" spans="1:10" ht="14.1" customHeight="1">
      <c r="A40" s="23" t="s">
        <v>258</v>
      </c>
      <c r="B40" s="24">
        <v>457873</v>
      </c>
      <c r="C40" s="350">
        <f>B40/'- 3 -'!$D40*100</f>
        <v>0.46125653346352569</v>
      </c>
      <c r="D40" s="24">
        <f>B40/'- 7 -'!$F40</f>
        <v>57.660161518419216</v>
      </c>
      <c r="E40" s="24">
        <v>1288928</v>
      </c>
      <c r="F40" s="350">
        <f>E40/'- 3 -'!$D40*100</f>
        <v>1.2984527612767629</v>
      </c>
      <c r="G40" s="24">
        <f>E40/'- 7 -'!$F40</f>
        <v>162.31530722626809</v>
      </c>
      <c r="H40" s="24">
        <v>1530558</v>
      </c>
      <c r="I40" s="350">
        <f>H40/'- 3 -'!$D40*100</f>
        <v>1.5418683288703787</v>
      </c>
      <c r="J40" s="24">
        <f>H40/'- 7 -'!$F40</f>
        <v>192.74388639056829</v>
      </c>
    </row>
    <row r="41" spans="1:10" ht="14.1" customHeight="1">
      <c r="A41" s="357" t="s">
        <v>259</v>
      </c>
      <c r="B41" s="358">
        <v>416741</v>
      </c>
      <c r="C41" s="359">
        <f>B41/'- 3 -'!$D41*100</f>
        <v>0.70177729379872789</v>
      </c>
      <c r="D41" s="358">
        <f>B41/'- 7 -'!$F41</f>
        <v>95.016187870497035</v>
      </c>
      <c r="E41" s="358">
        <v>542641</v>
      </c>
      <c r="F41" s="359">
        <f>E41/'- 3 -'!$D41*100</f>
        <v>0.91378849809410512</v>
      </c>
      <c r="G41" s="358">
        <f>E41/'- 7 -'!$F41</f>
        <v>123.72115823073415</v>
      </c>
      <c r="H41" s="358">
        <v>855103</v>
      </c>
      <c r="I41" s="359">
        <f>H41/'- 3 -'!$D41*100</f>
        <v>1.4399635967163624</v>
      </c>
      <c r="J41" s="358">
        <f>H41/'- 7 -'!$F41</f>
        <v>194.96192430460556</v>
      </c>
    </row>
    <row r="42" spans="1:10" ht="14.1" customHeight="1">
      <c r="A42" s="23" t="s">
        <v>260</v>
      </c>
      <c r="B42" s="24">
        <v>186636</v>
      </c>
      <c r="C42" s="350">
        <f>B42/'- 3 -'!$D42*100</f>
        <v>0.91658414416884992</v>
      </c>
      <c r="D42" s="24">
        <f>B42/'- 7 -'!$F42</f>
        <v>133.16874777024617</v>
      </c>
      <c r="E42" s="24">
        <v>223192</v>
      </c>
      <c r="F42" s="350">
        <f>E42/'- 3 -'!$D42*100</f>
        <v>1.0961135488616021</v>
      </c>
      <c r="G42" s="24">
        <f>E42/'- 7 -'!$F42</f>
        <v>159.25222975383517</v>
      </c>
      <c r="H42" s="24">
        <v>374083</v>
      </c>
      <c r="I42" s="350">
        <f>H42/'- 3 -'!$D42*100</f>
        <v>1.8371511734237549</v>
      </c>
      <c r="J42" s="24">
        <f>H42/'- 7 -'!$F42</f>
        <v>266.91616125579736</v>
      </c>
    </row>
    <row r="43" spans="1:10" ht="14.1" customHeight="1">
      <c r="A43" s="357" t="s">
        <v>261</v>
      </c>
      <c r="B43" s="358">
        <v>80127</v>
      </c>
      <c r="C43" s="359">
        <f>B43/'- 3 -'!$D43*100</f>
        <v>0.64390869542331974</v>
      </c>
      <c r="D43" s="358">
        <f>B43/'- 7 -'!$F43</f>
        <v>83.465625000000003</v>
      </c>
      <c r="E43" s="358">
        <v>131843</v>
      </c>
      <c r="F43" s="359">
        <f>E43/'- 3 -'!$D43*100</f>
        <v>1.0595037144869612</v>
      </c>
      <c r="G43" s="358">
        <f>E43/'- 7 -'!$F43</f>
        <v>137.33645833333333</v>
      </c>
      <c r="H43" s="358">
        <v>287750</v>
      </c>
      <c r="I43" s="359">
        <f>H43/'- 3 -'!$D43*100</f>
        <v>2.3123881726267084</v>
      </c>
      <c r="J43" s="358">
        <f>H43/'- 7 -'!$F43</f>
        <v>299.73958333333331</v>
      </c>
    </row>
    <row r="44" spans="1:10" ht="14.1" customHeight="1">
      <c r="A44" s="23" t="s">
        <v>262</v>
      </c>
      <c r="B44" s="24">
        <v>100365</v>
      </c>
      <c r="C44" s="350">
        <f>B44/'- 3 -'!$D44*100</f>
        <v>0.9323682990876605</v>
      </c>
      <c r="D44" s="24">
        <f>B44/'- 7 -'!$F44</f>
        <v>142.97008547008548</v>
      </c>
      <c r="E44" s="24">
        <v>50372</v>
      </c>
      <c r="F44" s="350">
        <f>E44/'- 3 -'!$D44*100</f>
        <v>0.46794456196526313</v>
      </c>
      <c r="G44" s="24">
        <f>E44/'- 7 -'!$F44</f>
        <v>71.754985754985753</v>
      </c>
      <c r="H44" s="24">
        <v>239654</v>
      </c>
      <c r="I44" s="350">
        <f>H44/'- 3 -'!$D44*100</f>
        <v>2.2263318123803533</v>
      </c>
      <c r="J44" s="24">
        <f>H44/'- 7 -'!$F44</f>
        <v>341.38746438746438</v>
      </c>
    </row>
    <row r="45" spans="1:10" ht="14.1" customHeight="1">
      <c r="A45" s="357" t="s">
        <v>263</v>
      </c>
      <c r="B45" s="358">
        <v>134471</v>
      </c>
      <c r="C45" s="359">
        <f>B45/'- 3 -'!$D45*100</f>
        <v>0.76588843593952172</v>
      </c>
      <c r="D45" s="358">
        <f>B45/'- 7 -'!$F45</f>
        <v>79.994646044021422</v>
      </c>
      <c r="E45" s="358">
        <v>165080</v>
      </c>
      <c r="F45" s="359">
        <f>E45/'- 3 -'!$D45*100</f>
        <v>0.94022401116148646</v>
      </c>
      <c r="G45" s="358">
        <f>E45/'- 7 -'!$F45</f>
        <v>98.203450327186204</v>
      </c>
      <c r="H45" s="358">
        <v>341360</v>
      </c>
      <c r="I45" s="359">
        <f>H45/'- 3 -'!$D45*100</f>
        <v>1.9442383598866309</v>
      </c>
      <c r="J45" s="358">
        <f>H45/'- 7 -'!$F45</f>
        <v>203.06960142772161</v>
      </c>
    </row>
    <row r="46" spans="1:10" ht="14.1" customHeight="1">
      <c r="A46" s="23" t="s">
        <v>264</v>
      </c>
      <c r="B46" s="24">
        <v>744400</v>
      </c>
      <c r="C46" s="350">
        <f>B46/'- 3 -'!$D46*100</f>
        <v>0.20134487775547524</v>
      </c>
      <c r="D46" s="24">
        <f>B46/'- 7 -'!$F46</f>
        <v>24.618030293008797</v>
      </c>
      <c r="E46" s="24">
        <v>2026300</v>
      </c>
      <c r="F46" s="350">
        <f>E46/'- 3 -'!$D46*100</f>
        <v>0.54807244196120297</v>
      </c>
      <c r="G46" s="24">
        <f>E46/'- 7 -'!$F46</f>
        <v>67.011707123487</v>
      </c>
      <c r="H46" s="24">
        <v>6184500</v>
      </c>
      <c r="I46" s="350">
        <f>H46/'- 3 -'!$D46*100</f>
        <v>1.6727799522820213</v>
      </c>
      <c r="J46" s="24">
        <f>H46/'- 7 -'!$F46</f>
        <v>204.52741583438058</v>
      </c>
    </row>
    <row r="47" spans="1:10" ht="5.0999999999999996" customHeight="1">
      <c r="A47"/>
      <c r="B47"/>
      <c r="C47"/>
      <c r="D47"/>
      <c r="E47"/>
      <c r="F47"/>
      <c r="G47"/>
      <c r="H47"/>
      <c r="I47"/>
      <c r="J47"/>
    </row>
    <row r="48" spans="1:10" ht="14.1" customHeight="1">
      <c r="A48" s="360" t="s">
        <v>265</v>
      </c>
      <c r="B48" s="361">
        <f>SUM(B11:B46)</f>
        <v>10418369</v>
      </c>
      <c r="C48" s="362">
        <f>B48/'- 3 -'!$D48*100</f>
        <v>0.48554579771594075</v>
      </c>
      <c r="D48" s="361">
        <f>B48/'- 7 -'!$F48</f>
        <v>60.272024427297197</v>
      </c>
      <c r="E48" s="361">
        <f>SUM(E11:E46)</f>
        <v>19782290</v>
      </c>
      <c r="F48" s="362">
        <f>E48/'- 3 -'!$D48*100</f>
        <v>0.92194927811618865</v>
      </c>
      <c r="G48" s="361">
        <f>E48/'- 7 -'!$F48</f>
        <v>114.44388906822911</v>
      </c>
      <c r="H48" s="361">
        <f>SUM(H11:H46)</f>
        <v>37171659</v>
      </c>
      <c r="I48" s="362">
        <f>H48/'- 3 -'!$D48*100</f>
        <v>1.7323769988930058</v>
      </c>
      <c r="J48" s="361">
        <f>H48/'- 7 -'!$F48</f>
        <v>215.04432596418516</v>
      </c>
    </row>
    <row r="49" spans="1:10" ht="5.0999999999999996" customHeight="1">
      <c r="A49" s="25" t="s">
        <v>3</v>
      </c>
      <c r="B49" s="26"/>
      <c r="C49" s="349"/>
      <c r="D49" s="26"/>
      <c r="E49" s="26"/>
      <c r="F49" s="349"/>
      <c r="H49" s="26"/>
      <c r="I49" s="349"/>
      <c r="J49" s="26"/>
    </row>
    <row r="50" spans="1:10" ht="14.1" customHeight="1">
      <c r="A50" s="23" t="s">
        <v>266</v>
      </c>
      <c r="B50" s="24">
        <v>40350</v>
      </c>
      <c r="C50" s="350">
        <f>B50/'- 3 -'!$D50*100</f>
        <v>1.1996546421729002</v>
      </c>
      <c r="D50" s="24">
        <f>B50/'- 7 -'!$F50</f>
        <v>230.57142857142858</v>
      </c>
      <c r="E50" s="24">
        <v>27633</v>
      </c>
      <c r="F50" s="350">
        <f>E50/'- 3 -'!$D50*100</f>
        <v>0.82156274416762698</v>
      </c>
      <c r="G50" s="24">
        <f>E50/'- 7 -'!$F50</f>
        <v>157.90285714285713</v>
      </c>
      <c r="H50" s="24">
        <v>76923</v>
      </c>
      <c r="I50" s="350">
        <f>H50/'- 3 -'!$D50*100</f>
        <v>2.2870144743461216</v>
      </c>
      <c r="J50" s="24">
        <f>H50/'- 7 -'!$F50</f>
        <v>439.56</v>
      </c>
    </row>
    <row r="51" spans="1:10" ht="14.1" customHeight="1">
      <c r="A51" s="511" t="s">
        <v>691</v>
      </c>
      <c r="B51" s="358">
        <v>108280</v>
      </c>
      <c r="C51" s="359">
        <f>B51/'- 3 -'!$D51*100</f>
        <v>0.48098146515625106</v>
      </c>
      <c r="D51" s="358">
        <f>B51/'- 7 -'!$F51</f>
        <v>174.36392914653786</v>
      </c>
      <c r="E51" s="358">
        <v>281229</v>
      </c>
      <c r="F51" s="359">
        <f>E51/'- 3 -'!$D51*100</f>
        <v>1.2492236466977034</v>
      </c>
      <c r="G51" s="358">
        <f>E51/'- 7 -'!$F51</f>
        <v>452.8647342995169</v>
      </c>
      <c r="H51" s="358">
        <v>1742553</v>
      </c>
      <c r="I51" s="359">
        <f>H51/'- 3 -'!$D51*100</f>
        <v>7.7404478671261598</v>
      </c>
      <c r="J51" s="358">
        <f>H51/'- 7 -'!$F51</f>
        <v>2806.0434782608695</v>
      </c>
    </row>
    <row r="52" spans="1:10" ht="50.1" customHeight="1">
      <c r="B52"/>
      <c r="C52"/>
      <c r="D52"/>
      <c r="E52"/>
      <c r="F52"/>
      <c r="G52"/>
      <c r="H52"/>
      <c r="I52"/>
      <c r="J52"/>
    </row>
    <row r="53" spans="1:10" ht="15" customHeight="1"/>
    <row r="54" spans="1:10" ht="14.45" customHeight="1"/>
    <row r="55" spans="1:10" ht="14.45" customHeight="1"/>
    <row r="56" spans="1:10" ht="14.45" customHeight="1"/>
    <row r="57" spans="1:10" ht="14.45" customHeight="1"/>
    <row r="58" spans="1:10" ht="14.45" customHeight="1"/>
    <row r="59" spans="1:10"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23.xml><?xml version="1.0" encoding="utf-8"?>
<worksheet xmlns="http://schemas.openxmlformats.org/spreadsheetml/2006/main" xmlns:r="http://schemas.openxmlformats.org/officeDocument/2006/relationships">
  <sheetPr codeName="Sheet22">
    <pageSetUpPr fitToPage="1"/>
  </sheetPr>
  <dimension ref="A1:E59"/>
  <sheetViews>
    <sheetView showGridLines="0" showZeros="0" workbookViewId="0"/>
  </sheetViews>
  <sheetFormatPr defaultColWidth="15.83203125" defaultRowHeight="12"/>
  <cols>
    <col min="1" max="1" width="36.83203125" style="1" customWidth="1"/>
    <col min="2" max="2" width="19.83203125" style="1" customWidth="1"/>
    <col min="3" max="3" width="11.5" style="1" customWidth="1"/>
    <col min="4" max="4" width="12.6640625" style="1" customWidth="1"/>
    <col min="5" max="5" width="44.83203125" style="1" customWidth="1"/>
    <col min="6" max="16384" width="15.83203125" style="1"/>
  </cols>
  <sheetData>
    <row r="1" spans="1:5" ht="6.95" customHeight="1">
      <c r="A1" s="3"/>
      <c r="B1" s="4"/>
      <c r="C1" s="4"/>
      <c r="D1" s="4"/>
      <c r="E1" s="4"/>
    </row>
    <row r="2" spans="1:5" ht="15.95" customHeight="1">
      <c r="A2" s="159"/>
      <c r="B2" s="5" t="s">
        <v>474</v>
      </c>
      <c r="C2" s="6"/>
      <c r="D2" s="6"/>
      <c r="E2" s="182" t="s">
        <v>429</v>
      </c>
    </row>
    <row r="3" spans="1:5" ht="15.95" customHeight="1">
      <c r="A3" s="162"/>
      <c r="B3" s="7" t="str">
        <f>OPYEAR</f>
        <v>OPERATING FUND 2014/2015 BUDGET</v>
      </c>
      <c r="C3" s="8"/>
      <c r="D3" s="8"/>
      <c r="E3" s="101"/>
    </row>
    <row r="4" spans="1:5" ht="15.95" customHeight="1">
      <c r="B4" s="4"/>
      <c r="C4" s="4"/>
      <c r="D4" s="4"/>
      <c r="E4" s="4"/>
    </row>
    <row r="5" spans="1:5" ht="15.95" customHeight="1">
      <c r="B5" s="206" t="s">
        <v>396</v>
      </c>
      <c r="C5" s="172"/>
      <c r="D5" s="166"/>
      <c r="E5" s="75"/>
    </row>
    <row r="6" spans="1:5" ht="15.95" customHeight="1">
      <c r="B6" s="351" t="s">
        <v>15</v>
      </c>
      <c r="C6" s="352"/>
      <c r="D6" s="353"/>
      <c r="E6" s="105"/>
    </row>
    <row r="7" spans="1:5" ht="15.95" customHeight="1">
      <c r="B7" s="354" t="s">
        <v>41</v>
      </c>
      <c r="C7" s="355"/>
      <c r="D7" s="356"/>
      <c r="E7" s="105"/>
    </row>
    <row r="8" spans="1:5" ht="15.95" customHeight="1">
      <c r="A8" s="102"/>
      <c r="B8" s="168"/>
      <c r="C8" s="167"/>
      <c r="D8" s="167" t="s">
        <v>60</v>
      </c>
      <c r="E8" s="105"/>
    </row>
    <row r="9" spans="1:5" ht="15.95" customHeight="1">
      <c r="A9" s="35" t="s">
        <v>81</v>
      </c>
      <c r="B9" s="113" t="s">
        <v>82</v>
      </c>
      <c r="C9" s="113" t="s">
        <v>83</v>
      </c>
      <c r="D9" s="113" t="s">
        <v>84</v>
      </c>
    </row>
    <row r="10" spans="1:5" ht="5.0999999999999996" customHeight="1">
      <c r="A10" s="37"/>
    </row>
    <row r="11" spans="1:5" ht="14.1" customHeight="1">
      <c r="A11" s="357" t="s">
        <v>230</v>
      </c>
      <c r="B11" s="358">
        <v>3800</v>
      </c>
      <c r="C11" s="359">
        <f>B11/'- 3 -'!$D11*100</f>
        <v>2.1876353239548257E-2</v>
      </c>
      <c r="D11" s="358">
        <f>B11/'- 7 -'!$F11</f>
        <v>2.4571613320400907</v>
      </c>
    </row>
    <row r="12" spans="1:5" ht="14.1" customHeight="1">
      <c r="A12" s="23" t="s">
        <v>231</v>
      </c>
      <c r="B12" s="24">
        <v>92050</v>
      </c>
      <c r="C12" s="350">
        <f>B12/'- 3 -'!$D12*100</f>
        <v>0.29256452271379735</v>
      </c>
      <c r="D12" s="24">
        <f>B12/'- 7 -'!$F12</f>
        <v>42.095779903781079</v>
      </c>
    </row>
    <row r="13" spans="1:5" ht="14.1" customHeight="1">
      <c r="A13" s="357" t="s">
        <v>232</v>
      </c>
      <c r="B13" s="358">
        <v>260600</v>
      </c>
      <c r="C13" s="359">
        <f>B13/'- 3 -'!$D13*100</f>
        <v>0.29195968133149747</v>
      </c>
      <c r="D13" s="358">
        <f>B13/'- 7 -'!$F13</f>
        <v>32.091501416779451</v>
      </c>
    </row>
    <row r="14" spans="1:5" ht="14.1" customHeight="1">
      <c r="A14" s="23" t="s">
        <v>566</v>
      </c>
      <c r="B14" s="24">
        <v>118718</v>
      </c>
      <c r="C14" s="350">
        <f>B14/'- 3 -'!$D14*100</f>
        <v>0.14857237711648497</v>
      </c>
      <c r="D14" s="24">
        <f>B14/'- 7 -'!$F14</f>
        <v>22.336406396989652</v>
      </c>
    </row>
    <row r="15" spans="1:5" ht="14.1" customHeight="1">
      <c r="A15" s="357" t="s">
        <v>233</v>
      </c>
      <c r="B15" s="358">
        <v>42000</v>
      </c>
      <c r="C15" s="359">
        <f>B15/'- 3 -'!$D15*100</f>
        <v>0.21182591823257296</v>
      </c>
      <c r="D15" s="358">
        <f>B15/'- 7 -'!$F15</f>
        <v>28.91566265060241</v>
      </c>
    </row>
    <row r="16" spans="1:5" ht="14.1" customHeight="1">
      <c r="A16" s="23" t="s">
        <v>234</v>
      </c>
      <c r="B16" s="24">
        <v>29266</v>
      </c>
      <c r="C16" s="350">
        <f>B16/'- 3 -'!$D16*100</f>
        <v>0.21708131626075985</v>
      </c>
      <c r="D16" s="24">
        <f>B16/'- 7 -'!$F16</f>
        <v>30.422037422037423</v>
      </c>
    </row>
    <row r="17" spans="1:4" ht="14.1" customHeight="1">
      <c r="A17" s="357" t="s">
        <v>235</v>
      </c>
      <c r="B17" s="358">
        <v>84300</v>
      </c>
      <c r="C17" s="359">
        <f>B17/'- 3 -'!$D17*100</f>
        <v>0.49118271670771702</v>
      </c>
      <c r="D17" s="358">
        <f>B17/'- 7 -'!$F17</f>
        <v>63.028037383177569</v>
      </c>
    </row>
    <row r="18" spans="1:4" ht="14.1" customHeight="1">
      <c r="A18" s="23" t="s">
        <v>236</v>
      </c>
      <c r="B18" s="24">
        <v>679591</v>
      </c>
      <c r="C18" s="350">
        <f>B18/'- 3 -'!$D18*100</f>
        <v>0.54905195867225687</v>
      </c>
      <c r="D18" s="24">
        <f>B18/'- 7 -'!$F18</f>
        <v>110.1319137212958</v>
      </c>
    </row>
    <row r="19" spans="1:4" ht="14.1" customHeight="1">
      <c r="A19" s="357" t="s">
        <v>237</v>
      </c>
      <c r="B19" s="358">
        <v>59800</v>
      </c>
      <c r="C19" s="359">
        <f>B19/'- 3 -'!$D19*100</f>
        <v>0.1376303460643705</v>
      </c>
      <c r="D19" s="358">
        <f>B19/'- 7 -'!$F19</f>
        <v>14.658659149405564</v>
      </c>
    </row>
    <row r="20" spans="1:4" ht="14.1" customHeight="1">
      <c r="A20" s="23" t="s">
        <v>238</v>
      </c>
      <c r="B20" s="24">
        <v>58800</v>
      </c>
      <c r="C20" s="350">
        <f>B20/'- 3 -'!$D20*100</f>
        <v>7.7644672624706854E-2</v>
      </c>
      <c r="D20" s="24">
        <f>B20/'- 7 -'!$F20</f>
        <v>7.7788067204656697</v>
      </c>
    </row>
    <row r="21" spans="1:4" ht="14.1" customHeight="1">
      <c r="A21" s="357" t="s">
        <v>239</v>
      </c>
      <c r="B21" s="358">
        <v>60000</v>
      </c>
      <c r="C21" s="359">
        <f>B21/'- 3 -'!$D21*100</f>
        <v>0.17399522974678128</v>
      </c>
      <c r="D21" s="358">
        <f>B21/'- 7 -'!$F21</f>
        <v>22.564874012786763</v>
      </c>
    </row>
    <row r="22" spans="1:4" ht="14.1" customHeight="1">
      <c r="A22" s="23" t="s">
        <v>240</v>
      </c>
      <c r="B22" s="24">
        <v>13500</v>
      </c>
      <c r="C22" s="350">
        <f>B22/'- 3 -'!$D22*100</f>
        <v>6.9574900962705327E-2</v>
      </c>
      <c r="D22" s="24">
        <f>B22/'- 7 -'!$F22</f>
        <v>8.6483023702754647</v>
      </c>
    </row>
    <row r="23" spans="1:4" ht="14.1" customHeight="1">
      <c r="A23" s="357" t="s">
        <v>241</v>
      </c>
      <c r="B23" s="358">
        <v>40000</v>
      </c>
      <c r="C23" s="359">
        <f>B23/'- 3 -'!$D23*100</f>
        <v>0.24549094506649125</v>
      </c>
      <c r="D23" s="358">
        <f>B23/'- 7 -'!$F23</f>
        <v>34.858387799564269</v>
      </c>
    </row>
    <row r="24" spans="1:4" ht="14.1" customHeight="1">
      <c r="A24" s="23" t="s">
        <v>242</v>
      </c>
      <c r="B24" s="24">
        <v>158655</v>
      </c>
      <c r="C24" s="350">
        <f>B24/'- 3 -'!$D24*100</f>
        <v>0.29202003151949973</v>
      </c>
      <c r="D24" s="24">
        <f>B24/'- 7 -'!$F24</f>
        <v>39.183749073845391</v>
      </c>
    </row>
    <row r="25" spans="1:4" ht="14.1" customHeight="1">
      <c r="A25" s="357" t="s">
        <v>243</v>
      </c>
      <c r="B25" s="358">
        <v>433019</v>
      </c>
      <c r="C25" s="359">
        <f>B25/'- 3 -'!$D25*100</f>
        <v>0.27232972936159672</v>
      </c>
      <c r="D25" s="358">
        <f>B25/'- 7 -'!$F25</f>
        <v>31.503746817024371</v>
      </c>
    </row>
    <row r="26" spans="1:4" ht="14.1" customHeight="1">
      <c r="A26" s="23" t="s">
        <v>244</v>
      </c>
      <c r="B26" s="24">
        <v>25494</v>
      </c>
      <c r="C26" s="350">
        <f>B26/'- 3 -'!$D26*100</f>
        <v>6.5505704345884916E-2</v>
      </c>
      <c r="D26" s="24">
        <f>B26/'- 7 -'!$F26</f>
        <v>8.255829015544041</v>
      </c>
    </row>
    <row r="27" spans="1:4" ht="14.1" customHeight="1">
      <c r="A27" s="357" t="s">
        <v>245</v>
      </c>
      <c r="B27" s="358">
        <v>154101</v>
      </c>
      <c r="C27" s="359">
        <f>B27/'- 3 -'!$D27*100</f>
        <v>0.39420794863879804</v>
      </c>
      <c r="D27" s="358">
        <f>B27/'- 7 -'!$F27</f>
        <v>53.322145328719721</v>
      </c>
    </row>
    <row r="28" spans="1:4" ht="14.1" customHeight="1">
      <c r="A28" s="23" t="s">
        <v>246</v>
      </c>
      <c r="B28" s="24">
        <v>78000</v>
      </c>
      <c r="C28" s="350">
        <f>B28/'- 3 -'!$D28*100</f>
        <v>0.28519311358082661</v>
      </c>
      <c r="D28" s="24">
        <f>B28/'- 7 -'!$F28</f>
        <v>39.344262295081968</v>
      </c>
    </row>
    <row r="29" spans="1:4" ht="14.1" customHeight="1">
      <c r="A29" s="357" t="s">
        <v>247</v>
      </c>
      <c r="B29" s="358">
        <v>822707</v>
      </c>
      <c r="C29" s="359">
        <f>B29/'- 3 -'!$D29*100</f>
        <v>0.55935736742377729</v>
      </c>
      <c r="D29" s="358">
        <f>B29/'- 7 -'!$F29</f>
        <v>68.214999378135232</v>
      </c>
    </row>
    <row r="30" spans="1:4" ht="14.1" customHeight="1">
      <c r="A30" s="23" t="s">
        <v>248</v>
      </c>
      <c r="B30" s="24">
        <v>37500</v>
      </c>
      <c r="C30" s="350">
        <f>B30/'- 3 -'!$D30*100</f>
        <v>0.27984228834874769</v>
      </c>
      <c r="D30" s="24">
        <f>B30/'- 7 -'!$F30</f>
        <v>36.567528035104829</v>
      </c>
    </row>
    <row r="31" spans="1:4" ht="14.1" customHeight="1">
      <c r="A31" s="357" t="s">
        <v>249</v>
      </c>
      <c r="B31" s="358">
        <v>134610</v>
      </c>
      <c r="C31" s="359">
        <f>B31/'- 3 -'!$D31*100</f>
        <v>0.38486771398184577</v>
      </c>
      <c r="D31" s="358">
        <f>B31/'- 7 -'!$F31</f>
        <v>42.184268254465685</v>
      </c>
    </row>
    <row r="32" spans="1:4" ht="14.1" customHeight="1">
      <c r="A32" s="23" t="s">
        <v>250</v>
      </c>
      <c r="B32" s="24">
        <v>61200</v>
      </c>
      <c r="C32" s="350">
        <f>B32/'- 3 -'!$D32*100</f>
        <v>0.2299223846648081</v>
      </c>
      <c r="D32" s="24">
        <f>B32/'- 7 -'!$F32</f>
        <v>29.094366531970525</v>
      </c>
    </row>
    <row r="33" spans="1:5" ht="14.1" customHeight="1">
      <c r="A33" s="357" t="s">
        <v>251</v>
      </c>
      <c r="B33" s="358">
        <v>54000</v>
      </c>
      <c r="C33" s="359">
        <f>B33/'- 3 -'!$D33*100</f>
        <v>0.19925666930521857</v>
      </c>
      <c r="D33" s="358">
        <f>B33/'- 7 -'!$F33</f>
        <v>27.088036117381488</v>
      </c>
    </row>
    <row r="34" spans="1:5" ht="14.1" customHeight="1">
      <c r="A34" s="23" t="s">
        <v>252</v>
      </c>
      <c r="B34" s="24">
        <v>25000</v>
      </c>
      <c r="C34" s="350">
        <f>B34/'- 3 -'!$D34*100</f>
        <v>9.4937661842605589E-2</v>
      </c>
      <c r="D34" s="24">
        <f>B34/'- 7 -'!$F34</f>
        <v>12.591286829513976</v>
      </c>
    </row>
    <row r="35" spans="1:5" ht="14.1" customHeight="1">
      <c r="A35" s="357" t="s">
        <v>253</v>
      </c>
      <c r="B35" s="358">
        <v>1193650</v>
      </c>
      <c r="C35" s="359">
        <f>B35/'- 3 -'!$D35*100</f>
        <v>0.70027818112943174</v>
      </c>
      <c r="D35" s="358">
        <f>B35/'- 7 -'!$F35</f>
        <v>77.024585403626503</v>
      </c>
    </row>
    <row r="36" spans="1:5" ht="14.1" customHeight="1">
      <c r="A36" s="23" t="s">
        <v>254</v>
      </c>
      <c r="B36" s="24">
        <v>37000</v>
      </c>
      <c r="C36" s="350">
        <f>B36/'- 3 -'!$D36*100</f>
        <v>0.16726131076360437</v>
      </c>
      <c r="D36" s="24">
        <f>B36/'- 7 -'!$F36</f>
        <v>22.444646648468304</v>
      </c>
    </row>
    <row r="37" spans="1:5" ht="14.1" customHeight="1">
      <c r="A37" s="357" t="s">
        <v>255</v>
      </c>
      <c r="B37" s="358">
        <v>193265</v>
      </c>
      <c r="C37" s="359">
        <f>B37/'- 3 -'!$D37*100</f>
        <v>0.43233648267600544</v>
      </c>
      <c r="D37" s="358">
        <f>B37/'- 7 -'!$F37</f>
        <v>49.384182956432859</v>
      </c>
    </row>
    <row r="38" spans="1:5" ht="14.1" customHeight="1">
      <c r="A38" s="23" t="s">
        <v>256</v>
      </c>
      <c r="B38" s="24">
        <v>410260</v>
      </c>
      <c r="C38" s="350">
        <f>B38/'- 3 -'!$D38*100</f>
        <v>0.33554803268342198</v>
      </c>
      <c r="D38" s="24">
        <f>B38/'- 7 -'!$F38</f>
        <v>38.250897394060885</v>
      </c>
    </row>
    <row r="39" spans="1:5" ht="14.1" customHeight="1">
      <c r="A39" s="357" t="s">
        <v>257</v>
      </c>
      <c r="B39" s="358">
        <v>41800</v>
      </c>
      <c r="C39" s="359">
        <f>B39/'- 3 -'!$D39*100</f>
        <v>0.20040203140539548</v>
      </c>
      <c r="D39" s="358">
        <f>B39/'- 7 -'!$F39</f>
        <v>26.959045469203481</v>
      </c>
    </row>
    <row r="40" spans="1:5" ht="14.1" customHeight="1">
      <c r="A40" s="23" t="s">
        <v>258</v>
      </c>
      <c r="B40" s="24">
        <v>286954</v>
      </c>
      <c r="C40" s="350">
        <f>B40/'- 3 -'!$D40*100</f>
        <v>0.28907449730272927</v>
      </c>
      <c r="D40" s="24">
        <f>B40/'- 7 -'!$F40</f>
        <v>36.136251729969814</v>
      </c>
    </row>
    <row r="41" spans="1:5" ht="14.1" customHeight="1">
      <c r="A41" s="357" t="s">
        <v>259</v>
      </c>
      <c r="B41" s="358">
        <v>155672</v>
      </c>
      <c r="C41" s="359">
        <f>B41/'- 3 -'!$D41*100</f>
        <v>0.26214621282819683</v>
      </c>
      <c r="D41" s="358">
        <f>B41/'- 7 -'!$F41</f>
        <v>35.492932056543545</v>
      </c>
    </row>
    <row r="42" spans="1:5" ht="14.1" customHeight="1">
      <c r="A42" s="23" t="s">
        <v>260</v>
      </c>
      <c r="B42" s="24">
        <v>31000</v>
      </c>
      <c r="C42" s="350">
        <f>B42/'- 3 -'!$D42*100</f>
        <v>0.15224344965191253</v>
      </c>
      <c r="D42" s="24">
        <f>B42/'- 7 -'!$F42</f>
        <v>22.119158044951838</v>
      </c>
    </row>
    <row r="43" spans="1:5" ht="14.1" customHeight="1">
      <c r="A43" s="357" t="s">
        <v>261</v>
      </c>
      <c r="B43" s="358">
        <v>31300</v>
      </c>
      <c r="C43" s="359">
        <f>B43/'- 3 -'!$D43*100</f>
        <v>0.25152997325183651</v>
      </c>
      <c r="D43" s="358">
        <f>B43/'- 7 -'!$F43</f>
        <v>32.604166666666664</v>
      </c>
    </row>
    <row r="44" spans="1:5" ht="14.1" customHeight="1">
      <c r="A44" s="23" t="s">
        <v>262</v>
      </c>
      <c r="B44" s="24">
        <v>2000</v>
      </c>
      <c r="C44" s="350">
        <f>B44/'- 3 -'!$D44*100</f>
        <v>1.8579550621982972E-2</v>
      </c>
      <c r="D44" s="24">
        <f>B44/'- 7 -'!$F44</f>
        <v>2.8490028490028489</v>
      </c>
    </row>
    <row r="45" spans="1:5" ht="14.1" customHeight="1">
      <c r="A45" s="357" t="s">
        <v>263</v>
      </c>
      <c r="B45" s="358">
        <v>56000</v>
      </c>
      <c r="C45" s="359">
        <f>B45/'- 3 -'!$D45*100</f>
        <v>0.31895168781828959</v>
      </c>
      <c r="D45" s="358">
        <f>B45/'- 7 -'!$F45</f>
        <v>33.313503866745982</v>
      </c>
    </row>
    <row r="46" spans="1:5" ht="14.1" customHeight="1">
      <c r="A46" s="23" t="s">
        <v>264</v>
      </c>
      <c r="B46" s="24">
        <v>1450300</v>
      </c>
      <c r="C46" s="350">
        <f>B46/'- 3 -'!$D46*100</f>
        <v>0.39227629796986269</v>
      </c>
      <c r="D46" s="24">
        <f>B46/'- 7 -'!$F46</f>
        <v>47.96282822938025</v>
      </c>
    </row>
    <row r="47" spans="1:5" ht="5.0999999999999996" customHeight="1">
      <c r="A47"/>
      <c r="B47"/>
      <c r="C47"/>
      <c r="D47"/>
    </row>
    <row r="48" spans="1:5" ht="14.1" customHeight="1">
      <c r="A48" s="360" t="s">
        <v>265</v>
      </c>
      <c r="B48" s="361">
        <f>SUM(B11:B46)</f>
        <v>7415912</v>
      </c>
      <c r="C48" s="362">
        <f>B48/'- 3 -'!$D48*100</f>
        <v>0.34561694904751572</v>
      </c>
      <c r="D48" s="361">
        <f>B48/'- 7 -'!$F48</f>
        <v>42.90230353855641</v>
      </c>
      <c r="E48" s="37"/>
    </row>
    <row r="49" spans="1:4" ht="5.0999999999999996" customHeight="1">
      <c r="A49" s="25" t="s">
        <v>3</v>
      </c>
      <c r="B49" s="26"/>
      <c r="C49" s="349"/>
      <c r="D49" s="26"/>
    </row>
    <row r="50" spans="1:4" ht="14.1" customHeight="1">
      <c r="A50" s="23" t="s">
        <v>266</v>
      </c>
      <c r="B50" s="24">
        <v>0</v>
      </c>
      <c r="C50" s="350">
        <f>B50/'- 3 -'!$D50*100</f>
        <v>0</v>
      </c>
      <c r="D50" s="24">
        <f>B50/'- 7 -'!$F50</f>
        <v>0</v>
      </c>
    </row>
    <row r="51" spans="1:4" ht="14.1" customHeight="1">
      <c r="A51" s="511" t="s">
        <v>691</v>
      </c>
      <c r="B51" s="358">
        <v>726655</v>
      </c>
      <c r="C51" s="359">
        <f>B51/'- 3 -'!$D51*100</f>
        <v>3.2278129531133688</v>
      </c>
      <c r="D51" s="358">
        <f>B51/'- 7 -'!$F51</f>
        <v>1170.1368760064413</v>
      </c>
    </row>
    <row r="52" spans="1:4" ht="50.1" customHeight="1"/>
    <row r="53" spans="1:4" ht="15" customHeight="1"/>
    <row r="54" spans="1:4" ht="14.45" customHeight="1"/>
    <row r="55" spans="1:4" ht="14.45" customHeight="1"/>
    <row r="56" spans="1:4" ht="14.45" customHeight="1"/>
    <row r="57" spans="1:4" ht="14.45" customHeight="1"/>
    <row r="58" spans="1:4" ht="14.45" customHeight="1"/>
    <row r="59" spans="1:4"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24.xml><?xml version="1.0" encoding="utf-8"?>
<worksheet xmlns="http://schemas.openxmlformats.org/spreadsheetml/2006/main" xmlns:r="http://schemas.openxmlformats.org/officeDocument/2006/relationships">
  <sheetPr codeName="Sheet24">
    <pageSetUpPr fitToPage="1"/>
  </sheetPr>
  <dimension ref="A1:J59"/>
  <sheetViews>
    <sheetView showGridLines="0" showZeros="0" workbookViewId="0"/>
  </sheetViews>
  <sheetFormatPr defaultColWidth="15.83203125" defaultRowHeight="12"/>
  <cols>
    <col min="1" max="1" width="29.83203125" style="1" customWidth="1"/>
    <col min="2" max="2" width="15" style="1" customWidth="1"/>
    <col min="3" max="3" width="9.1640625" style="1" customWidth="1"/>
    <col min="4" max="4" width="9.83203125" style="1" customWidth="1"/>
    <col min="5" max="5" width="12.6640625" style="1" customWidth="1"/>
    <col min="6" max="6" width="8.1640625" style="1" customWidth="1"/>
    <col min="7" max="7" width="9.1640625" style="1" customWidth="1"/>
    <col min="8" max="8" width="12.6640625" style="1" customWidth="1"/>
    <col min="9" max="9" width="8.5" style="1" customWidth="1"/>
    <col min="10" max="10" width="9.1640625" style="1" customWidth="1"/>
    <col min="11" max="16384" width="15.83203125" style="1"/>
  </cols>
  <sheetData>
    <row r="1" spans="1:10" ht="6.95" customHeight="1">
      <c r="A1" s="3"/>
      <c r="B1" s="4"/>
      <c r="C1" s="4"/>
      <c r="D1" s="4"/>
      <c r="E1" s="4"/>
      <c r="F1" s="4"/>
      <c r="G1" s="4"/>
      <c r="H1" s="4"/>
      <c r="I1" s="4"/>
      <c r="J1" s="4"/>
    </row>
    <row r="2" spans="1:10" ht="15.95" customHeight="1">
      <c r="A2" s="159"/>
      <c r="B2" s="5" t="s">
        <v>474</v>
      </c>
      <c r="C2" s="6"/>
      <c r="D2" s="160"/>
      <c r="E2" s="6"/>
      <c r="F2" s="6"/>
      <c r="G2" s="6"/>
      <c r="H2" s="106"/>
      <c r="I2" s="106"/>
      <c r="J2" s="182" t="s">
        <v>428</v>
      </c>
    </row>
    <row r="3" spans="1:10" ht="15.95" customHeight="1">
      <c r="A3" s="162"/>
      <c r="B3" s="7" t="str">
        <f>OPYEAR</f>
        <v>OPERATING FUND 2014/2015 BUDGET</v>
      </c>
      <c r="C3" s="8"/>
      <c r="D3" s="175"/>
      <c r="E3" s="8"/>
      <c r="F3" s="8"/>
      <c r="G3" s="8"/>
      <c r="H3" s="108"/>
      <c r="I3" s="108"/>
      <c r="J3" s="8"/>
    </row>
    <row r="4" spans="1:10" ht="15.95" customHeight="1">
      <c r="B4" s="4"/>
      <c r="C4" s="4"/>
      <c r="D4" s="4"/>
      <c r="E4" s="4"/>
      <c r="F4" s="4"/>
      <c r="G4" s="4"/>
      <c r="H4" s="4"/>
      <c r="I4" s="4"/>
      <c r="J4" s="4"/>
    </row>
    <row r="5" spans="1:10" ht="15.95" customHeight="1">
      <c r="B5" s="517" t="s">
        <v>462</v>
      </c>
      <c r="C5" s="184"/>
      <c r="D5" s="185"/>
      <c r="E5" s="185"/>
      <c r="F5" s="185"/>
      <c r="G5" s="185"/>
      <c r="H5" s="185"/>
      <c r="I5" s="185"/>
      <c r="J5" s="186"/>
    </row>
    <row r="6" spans="1:10" ht="15.95" customHeight="1">
      <c r="B6" s="351" t="s">
        <v>374</v>
      </c>
      <c r="C6" s="352"/>
      <c r="D6" s="353"/>
      <c r="E6" s="351" t="s">
        <v>17</v>
      </c>
      <c r="F6" s="352"/>
      <c r="G6" s="353"/>
      <c r="H6" s="351" t="s">
        <v>367</v>
      </c>
      <c r="I6" s="352"/>
      <c r="J6" s="353"/>
    </row>
    <row r="7" spans="1:10" ht="15.95" customHeight="1">
      <c r="B7" s="354" t="s">
        <v>378</v>
      </c>
      <c r="C7" s="355"/>
      <c r="D7" s="356"/>
      <c r="E7" s="354" t="s">
        <v>43</v>
      </c>
      <c r="F7" s="355"/>
      <c r="G7" s="356"/>
      <c r="H7" s="354" t="s">
        <v>267</v>
      </c>
      <c r="I7" s="355"/>
      <c r="J7" s="356"/>
    </row>
    <row r="8" spans="1:10" ht="15.95" customHeight="1">
      <c r="A8" s="102"/>
      <c r="B8" s="168"/>
      <c r="C8" s="167"/>
      <c r="D8" s="167" t="s">
        <v>60</v>
      </c>
      <c r="E8" s="168"/>
      <c r="F8" s="167"/>
      <c r="G8" s="167" t="s">
        <v>60</v>
      </c>
      <c r="H8" s="168"/>
      <c r="I8" s="167"/>
      <c r="J8" s="167" t="s">
        <v>60</v>
      </c>
    </row>
    <row r="9" spans="1:10" ht="15.95" customHeight="1">
      <c r="A9" s="35" t="s">
        <v>81</v>
      </c>
      <c r="B9" s="113" t="s">
        <v>82</v>
      </c>
      <c r="C9" s="113" t="s">
        <v>83</v>
      </c>
      <c r="D9" s="113" t="s">
        <v>84</v>
      </c>
      <c r="E9" s="113" t="s">
        <v>82</v>
      </c>
      <c r="F9" s="113" t="s">
        <v>83</v>
      </c>
      <c r="G9" s="113" t="s">
        <v>84</v>
      </c>
      <c r="H9" s="113" t="s">
        <v>82</v>
      </c>
      <c r="I9" s="113" t="s">
        <v>83</v>
      </c>
      <c r="J9" s="113" t="s">
        <v>84</v>
      </c>
    </row>
    <row r="10" spans="1:10" ht="5.0999999999999996" customHeight="1">
      <c r="A10" s="37"/>
    </row>
    <row r="11" spans="1:10" ht="14.1" customHeight="1">
      <c r="A11" s="357" t="s">
        <v>230</v>
      </c>
      <c r="B11" s="358">
        <v>0</v>
      </c>
      <c r="C11" s="359">
        <f>B11/'- 3 -'!$D11*100</f>
        <v>0</v>
      </c>
      <c r="D11" s="358">
        <f>B11/'- 7 -'!$C11</f>
        <v>0</v>
      </c>
      <c r="E11" s="358">
        <v>0</v>
      </c>
      <c r="F11" s="359">
        <f>E11/'- 3 -'!$D11*100</f>
        <v>0</v>
      </c>
      <c r="G11" s="358">
        <f>E11/'- 7 -'!$F11</f>
        <v>0</v>
      </c>
      <c r="H11" s="358">
        <v>219781</v>
      </c>
      <c r="I11" s="359">
        <f>H11/'- 3 -'!$D11*100</f>
        <v>1.2652649450897775</v>
      </c>
      <c r="J11" s="358">
        <f>H11/'- 7 -'!$F11</f>
        <v>142.11509860976398</v>
      </c>
    </row>
    <row r="12" spans="1:10" ht="14.1" customHeight="1">
      <c r="A12" s="23" t="s">
        <v>231</v>
      </c>
      <c r="B12" s="24">
        <v>0</v>
      </c>
      <c r="C12" s="350">
        <f>B12/'- 3 -'!$D12*100</f>
        <v>0</v>
      </c>
      <c r="D12" s="24">
        <f>B12/'- 7 -'!$C12</f>
        <v>0</v>
      </c>
      <c r="E12" s="24">
        <v>0</v>
      </c>
      <c r="F12" s="350">
        <f>E12/'- 3 -'!$D12*100</f>
        <v>0</v>
      </c>
      <c r="G12" s="24">
        <f>E12/'- 7 -'!$F12</f>
        <v>0</v>
      </c>
      <c r="H12" s="24">
        <v>262679</v>
      </c>
      <c r="I12" s="350">
        <f>H12/'- 3 -'!$D12*100</f>
        <v>0.83487839502376504</v>
      </c>
      <c r="J12" s="24">
        <f>H12/'- 7 -'!$F12</f>
        <v>120.12685898256719</v>
      </c>
    </row>
    <row r="13" spans="1:10" ht="14.1" customHeight="1">
      <c r="A13" s="357" t="s">
        <v>232</v>
      </c>
      <c r="B13" s="358">
        <v>0</v>
      </c>
      <c r="C13" s="359">
        <f>B13/'- 3 -'!$D13*100</f>
        <v>0</v>
      </c>
      <c r="D13" s="358">
        <f>B13/'- 7 -'!$C13</f>
        <v>0</v>
      </c>
      <c r="E13" s="358">
        <v>404200</v>
      </c>
      <c r="F13" s="359">
        <f>E13/'- 3 -'!$D13*100</f>
        <v>0.45283999690787136</v>
      </c>
      <c r="G13" s="358">
        <f>E13/'- 7 -'!$F13</f>
        <v>49.775076257337886</v>
      </c>
      <c r="H13" s="358">
        <v>1033500</v>
      </c>
      <c r="I13" s="359">
        <f>H13/'- 3 -'!$D13*100</f>
        <v>1.157867730836925</v>
      </c>
      <c r="J13" s="358">
        <f>H13/'- 7 -'!$F13</f>
        <v>127.27001808995226</v>
      </c>
    </row>
    <row r="14" spans="1:10" ht="14.1" customHeight="1">
      <c r="A14" s="23" t="s">
        <v>566</v>
      </c>
      <c r="B14" s="24">
        <v>154536</v>
      </c>
      <c r="C14" s="350">
        <f>B14/'- 3 -'!$D14*100</f>
        <v>0.19339763869062079</v>
      </c>
      <c r="D14" s="24">
        <f>B14/'- 7 -'!$C14</f>
        <v>29.075446848541862</v>
      </c>
      <c r="E14" s="24">
        <v>1474849</v>
      </c>
      <c r="F14" s="350">
        <f>E14/'- 3 -'!$D14*100</f>
        <v>1.845733770935079</v>
      </c>
      <c r="G14" s="24">
        <f>E14/'- 7 -'!$F14</f>
        <v>277.48805268109123</v>
      </c>
      <c r="H14" s="24">
        <v>859753</v>
      </c>
      <c r="I14" s="350">
        <f>H14/'- 3 -'!$D14*100</f>
        <v>1.0759577060178682</v>
      </c>
      <c r="J14" s="24">
        <f>H14/'- 7 -'!$F14</f>
        <v>161.75973659454374</v>
      </c>
    </row>
    <row r="15" spans="1:10" ht="14.1" customHeight="1">
      <c r="A15" s="357" t="s">
        <v>233</v>
      </c>
      <c r="B15" s="358">
        <v>0</v>
      </c>
      <c r="C15" s="359">
        <f>B15/'- 3 -'!$D15*100</f>
        <v>0</v>
      </c>
      <c r="D15" s="358">
        <f>B15/'- 7 -'!$C15</f>
        <v>0</v>
      </c>
      <c r="E15" s="358">
        <v>109900</v>
      </c>
      <c r="F15" s="359">
        <f>E15/'- 3 -'!$D15*100</f>
        <v>0.55427781937523257</v>
      </c>
      <c r="G15" s="358">
        <f>E15/'- 7 -'!$F15</f>
        <v>75.662650602409641</v>
      </c>
      <c r="H15" s="358">
        <v>214200</v>
      </c>
      <c r="I15" s="359">
        <f>H15/'- 3 -'!$D15*100</f>
        <v>1.080312182986122</v>
      </c>
      <c r="J15" s="358">
        <f>H15/'- 7 -'!$F15</f>
        <v>147.46987951807228</v>
      </c>
    </row>
    <row r="16" spans="1:10" ht="14.1" customHeight="1">
      <c r="A16" s="23" t="s">
        <v>234</v>
      </c>
      <c r="B16" s="24">
        <v>0</v>
      </c>
      <c r="C16" s="350">
        <f>B16/'- 3 -'!$D16*100</f>
        <v>0</v>
      </c>
      <c r="D16" s="24">
        <f>B16/'- 7 -'!$C16</f>
        <v>0</v>
      </c>
      <c r="E16" s="24">
        <v>0</v>
      </c>
      <c r="F16" s="350">
        <f>E16/'- 3 -'!$D16*100</f>
        <v>0</v>
      </c>
      <c r="G16" s="24">
        <f>E16/'- 7 -'!$F16</f>
        <v>0</v>
      </c>
      <c r="H16" s="24">
        <v>148006</v>
      </c>
      <c r="I16" s="350">
        <f>H16/'- 3 -'!$D16*100</f>
        <v>1.097838354899543</v>
      </c>
      <c r="J16" s="24">
        <f>H16/'- 7 -'!$F16</f>
        <v>153.85239085239084</v>
      </c>
    </row>
    <row r="17" spans="1:10" ht="14.1" customHeight="1">
      <c r="A17" s="357" t="s">
        <v>235</v>
      </c>
      <c r="B17" s="358">
        <v>0</v>
      </c>
      <c r="C17" s="359">
        <f>B17/'- 3 -'!$D17*100</f>
        <v>0</v>
      </c>
      <c r="D17" s="358">
        <f>B17/'- 7 -'!$C17</f>
        <v>0</v>
      </c>
      <c r="E17" s="358">
        <v>110920</v>
      </c>
      <c r="F17" s="359">
        <f>E17/'- 3 -'!$D17*100</f>
        <v>0.64628691503226543</v>
      </c>
      <c r="G17" s="358">
        <f>E17/'- 7 -'!$F17</f>
        <v>82.930841121495334</v>
      </c>
      <c r="H17" s="358">
        <v>202444</v>
      </c>
      <c r="I17" s="359">
        <f>H17/'- 3 -'!$D17*100</f>
        <v>1.1795610189937968</v>
      </c>
      <c r="J17" s="358">
        <f>H17/'- 7 -'!$F17</f>
        <v>151.36000000000001</v>
      </c>
    </row>
    <row r="18" spans="1:10" ht="14.1" customHeight="1">
      <c r="A18" s="23" t="s">
        <v>236</v>
      </c>
      <c r="B18" s="24">
        <v>0</v>
      </c>
      <c r="C18" s="350">
        <f>B18/'- 3 -'!$D18*100</f>
        <v>0</v>
      </c>
      <c r="D18" s="24">
        <f>B18/'- 7 -'!$C18</f>
        <v>0</v>
      </c>
      <c r="E18" s="24">
        <v>2372771</v>
      </c>
      <c r="F18" s="350">
        <f>E18/'- 3 -'!$D18*100</f>
        <v>1.9169979664691403</v>
      </c>
      <c r="G18" s="24">
        <f>E18/'- 7 -'!$F18</f>
        <v>384.52217738668224</v>
      </c>
      <c r="H18" s="24">
        <v>1887717</v>
      </c>
      <c r="I18" s="350">
        <f>H18/'- 3 -'!$D18*100</f>
        <v>1.5251154242315108</v>
      </c>
      <c r="J18" s="24">
        <f>H18/'- 7 -'!$F18</f>
        <v>305.91618454956489</v>
      </c>
    </row>
    <row r="19" spans="1:10" ht="14.1" customHeight="1">
      <c r="A19" s="357" t="s">
        <v>237</v>
      </c>
      <c r="B19" s="358">
        <v>0</v>
      </c>
      <c r="C19" s="359">
        <f>B19/'- 3 -'!$D19*100</f>
        <v>0</v>
      </c>
      <c r="D19" s="358">
        <f>B19/'- 7 -'!$C19</f>
        <v>0</v>
      </c>
      <c r="E19" s="358">
        <v>193200</v>
      </c>
      <c r="F19" s="359">
        <f>E19/'- 3 -'!$D19*100</f>
        <v>0.4446518872848893</v>
      </c>
      <c r="G19" s="358">
        <f>E19/'- 7 -'!$F19</f>
        <v>47.358744944233365</v>
      </c>
      <c r="H19" s="358">
        <v>468100</v>
      </c>
      <c r="I19" s="359">
        <f>H19/'- 3 -'!$D19*100</f>
        <v>1.0773372072363181</v>
      </c>
      <c r="J19" s="358">
        <f>H19/'- 7 -'!$F19</f>
        <v>114.74445397720309</v>
      </c>
    </row>
    <row r="20" spans="1:10" ht="14.1" customHeight="1">
      <c r="A20" s="23" t="s">
        <v>238</v>
      </c>
      <c r="B20" s="24">
        <v>31300</v>
      </c>
      <c r="C20" s="350">
        <f>B20/'- 3 -'!$D20*100</f>
        <v>4.1331262808730007E-2</v>
      </c>
      <c r="D20" s="24">
        <f>B20/'- 7 -'!$C20</f>
        <v>4.1407593597036643</v>
      </c>
      <c r="E20" s="24">
        <v>461000</v>
      </c>
      <c r="F20" s="350">
        <f>E20/'- 3 -'!$D20*100</f>
        <v>0.60874479727873909</v>
      </c>
      <c r="G20" s="24">
        <f>E20/'- 7 -'!$F20</f>
        <v>60.986903029501256</v>
      </c>
      <c r="H20" s="24">
        <v>828000</v>
      </c>
      <c r="I20" s="350">
        <f>H20/'- 3 -'!$D20*100</f>
        <v>1.093363757368321</v>
      </c>
      <c r="J20" s="24">
        <f>H20/'- 7 -'!$F20</f>
        <v>109.53829871676147</v>
      </c>
    </row>
    <row r="21" spans="1:10" ht="14.1" customHeight="1">
      <c r="A21" s="357" t="s">
        <v>239</v>
      </c>
      <c r="B21" s="358">
        <v>0</v>
      </c>
      <c r="C21" s="359">
        <f>B21/'- 3 -'!$D21*100</f>
        <v>0</v>
      </c>
      <c r="D21" s="358">
        <f>B21/'- 7 -'!$C21</f>
        <v>0</v>
      </c>
      <c r="E21" s="358">
        <v>96800</v>
      </c>
      <c r="F21" s="359">
        <f>E21/'- 3 -'!$D21*100</f>
        <v>0.28071230399147379</v>
      </c>
      <c r="G21" s="358">
        <f>E21/'- 7 -'!$F21</f>
        <v>36.404663407295978</v>
      </c>
      <c r="H21" s="358">
        <v>578528</v>
      </c>
      <c r="I21" s="359">
        <f>H21/'- 3 -'!$D21*100</f>
        <v>1.6776852045824311</v>
      </c>
      <c r="J21" s="358">
        <f>H21/'- 7 -'!$F21</f>
        <v>217.57352388115834</v>
      </c>
    </row>
    <row r="22" spans="1:10" ht="14.1" customHeight="1">
      <c r="A22" s="23" t="s">
        <v>240</v>
      </c>
      <c r="B22" s="24">
        <v>21850</v>
      </c>
      <c r="C22" s="350">
        <f>B22/'- 3 -'!$D22*100</f>
        <v>0.11260826563223048</v>
      </c>
      <c r="D22" s="24">
        <f>B22/'- 7 -'!$C22</f>
        <v>13.997437540038437</v>
      </c>
      <c r="E22" s="24">
        <v>73160</v>
      </c>
      <c r="F22" s="350">
        <f>E22/'- 3 -'!$D22*100</f>
        <v>0.37704442625418677</v>
      </c>
      <c r="G22" s="24">
        <f>E22/'- 7 -'!$F22</f>
        <v>46.867392696989107</v>
      </c>
      <c r="H22" s="24">
        <v>190365</v>
      </c>
      <c r="I22" s="350">
        <f>H22/'- 3 -'!$D22*100</f>
        <v>0.98108340901965929</v>
      </c>
      <c r="J22" s="24">
        <f>H22/'- 7 -'!$F22</f>
        <v>121.95067264573991</v>
      </c>
    </row>
    <row r="23" spans="1:10" ht="14.1" customHeight="1">
      <c r="A23" s="357" t="s">
        <v>241</v>
      </c>
      <c r="B23" s="358">
        <v>0</v>
      </c>
      <c r="C23" s="359">
        <f>B23/'- 3 -'!$D23*100</f>
        <v>0</v>
      </c>
      <c r="D23" s="358">
        <f>B23/'- 7 -'!$C23</f>
        <v>0</v>
      </c>
      <c r="E23" s="358">
        <v>0</v>
      </c>
      <c r="F23" s="359">
        <f>E23/'- 3 -'!$D23*100</f>
        <v>0</v>
      </c>
      <c r="G23" s="358">
        <f>E23/'- 7 -'!$F23</f>
        <v>0</v>
      </c>
      <c r="H23" s="358">
        <v>186800</v>
      </c>
      <c r="I23" s="359">
        <f>H23/'- 3 -'!$D23*100</f>
        <v>1.146442713460514</v>
      </c>
      <c r="J23" s="358">
        <f>H23/'- 7 -'!$F23</f>
        <v>162.78867102396515</v>
      </c>
    </row>
    <row r="24" spans="1:10" ht="14.1" customHeight="1">
      <c r="A24" s="23" t="s">
        <v>242</v>
      </c>
      <c r="B24" s="24">
        <v>0</v>
      </c>
      <c r="C24" s="350">
        <f>B24/'- 3 -'!$D24*100</f>
        <v>0</v>
      </c>
      <c r="D24" s="24">
        <f>B24/'- 7 -'!$C24</f>
        <v>0</v>
      </c>
      <c r="E24" s="24">
        <v>107790</v>
      </c>
      <c r="F24" s="350">
        <f>E24/'- 3 -'!$D24*100</f>
        <v>0.19839802841061976</v>
      </c>
      <c r="G24" s="24">
        <f>E24/'- 7 -'!$F24</f>
        <v>26.621387997036305</v>
      </c>
      <c r="H24" s="24">
        <v>687230</v>
      </c>
      <c r="I24" s="350">
        <f>H24/'- 3 -'!$D24*100</f>
        <v>1.2649139722110605</v>
      </c>
      <c r="J24" s="24">
        <f>H24/'- 7 -'!$F24</f>
        <v>169.72832798221782</v>
      </c>
    </row>
    <row r="25" spans="1:10" ht="14.1" customHeight="1">
      <c r="A25" s="357" t="s">
        <v>243</v>
      </c>
      <c r="B25" s="358">
        <v>0</v>
      </c>
      <c r="C25" s="359">
        <f>B25/'- 3 -'!$D25*100</f>
        <v>0</v>
      </c>
      <c r="D25" s="358">
        <f>B25/'- 7 -'!$C25</f>
        <v>0</v>
      </c>
      <c r="E25" s="358">
        <v>1442167</v>
      </c>
      <c r="F25" s="359">
        <f>E25/'- 3 -'!$D25*100</f>
        <v>0.90699241558505717</v>
      </c>
      <c r="G25" s="358">
        <f>E25/'- 7 -'!$F25</f>
        <v>104.92302655511095</v>
      </c>
      <c r="H25" s="358">
        <v>3677840</v>
      </c>
      <c r="I25" s="359">
        <f>H25/'- 3 -'!$D25*100</f>
        <v>2.3130282316370758</v>
      </c>
      <c r="J25" s="358">
        <f>H25/'- 7 -'!$F25</f>
        <v>267.57657329938161</v>
      </c>
    </row>
    <row r="26" spans="1:10" ht="14.1" customHeight="1">
      <c r="A26" s="23" t="s">
        <v>244</v>
      </c>
      <c r="B26" s="24">
        <v>15898</v>
      </c>
      <c r="C26" s="350">
        <f>B26/'- 3 -'!$D26*100</f>
        <v>4.0849207173879284E-2</v>
      </c>
      <c r="D26" s="24">
        <f>B26/'- 7 -'!$C26</f>
        <v>5.1483160621761659</v>
      </c>
      <c r="E26" s="24">
        <v>187506</v>
      </c>
      <c r="F26" s="350">
        <f>E26/'- 3 -'!$D26*100</f>
        <v>0.48178836585390672</v>
      </c>
      <c r="G26" s="24">
        <f>E26/'- 7 -'!$F26</f>
        <v>60.720854922279791</v>
      </c>
      <c r="H26" s="24">
        <v>553386</v>
      </c>
      <c r="I26" s="350">
        <f>H26/'- 3 -'!$D26*100</f>
        <v>1.4219008278478023</v>
      </c>
      <c r="J26" s="24">
        <f>H26/'- 7 -'!$F26</f>
        <v>179.20531088082902</v>
      </c>
    </row>
    <row r="27" spans="1:10" ht="14.1" customHeight="1">
      <c r="A27" s="357" t="s">
        <v>245</v>
      </c>
      <c r="B27" s="358">
        <v>0</v>
      </c>
      <c r="C27" s="359">
        <f>B27/'- 3 -'!$D27*100</f>
        <v>0</v>
      </c>
      <c r="D27" s="358">
        <f>B27/'- 7 -'!$C27</f>
        <v>0</v>
      </c>
      <c r="E27" s="358">
        <v>704145</v>
      </c>
      <c r="F27" s="359">
        <f>E27/'- 3 -'!$D27*100</f>
        <v>1.8012832881958356</v>
      </c>
      <c r="G27" s="358">
        <f>E27/'- 7 -'!$F27</f>
        <v>243.64878892733563</v>
      </c>
      <c r="H27" s="358">
        <v>1206994</v>
      </c>
      <c r="I27" s="359">
        <f>H27/'- 3 -'!$D27*100</f>
        <v>3.087628430440668</v>
      </c>
      <c r="J27" s="358">
        <f>H27/'- 7 -'!$F27</f>
        <v>417.64498269896194</v>
      </c>
    </row>
    <row r="28" spans="1:10" ht="14.1" customHeight="1">
      <c r="A28" s="23" t="s">
        <v>246</v>
      </c>
      <c r="B28" s="24">
        <v>0</v>
      </c>
      <c r="C28" s="350">
        <f>B28/'- 3 -'!$D28*100</f>
        <v>0</v>
      </c>
      <c r="D28" s="24">
        <f>B28/'- 7 -'!$C28</f>
        <v>0</v>
      </c>
      <c r="E28" s="24">
        <v>108970</v>
      </c>
      <c r="F28" s="350">
        <f>E28/'- 3 -'!$D28*100</f>
        <v>0.39842940496029072</v>
      </c>
      <c r="G28" s="24">
        <f>E28/'- 7 -'!$F28</f>
        <v>54.965952080706181</v>
      </c>
      <c r="H28" s="24">
        <v>269278</v>
      </c>
      <c r="I28" s="350">
        <f>H28/'- 3 -'!$D28*100</f>
        <v>0.98456706716433118</v>
      </c>
      <c r="J28" s="24">
        <f>H28/'- 7 -'!$F28</f>
        <v>135.82749054224465</v>
      </c>
    </row>
    <row r="29" spans="1:10" ht="14.1" customHeight="1">
      <c r="A29" s="357" t="s">
        <v>247</v>
      </c>
      <c r="B29" s="358">
        <v>354159</v>
      </c>
      <c r="C29" s="359">
        <f>B29/'- 3 -'!$D29*100</f>
        <v>0.24079222115460006</v>
      </c>
      <c r="D29" s="358">
        <f>B29/'- 7 -'!$C29</f>
        <v>29.36520044774263</v>
      </c>
      <c r="E29" s="358">
        <v>561988</v>
      </c>
      <c r="F29" s="359">
        <f>E29/'- 3 -'!$D29*100</f>
        <v>0.38209487485065002</v>
      </c>
      <c r="G29" s="358">
        <f>E29/'- 7 -'!$F29</f>
        <v>46.597404751046803</v>
      </c>
      <c r="H29" s="358">
        <v>3269648</v>
      </c>
      <c r="I29" s="359">
        <f>H29/'- 3 -'!$D29*100</f>
        <v>2.2230292165770056</v>
      </c>
      <c r="J29" s="358">
        <f>H29/'- 7 -'!$F29</f>
        <v>271.10385141577876</v>
      </c>
    </row>
    <row r="30" spans="1:10" ht="14.1" customHeight="1">
      <c r="A30" s="23" t="s">
        <v>248</v>
      </c>
      <c r="B30" s="24">
        <v>0</v>
      </c>
      <c r="C30" s="350">
        <f>B30/'- 3 -'!$D30*100</f>
        <v>0</v>
      </c>
      <c r="D30" s="24">
        <f>B30/'- 7 -'!$C30</f>
        <v>0</v>
      </c>
      <c r="E30" s="24">
        <v>0</v>
      </c>
      <c r="F30" s="350">
        <f>E30/'- 3 -'!$D30*100</f>
        <v>0</v>
      </c>
      <c r="G30" s="24">
        <f>E30/'- 7 -'!$F30</f>
        <v>0</v>
      </c>
      <c r="H30" s="24">
        <v>389470</v>
      </c>
      <c r="I30" s="350">
        <f>H30/'- 3 -'!$D30*100</f>
        <v>2.9064046944849804</v>
      </c>
      <c r="J30" s="24">
        <f>H30/'- 7 -'!$F30</f>
        <v>379.78547050219407</v>
      </c>
    </row>
    <row r="31" spans="1:10" ht="14.1" customHeight="1">
      <c r="A31" s="357" t="s">
        <v>249</v>
      </c>
      <c r="B31" s="358">
        <v>0</v>
      </c>
      <c r="C31" s="359">
        <f>B31/'- 3 -'!$D31*100</f>
        <v>0</v>
      </c>
      <c r="D31" s="358">
        <f>B31/'- 7 -'!$C31</f>
        <v>0</v>
      </c>
      <c r="E31" s="358">
        <v>101234</v>
      </c>
      <c r="F31" s="359">
        <f>E31/'- 3 -'!$D31*100</f>
        <v>0.28944133539289929</v>
      </c>
      <c r="G31" s="358">
        <f>E31/'- 7 -'!$F31</f>
        <v>31.724851143842056</v>
      </c>
      <c r="H31" s="358">
        <v>474407</v>
      </c>
      <c r="I31" s="359">
        <f>H31/'- 3 -'!$D31*100</f>
        <v>1.3563920777578597</v>
      </c>
      <c r="J31" s="358">
        <f>H31/'- 7 -'!$F31</f>
        <v>148.6703227828267</v>
      </c>
    </row>
    <row r="32" spans="1:10" ht="14.1" customHeight="1">
      <c r="A32" s="23" t="s">
        <v>250</v>
      </c>
      <c r="B32" s="24">
        <v>0</v>
      </c>
      <c r="C32" s="350">
        <f>B32/'- 3 -'!$D32*100</f>
        <v>0</v>
      </c>
      <c r="D32" s="24">
        <f>B32/'- 7 -'!$C32</f>
        <v>0</v>
      </c>
      <c r="E32" s="24">
        <v>63575</v>
      </c>
      <c r="F32" s="350">
        <f>E32/'- 3 -'!$D32*100</f>
        <v>0.23884502622655515</v>
      </c>
      <c r="G32" s="24">
        <f>E32/'- 7 -'!$F32</f>
        <v>30.223437128595197</v>
      </c>
      <c r="H32" s="24">
        <v>299175</v>
      </c>
      <c r="I32" s="350">
        <f>H32/'- 3 -'!$D32*100</f>
        <v>1.1239710691518623</v>
      </c>
      <c r="J32" s="24">
        <f>H32/'- 7 -'!$F32</f>
        <v>142.22724031376276</v>
      </c>
    </row>
    <row r="33" spans="1:10" ht="14.1" customHeight="1">
      <c r="A33" s="357" t="s">
        <v>251</v>
      </c>
      <c r="B33" s="358">
        <v>0</v>
      </c>
      <c r="C33" s="359">
        <f>B33/'- 3 -'!$D33*100</f>
        <v>0</v>
      </c>
      <c r="D33" s="358">
        <f>B33/'- 7 -'!$C33</f>
        <v>0</v>
      </c>
      <c r="E33" s="358">
        <v>132500</v>
      </c>
      <c r="F33" s="359">
        <f>E33/'- 3 -'!$D33*100</f>
        <v>0.48891682746187887</v>
      </c>
      <c r="G33" s="358">
        <f>E33/'- 7 -'!$F33</f>
        <v>66.466014547278661</v>
      </c>
      <c r="H33" s="358">
        <v>373700</v>
      </c>
      <c r="I33" s="359">
        <f>H33/'- 3 -'!$D33*100</f>
        <v>1.3789299503585217</v>
      </c>
      <c r="J33" s="358">
        <f>H33/'- 7 -'!$F33</f>
        <v>187.4592425382493</v>
      </c>
    </row>
    <row r="34" spans="1:10" ht="14.1" customHeight="1">
      <c r="A34" s="23" t="s">
        <v>252</v>
      </c>
      <c r="B34" s="24">
        <v>6778</v>
      </c>
      <c r="C34" s="350">
        <f>B34/'- 3 -'!$D34*100</f>
        <v>2.5739498878767229E-2</v>
      </c>
      <c r="D34" s="24">
        <f>B34/'- 7 -'!$C34</f>
        <v>3.4137496852178293</v>
      </c>
      <c r="E34" s="24">
        <v>168780</v>
      </c>
      <c r="F34" s="350">
        <f>E34/'- 3 -'!$D34*100</f>
        <v>0.64094314263179886</v>
      </c>
      <c r="G34" s="24">
        <f>E34/'- 7 -'!$F34</f>
        <v>85.006295643414759</v>
      </c>
      <c r="H34" s="24">
        <v>224170</v>
      </c>
      <c r="I34" s="350">
        <f>H34/'- 3 -'!$D34*100</f>
        <v>0.85128702621027585</v>
      </c>
      <c r="J34" s="24">
        <f>H34/'- 7 -'!$F34</f>
        <v>112.90355074288593</v>
      </c>
    </row>
    <row r="35" spans="1:10" ht="14.1" customHeight="1">
      <c r="A35" s="357" t="s">
        <v>253</v>
      </c>
      <c r="B35" s="358">
        <v>369000</v>
      </c>
      <c r="C35" s="359">
        <f>B35/'- 3 -'!$D35*100</f>
        <v>0.21648108644641251</v>
      </c>
      <c r="D35" s="358">
        <f>B35/'- 7 -'!$C35</f>
        <v>23.811060205201006</v>
      </c>
      <c r="E35" s="358">
        <v>600294</v>
      </c>
      <c r="F35" s="359">
        <f>E35/'- 3 -'!$D35*100</f>
        <v>0.35217424744515652</v>
      </c>
      <c r="G35" s="358">
        <f>E35/'- 7 -'!$F35</f>
        <v>38.736142479189517</v>
      </c>
      <c r="H35" s="358">
        <v>3954440</v>
      </c>
      <c r="I35" s="359">
        <f>H35/'- 3 -'!$D35*100</f>
        <v>2.3199497763879444</v>
      </c>
      <c r="J35" s="358">
        <f>H35/'- 7 -'!$F35</f>
        <v>255.17454991288636</v>
      </c>
    </row>
    <row r="36" spans="1:10" ht="14.1" customHeight="1">
      <c r="A36" s="23" t="s">
        <v>254</v>
      </c>
      <c r="B36" s="24">
        <v>18630</v>
      </c>
      <c r="C36" s="350">
        <f>B36/'- 3 -'!$D36*100</f>
        <v>8.4218330257458104E-2</v>
      </c>
      <c r="D36" s="24">
        <f>B36/'- 7 -'!$C36</f>
        <v>11.301182893539581</v>
      </c>
      <c r="E36" s="24">
        <v>231080</v>
      </c>
      <c r="F36" s="350">
        <f>E36/'- 3 -'!$D36*100</f>
        <v>1.0446146943582082</v>
      </c>
      <c r="G36" s="24">
        <f>E36/'- 7 -'!$F36</f>
        <v>140.17591750075826</v>
      </c>
      <c r="H36" s="24">
        <v>273155</v>
      </c>
      <c r="I36" s="350">
        <f>H36/'- 3 -'!$D36*100</f>
        <v>1.234817928152226</v>
      </c>
      <c r="J36" s="24">
        <f>H36/'- 7 -'!$F36</f>
        <v>165.6991204124962</v>
      </c>
    </row>
    <row r="37" spans="1:10" ht="14.1" customHeight="1">
      <c r="A37" s="357" t="s">
        <v>255</v>
      </c>
      <c r="B37" s="358">
        <v>49789</v>
      </c>
      <c r="C37" s="359">
        <f>B37/'- 3 -'!$D37*100</f>
        <v>0.11137868282387207</v>
      </c>
      <c r="D37" s="358">
        <f>B37/'- 7 -'!$C37</f>
        <v>12.722371278906349</v>
      </c>
      <c r="E37" s="358">
        <v>444146</v>
      </c>
      <c r="F37" s="359">
        <f>E37/'- 3 -'!$D37*100</f>
        <v>0.99356075561853985</v>
      </c>
      <c r="G37" s="358">
        <f>E37/'- 7 -'!$F37</f>
        <v>113.49073719177207</v>
      </c>
      <c r="H37" s="358">
        <v>515761</v>
      </c>
      <c r="I37" s="359">
        <f>H37/'- 3 -'!$D37*100</f>
        <v>1.1537645028404482</v>
      </c>
      <c r="J37" s="358">
        <f>H37/'- 7 -'!$F37</f>
        <v>131.79021336399643</v>
      </c>
    </row>
    <row r="38" spans="1:10" ht="14.1" customHeight="1">
      <c r="A38" s="23" t="s">
        <v>256</v>
      </c>
      <c r="B38" s="24">
        <v>79330</v>
      </c>
      <c r="C38" s="350">
        <f>B38/'- 3 -'!$D38*100</f>
        <v>6.4883306763456994E-2</v>
      </c>
      <c r="D38" s="24">
        <f>B38/'- 7 -'!$C38</f>
        <v>7.3963917766071514</v>
      </c>
      <c r="E38" s="24">
        <v>235600</v>
      </c>
      <c r="F38" s="350">
        <f>E38/'- 3 -'!$D38*100</f>
        <v>0.1926951603866188</v>
      </c>
      <c r="G38" s="24">
        <f>E38/'- 7 -'!$F38</f>
        <v>21.966341895482728</v>
      </c>
      <c r="H38" s="24">
        <v>1640580</v>
      </c>
      <c r="I38" s="350">
        <f>H38/'- 3 -'!$D38*100</f>
        <v>1.3418159007940538</v>
      </c>
      <c r="J38" s="24">
        <f>H38/'- 7 -'!$F38</f>
        <v>152.96070113281431</v>
      </c>
    </row>
    <row r="39" spans="1:10" ht="14.1" customHeight="1">
      <c r="A39" s="357" t="s">
        <v>257</v>
      </c>
      <c r="B39" s="358">
        <v>0</v>
      </c>
      <c r="C39" s="359">
        <f>B39/'- 3 -'!$D39*100</f>
        <v>0</v>
      </c>
      <c r="D39" s="358">
        <f>B39/'- 7 -'!$C39</f>
        <v>0</v>
      </c>
      <c r="E39" s="358">
        <v>86300</v>
      </c>
      <c r="F39" s="359">
        <f>E39/'- 3 -'!$D39*100</f>
        <v>0.41374869163362754</v>
      </c>
      <c r="G39" s="358">
        <f>E39/'- 7 -'!$F39</f>
        <v>55.659464688810061</v>
      </c>
      <c r="H39" s="358">
        <v>267358</v>
      </c>
      <c r="I39" s="359">
        <f>H39/'- 3 -'!$D39*100</f>
        <v>1.2817963232651608</v>
      </c>
      <c r="J39" s="358">
        <f>H39/'- 7 -'!$F39</f>
        <v>172.43340857787811</v>
      </c>
    </row>
    <row r="40" spans="1:10" ht="14.1" customHeight="1">
      <c r="A40" s="23" t="s">
        <v>258</v>
      </c>
      <c r="B40" s="24">
        <v>0</v>
      </c>
      <c r="C40" s="350">
        <f>B40/'- 3 -'!$D40*100</f>
        <v>0</v>
      </c>
      <c r="D40" s="24">
        <f>B40/'- 7 -'!$C40</f>
        <v>0</v>
      </c>
      <c r="E40" s="24">
        <v>1186560</v>
      </c>
      <c r="F40" s="350">
        <f>E40/'- 3 -'!$D40*100</f>
        <v>1.1953282948470014</v>
      </c>
      <c r="G40" s="24">
        <f>E40/'- 7 -'!$F40</f>
        <v>149.42405700116737</v>
      </c>
      <c r="H40" s="24">
        <v>1367981</v>
      </c>
      <c r="I40" s="350">
        <f>H40/'- 3 -'!$D40*100</f>
        <v>1.3780899373930486</v>
      </c>
      <c r="J40" s="24">
        <f>H40/'- 7 -'!$F40</f>
        <v>172.2704885724396</v>
      </c>
    </row>
    <row r="41" spans="1:10" ht="14.1" customHeight="1">
      <c r="A41" s="357" t="s">
        <v>259</v>
      </c>
      <c r="B41" s="358">
        <v>41210</v>
      </c>
      <c r="C41" s="359">
        <f>B41/'- 3 -'!$D41*100</f>
        <v>6.9396201183578227E-2</v>
      </c>
      <c r="D41" s="358">
        <f>B41/'- 7 -'!$C41</f>
        <v>9.395804833561332</v>
      </c>
      <c r="E41" s="358">
        <v>335189</v>
      </c>
      <c r="F41" s="359">
        <f>E41/'- 3 -'!$D41*100</f>
        <v>0.56444657312599866</v>
      </c>
      <c r="G41" s="358">
        <f>E41/'- 7 -'!$F41</f>
        <v>76.422480620155042</v>
      </c>
      <c r="H41" s="358">
        <v>598589</v>
      </c>
      <c r="I41" s="359">
        <f>H41/'- 3 -'!$D41*100</f>
        <v>1.0080029767114027</v>
      </c>
      <c r="J41" s="358">
        <f>H41/'- 7 -'!$F41</f>
        <v>136.47720018239855</v>
      </c>
    </row>
    <row r="42" spans="1:10" ht="14.1" customHeight="1">
      <c r="A42" s="23" t="s">
        <v>260</v>
      </c>
      <c r="B42" s="24">
        <v>0</v>
      </c>
      <c r="C42" s="350">
        <f>B42/'- 3 -'!$D42*100</f>
        <v>0</v>
      </c>
      <c r="D42" s="24">
        <f>B42/'- 7 -'!$C42</f>
        <v>0</v>
      </c>
      <c r="E42" s="24">
        <v>0</v>
      </c>
      <c r="F42" s="350">
        <f>E42/'- 3 -'!$D42*100</f>
        <v>0</v>
      </c>
      <c r="G42" s="24">
        <f>E42/'- 7 -'!$F42</f>
        <v>0</v>
      </c>
      <c r="H42" s="24">
        <v>322544</v>
      </c>
      <c r="I42" s="350">
        <f>H42/'- 3 -'!$D42*100</f>
        <v>1.5840390717589186</v>
      </c>
      <c r="J42" s="24">
        <f>H42/'- 7 -'!$F42</f>
        <v>230.14199072422406</v>
      </c>
    </row>
    <row r="43" spans="1:10" ht="14.1" customHeight="1">
      <c r="A43" s="357" t="s">
        <v>261</v>
      </c>
      <c r="B43" s="358">
        <v>0</v>
      </c>
      <c r="C43" s="359">
        <f>B43/'- 3 -'!$D43*100</f>
        <v>0</v>
      </c>
      <c r="D43" s="358">
        <f>B43/'- 7 -'!$C43</f>
        <v>0</v>
      </c>
      <c r="E43" s="358">
        <v>44560</v>
      </c>
      <c r="F43" s="359">
        <f>E43/'- 3 -'!$D43*100</f>
        <v>0.35808867757513857</v>
      </c>
      <c r="G43" s="358">
        <f>E43/'- 7 -'!$F43</f>
        <v>46.416666666666664</v>
      </c>
      <c r="H43" s="358">
        <v>309770</v>
      </c>
      <c r="I43" s="359">
        <f>H43/'- 3 -'!$D43*100</f>
        <v>2.4893431250549969</v>
      </c>
      <c r="J43" s="358">
        <f>H43/'- 7 -'!$F43</f>
        <v>322.67708333333331</v>
      </c>
    </row>
    <row r="44" spans="1:10" ht="14.1" customHeight="1">
      <c r="A44" s="23" t="s">
        <v>262</v>
      </c>
      <c r="B44" s="24">
        <v>0</v>
      </c>
      <c r="C44" s="350">
        <f>B44/'- 3 -'!$D44*100</f>
        <v>0</v>
      </c>
      <c r="D44" s="24">
        <f>B44/'- 7 -'!$C44</f>
        <v>0</v>
      </c>
      <c r="E44" s="24">
        <v>0</v>
      </c>
      <c r="F44" s="350">
        <f>E44/'- 3 -'!$D44*100</f>
        <v>0</v>
      </c>
      <c r="G44" s="24">
        <f>E44/'- 7 -'!$F44</f>
        <v>0</v>
      </c>
      <c r="H44" s="24">
        <v>119425</v>
      </c>
      <c r="I44" s="350">
        <f>H44/'- 3 -'!$D44*100</f>
        <v>1.1094314165151582</v>
      </c>
      <c r="J44" s="24">
        <f>H44/'- 7 -'!$F44</f>
        <v>170.12108262108262</v>
      </c>
    </row>
    <row r="45" spans="1:10" ht="14.1" customHeight="1">
      <c r="A45" s="357" t="s">
        <v>263</v>
      </c>
      <c r="B45" s="358">
        <v>0</v>
      </c>
      <c r="C45" s="359">
        <f>B45/'- 3 -'!$D45*100</f>
        <v>0</v>
      </c>
      <c r="D45" s="358">
        <f>B45/'- 7 -'!$C45</f>
        <v>0</v>
      </c>
      <c r="E45" s="358">
        <v>5000</v>
      </c>
      <c r="F45" s="359">
        <f>E45/'- 3 -'!$D45*100</f>
        <v>2.8477829269490142E-2</v>
      </c>
      <c r="G45" s="358">
        <f>E45/'- 7 -'!$F45</f>
        <v>2.9744199881023201</v>
      </c>
      <c r="H45" s="358">
        <v>226318</v>
      </c>
      <c r="I45" s="359">
        <f>H45/'- 3 -'!$D45*100</f>
        <v>1.2890090729224939</v>
      </c>
      <c r="J45" s="358">
        <f>H45/'- 7 -'!$F45</f>
        <v>134.63295657346816</v>
      </c>
    </row>
    <row r="46" spans="1:10" ht="14.1" customHeight="1">
      <c r="A46" s="23" t="s">
        <v>264</v>
      </c>
      <c r="B46" s="24">
        <v>237200</v>
      </c>
      <c r="C46" s="350">
        <f>B46/'- 3 -'!$D46*100</f>
        <v>6.4157717629767241E-2</v>
      </c>
      <c r="D46" s="24">
        <f>B46/'- 7 -'!$C46</f>
        <v>7.8444341556981279</v>
      </c>
      <c r="E46" s="24">
        <v>822800</v>
      </c>
      <c r="F46" s="350">
        <f>E46/'- 3 -'!$D46*100</f>
        <v>0.22255046402096323</v>
      </c>
      <c r="G46" s="24">
        <f>E46/'- 7 -'!$F46</f>
        <v>27.210794364706661</v>
      </c>
      <c r="H46" s="24">
        <v>2388600</v>
      </c>
      <c r="I46" s="350">
        <f>H46/'- 3 -'!$D46*100</f>
        <v>0.64606713461408938</v>
      </c>
      <c r="J46" s="24">
        <f>H46/'- 7 -'!$F46</f>
        <v>78.993319663998946</v>
      </c>
    </row>
    <row r="47" spans="1:10" ht="5.0999999999999996" customHeight="1">
      <c r="A47"/>
      <c r="B47"/>
      <c r="C47"/>
      <c r="D47"/>
      <c r="E47"/>
      <c r="F47"/>
      <c r="G47"/>
      <c r="H47"/>
      <c r="I47"/>
      <c r="J47"/>
    </row>
    <row r="48" spans="1:10" ht="14.1" customHeight="1">
      <c r="A48" s="360" t="s">
        <v>265</v>
      </c>
      <c r="B48" s="361">
        <f>SUM(B11:B46)</f>
        <v>1379680</v>
      </c>
      <c r="C48" s="362">
        <f>B48/'- 3 -'!$D48*100</f>
        <v>6.4299683203074207E-2</v>
      </c>
      <c r="D48" s="361">
        <f>B48/'- 7 -'!$C48</f>
        <v>7.9816818411647157</v>
      </c>
      <c r="E48" s="361">
        <f>SUM(E11:E46)</f>
        <v>12866984</v>
      </c>
      <c r="F48" s="362">
        <f>E48/'- 3 -'!$D48*100</f>
        <v>0.59966296168606104</v>
      </c>
      <c r="G48" s="361">
        <f>E48/'- 7 -'!$F48</f>
        <v>74.43767579682023</v>
      </c>
      <c r="H48" s="361">
        <f>SUM(H11:H46)</f>
        <v>30489692</v>
      </c>
      <c r="I48" s="362">
        <f>H48/'- 3 -'!$D48*100</f>
        <v>1.420965395279562</v>
      </c>
      <c r="J48" s="361">
        <f>H48/'- 7 -'!$F48</f>
        <v>176.38801822096798</v>
      </c>
    </row>
    <row r="49" spans="1:10" ht="5.0999999999999996" customHeight="1">
      <c r="A49" s="25" t="s">
        <v>3</v>
      </c>
      <c r="B49" s="26"/>
      <c r="C49" s="349"/>
      <c r="D49" s="26"/>
      <c r="E49" s="26"/>
      <c r="F49" s="349"/>
      <c r="H49" s="26"/>
      <c r="I49" s="349"/>
      <c r="J49" s="26"/>
    </row>
    <row r="50" spans="1:10" ht="14.1" customHeight="1">
      <c r="A50" s="23" t="s">
        <v>266</v>
      </c>
      <c r="B50" s="24">
        <v>0</v>
      </c>
      <c r="C50" s="350">
        <f>B50/'- 3 -'!$D50*100</f>
        <v>0</v>
      </c>
      <c r="D50" s="24">
        <f>B50/'- 7 -'!$C50</f>
        <v>0</v>
      </c>
      <c r="E50" s="24">
        <v>0</v>
      </c>
      <c r="F50" s="350">
        <f>E50/'- 3 -'!$D50*100</f>
        <v>0</v>
      </c>
      <c r="G50" s="24">
        <f>E50/'- 7 -'!$F50</f>
        <v>0</v>
      </c>
      <c r="H50" s="24">
        <v>22700</v>
      </c>
      <c r="I50" s="350">
        <f>H50/'- 3 -'!$D50*100</f>
        <v>0.67489864627818674</v>
      </c>
      <c r="J50" s="24">
        <f>H50/'- 7 -'!$F50</f>
        <v>129.71428571428572</v>
      </c>
    </row>
    <row r="51" spans="1:10" ht="14.1" customHeight="1">
      <c r="A51" s="511" t="s">
        <v>691</v>
      </c>
      <c r="B51" s="358">
        <v>0</v>
      </c>
      <c r="C51" s="359">
        <f>B51/'- 3 -'!$D51*100</f>
        <v>0</v>
      </c>
      <c r="D51" s="358">
        <f>B51/'- 7 -'!$C51</f>
        <v>0</v>
      </c>
      <c r="E51" s="358">
        <v>319921</v>
      </c>
      <c r="F51" s="359">
        <f>E51/'- 3 -'!$D51*100</f>
        <v>1.4210941200060305</v>
      </c>
      <c r="G51" s="358">
        <f>E51/'- 7 -'!$F51</f>
        <v>515.17069243156197</v>
      </c>
      <c r="H51" s="358">
        <v>38300</v>
      </c>
      <c r="I51" s="359">
        <f>H51/'- 3 -'!$D51*100</f>
        <v>0.17012920313524579</v>
      </c>
      <c r="J51" s="358">
        <f>H51/'- 7 -'!$F51</f>
        <v>61.674718196457327</v>
      </c>
    </row>
    <row r="52" spans="1:10" ht="50.1" customHeight="1">
      <c r="A52" s="205"/>
      <c r="B52" s="205"/>
      <c r="C52" s="205"/>
      <c r="D52" s="205"/>
      <c r="E52" s="205"/>
      <c r="F52" s="205"/>
      <c r="G52" s="205"/>
      <c r="H52" s="205"/>
      <c r="I52" s="205"/>
      <c r="J52" s="205"/>
    </row>
    <row r="53" spans="1:10" ht="15" customHeight="1">
      <c r="A53" s="157"/>
      <c r="B53" s="205"/>
      <c r="C53" s="205"/>
      <c r="D53" s="205"/>
      <c r="E53" s="205"/>
      <c r="F53" s="205"/>
      <c r="G53" s="205"/>
      <c r="H53" s="205"/>
      <c r="I53" s="205"/>
      <c r="J53" s="205"/>
    </row>
    <row r="54" spans="1:10" ht="14.45" customHeight="1"/>
    <row r="55" spans="1:10" ht="14.45" customHeight="1"/>
    <row r="56" spans="1:10" ht="14.45" customHeight="1"/>
    <row r="57" spans="1:10" ht="14.45" customHeight="1"/>
    <row r="58" spans="1:10" ht="14.45" customHeight="1"/>
    <row r="59" spans="1:10"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25.xml><?xml version="1.0" encoding="utf-8"?>
<worksheet xmlns="http://schemas.openxmlformats.org/spreadsheetml/2006/main" xmlns:r="http://schemas.openxmlformats.org/officeDocument/2006/relationships">
  <sheetPr codeName="Sheet25">
    <pageSetUpPr fitToPage="1"/>
  </sheetPr>
  <dimension ref="A1:G59"/>
  <sheetViews>
    <sheetView showGridLines="0" showZeros="0" workbookViewId="0"/>
  </sheetViews>
  <sheetFormatPr defaultColWidth="15.83203125" defaultRowHeight="12"/>
  <cols>
    <col min="1" max="1" width="35.83203125" style="1" customWidth="1"/>
    <col min="2" max="2" width="15.6640625" style="1" customWidth="1"/>
    <col min="3" max="3" width="8.6640625" style="1" customWidth="1"/>
    <col min="4" max="4" width="11.6640625" style="1" customWidth="1"/>
    <col min="5" max="5" width="16.83203125" style="1" customWidth="1"/>
    <col min="6" max="6" width="8.33203125" style="1" customWidth="1"/>
    <col min="7" max="7" width="11.6640625" style="1" customWidth="1"/>
    <col min="8" max="16384" width="15.83203125" style="1"/>
  </cols>
  <sheetData>
    <row r="1" spans="1:7" ht="6.95" customHeight="1">
      <c r="A1" s="3"/>
      <c r="B1" s="40"/>
      <c r="C1" s="40"/>
      <c r="D1" s="40"/>
      <c r="E1" s="40"/>
      <c r="F1" s="40"/>
      <c r="G1" s="40"/>
    </row>
    <row r="2" spans="1:7" ht="15.95" customHeight="1">
      <c r="A2" s="159"/>
      <c r="B2" s="5" t="s">
        <v>474</v>
      </c>
      <c r="C2" s="195"/>
      <c r="D2" s="43"/>
      <c r="E2" s="43"/>
      <c r="F2" s="43"/>
      <c r="G2" s="182" t="s">
        <v>427</v>
      </c>
    </row>
    <row r="3" spans="1:7" ht="15.95" customHeight="1">
      <c r="A3" s="162"/>
      <c r="B3" s="232" t="str">
        <f>OPYEAR</f>
        <v>OPERATING FUND 2014/2015 BUDGET</v>
      </c>
      <c r="C3" s="47"/>
      <c r="D3" s="196"/>
      <c r="E3" s="47"/>
      <c r="F3" s="47"/>
      <c r="G3" s="49"/>
    </row>
    <row r="4" spans="1:7" ht="15.95" customHeight="1">
      <c r="B4" s="40"/>
      <c r="C4" s="40"/>
      <c r="D4" s="40"/>
      <c r="E4" s="40"/>
      <c r="F4" s="40"/>
      <c r="G4" s="40"/>
    </row>
    <row r="5" spans="1:7" ht="15.95" customHeight="1">
      <c r="B5" s="519" t="s">
        <v>463</v>
      </c>
      <c r="C5" s="197"/>
      <c r="D5" s="198"/>
      <c r="E5" s="198"/>
      <c r="F5" s="198"/>
      <c r="G5" s="199"/>
    </row>
    <row r="6" spans="1:7" ht="15.95" customHeight="1">
      <c r="B6" s="407" t="s">
        <v>16</v>
      </c>
      <c r="C6" s="492"/>
      <c r="D6" s="493"/>
      <c r="E6" s="494"/>
      <c r="F6" s="495"/>
      <c r="G6" s="496"/>
    </row>
    <row r="7" spans="1:7" ht="15.95" customHeight="1">
      <c r="B7" s="401" t="s">
        <v>42</v>
      </c>
      <c r="C7" s="402"/>
      <c r="D7" s="403"/>
      <c r="E7" s="401" t="s">
        <v>538</v>
      </c>
      <c r="F7" s="402"/>
      <c r="G7" s="403"/>
    </row>
    <row r="8" spans="1:7" ht="15.95" customHeight="1">
      <c r="A8" s="102"/>
      <c r="B8" s="200"/>
      <c r="C8" s="201"/>
      <c r="D8" s="202" t="s">
        <v>60</v>
      </c>
      <c r="E8" s="203"/>
      <c r="F8" s="201"/>
      <c r="G8" s="202" t="s">
        <v>60</v>
      </c>
    </row>
    <row r="9" spans="1:7" ht="15.95" customHeight="1">
      <c r="A9" s="35" t="s">
        <v>81</v>
      </c>
      <c r="B9" s="54" t="s">
        <v>82</v>
      </c>
      <c r="C9" s="54" t="s">
        <v>83</v>
      </c>
      <c r="D9" s="54" t="s">
        <v>84</v>
      </c>
      <c r="E9" s="204" t="s">
        <v>82</v>
      </c>
      <c r="F9" s="54" t="s">
        <v>83</v>
      </c>
      <c r="G9" s="54" t="s">
        <v>84</v>
      </c>
    </row>
    <row r="10" spans="1:7" ht="5.0999999999999996" customHeight="1">
      <c r="A10" s="37"/>
      <c r="B10" s="66"/>
      <c r="C10" s="66"/>
      <c r="D10" s="66"/>
      <c r="E10" s="66"/>
      <c r="F10" s="66"/>
      <c r="G10" s="66"/>
    </row>
    <row r="11" spans="1:7" ht="14.1" customHeight="1">
      <c r="A11" s="357" t="s">
        <v>230</v>
      </c>
      <c r="B11" s="358">
        <v>134260</v>
      </c>
      <c r="C11" s="359">
        <f>B11/'- 3 -'!$D11*100</f>
        <v>0.77292610156361807</v>
      </c>
      <c r="D11" s="358">
        <f>B11/'- 7 -'!$F11</f>
        <v>86.815389589395409</v>
      </c>
      <c r="E11" s="358">
        <v>7500</v>
      </c>
      <c r="F11" s="359">
        <f>E11/'- 3 -'!$D11*100</f>
        <v>4.3177012972792611E-2</v>
      </c>
      <c r="G11" s="358">
        <f>E11/'- 7 -'!$F11</f>
        <v>4.8496605237633368</v>
      </c>
    </row>
    <row r="12" spans="1:7" ht="14.1" customHeight="1">
      <c r="A12" s="23" t="s">
        <v>231</v>
      </c>
      <c r="B12" s="24">
        <v>379327</v>
      </c>
      <c r="C12" s="350">
        <f>B12/'- 3 -'!$D12*100</f>
        <v>1.205623277647546</v>
      </c>
      <c r="D12" s="24">
        <f>B12/'- 7 -'!$F12</f>
        <v>173.47165566063623</v>
      </c>
      <c r="E12" s="24">
        <v>146431</v>
      </c>
      <c r="F12" s="350">
        <f>E12/'- 3 -'!$D12*100</f>
        <v>0.46540484112443303</v>
      </c>
      <c r="G12" s="24">
        <f>E12/'- 7 -'!$F12</f>
        <v>66.964988018365744</v>
      </c>
    </row>
    <row r="13" spans="1:7" ht="14.1" customHeight="1">
      <c r="A13" s="357" t="s">
        <v>232</v>
      </c>
      <c r="B13" s="358">
        <v>985100</v>
      </c>
      <c r="C13" s="359">
        <f>B13/'- 3 -'!$D13*100</f>
        <v>1.1036434461997626</v>
      </c>
      <c r="D13" s="358">
        <f>B13/'- 7 -'!$F13</f>
        <v>121.30981598491725</v>
      </c>
      <c r="E13" s="358">
        <v>72400</v>
      </c>
      <c r="F13" s="359">
        <f>E13/'- 3 -'!$D13*100</f>
        <v>8.1112359663854244E-2</v>
      </c>
      <c r="G13" s="358">
        <f>E13/'- 7 -'!$F13</f>
        <v>8.9156742232341983</v>
      </c>
    </row>
    <row r="14" spans="1:7" ht="14.1" customHeight="1">
      <c r="A14" s="23" t="s">
        <v>566</v>
      </c>
      <c r="B14" s="24">
        <v>597976</v>
      </c>
      <c r="C14" s="350">
        <f>B14/'- 3 -'!$D14*100</f>
        <v>0.74835084636371241</v>
      </c>
      <c r="D14" s="24">
        <f>B14/'- 7 -'!$F14</f>
        <v>112.50724365004703</v>
      </c>
      <c r="E14" s="24">
        <v>14154</v>
      </c>
      <c r="F14" s="350">
        <f>E14/'- 3 -'!$D14*100</f>
        <v>1.7713349498026651E-2</v>
      </c>
      <c r="G14" s="24">
        <f>E14/'- 7 -'!$F14</f>
        <v>2.6630291627469425</v>
      </c>
    </row>
    <row r="15" spans="1:7" ht="14.1" customHeight="1">
      <c r="A15" s="357" t="s">
        <v>233</v>
      </c>
      <c r="B15" s="358">
        <v>322571</v>
      </c>
      <c r="C15" s="359">
        <f>B15/'- 3 -'!$D15*100</f>
        <v>1.6268785302428403</v>
      </c>
      <c r="D15" s="358">
        <f>B15/'- 7 -'!$F15</f>
        <v>222.07986230636834</v>
      </c>
      <c r="E15" s="358">
        <v>5700</v>
      </c>
      <c r="F15" s="359">
        <f>E15/'- 3 -'!$D15*100</f>
        <v>2.8747803188706327E-2</v>
      </c>
      <c r="G15" s="358">
        <f>E15/'- 7 -'!$F15</f>
        <v>3.9242685025817554</v>
      </c>
    </row>
    <row r="16" spans="1:7" ht="14.1" customHeight="1">
      <c r="A16" s="23" t="s">
        <v>234</v>
      </c>
      <c r="B16" s="24">
        <v>97613</v>
      </c>
      <c r="C16" s="350">
        <f>B16/'- 3 -'!$D16*100</f>
        <v>0.72404696658790235</v>
      </c>
      <c r="D16" s="24">
        <f>B16/'- 7 -'!$F16</f>
        <v>101.46881496881497</v>
      </c>
      <c r="E16" s="24">
        <v>52609</v>
      </c>
      <c r="F16" s="350">
        <f>E16/'- 3 -'!$D16*100</f>
        <v>0.39022862595374547</v>
      </c>
      <c r="G16" s="24">
        <f>E16/'- 7 -'!$F16</f>
        <v>54.687110187110186</v>
      </c>
    </row>
    <row r="17" spans="1:7" ht="14.1" customHeight="1">
      <c r="A17" s="357" t="s">
        <v>235</v>
      </c>
      <c r="B17" s="358">
        <v>154840</v>
      </c>
      <c r="C17" s="359">
        <f>B17/'- 3 -'!$D17*100</f>
        <v>0.90219136245578768</v>
      </c>
      <c r="D17" s="358">
        <f>B17/'- 7 -'!$F17</f>
        <v>115.76822429906542</v>
      </c>
      <c r="E17" s="358">
        <v>1500</v>
      </c>
      <c r="F17" s="359">
        <f>E17/'- 3 -'!$D17*100</f>
        <v>8.739905991240516E-3</v>
      </c>
      <c r="G17" s="358">
        <f>E17/'- 7 -'!$F17</f>
        <v>1.1214953271028036</v>
      </c>
    </row>
    <row r="18" spans="1:7" ht="14.1" customHeight="1">
      <c r="A18" s="23" t="s">
        <v>236</v>
      </c>
      <c r="B18" s="24">
        <v>866444</v>
      </c>
      <c r="C18" s="350">
        <f>B18/'- 3 -'!$D18*100</f>
        <v>0.70001335403179987</v>
      </c>
      <c r="D18" s="24">
        <f>B18/'- 7 -'!$F18</f>
        <v>140.4125950054289</v>
      </c>
      <c r="E18" s="24">
        <v>1622837</v>
      </c>
      <c r="F18" s="350">
        <f>E18/'- 3 -'!$D18*100</f>
        <v>1.3111148226739455</v>
      </c>
      <c r="G18" s="24">
        <f>E18/'- 7 -'!$F18</f>
        <v>262.99074659276909</v>
      </c>
    </row>
    <row r="19" spans="1:7" ht="14.1" customHeight="1">
      <c r="A19" s="357" t="s">
        <v>237</v>
      </c>
      <c r="B19" s="358">
        <v>254800</v>
      </c>
      <c r="C19" s="359">
        <f>B19/'- 3 -'!$D19*100</f>
        <v>0.58642495279601337</v>
      </c>
      <c r="D19" s="358">
        <f>B19/'- 7 -'!$F19</f>
        <v>62.458634636597623</v>
      </c>
      <c r="E19" s="358">
        <v>205150</v>
      </c>
      <c r="F19" s="359">
        <f>E19/'- 3 -'!$D19*100</f>
        <v>0.47215494138972586</v>
      </c>
      <c r="G19" s="358">
        <f>E19/'- 7 -'!$F19</f>
        <v>50.288025493320262</v>
      </c>
    </row>
    <row r="20" spans="1:7" ht="14.1" customHeight="1">
      <c r="A20" s="23" t="s">
        <v>238</v>
      </c>
      <c r="B20" s="24">
        <v>657300</v>
      </c>
      <c r="C20" s="350">
        <f>B20/'- 3 -'!$D20*100</f>
        <v>0.86795651898333026</v>
      </c>
      <c r="D20" s="24">
        <f>B20/'- 7 -'!$F20</f>
        <v>86.955946553776954</v>
      </c>
      <c r="E20" s="24">
        <v>438700</v>
      </c>
      <c r="F20" s="350">
        <f>E20/'- 3 -'!$D20*100</f>
        <v>0.57929792313705608</v>
      </c>
      <c r="G20" s="24">
        <f>E20/'- 7 -'!$F20</f>
        <v>58.03677735150152</v>
      </c>
    </row>
    <row r="21" spans="1:7" ht="14.1" customHeight="1">
      <c r="A21" s="357" t="s">
        <v>239</v>
      </c>
      <c r="B21" s="358">
        <v>832921</v>
      </c>
      <c r="C21" s="359">
        <f>B21/'- 3 -'!$D21*100</f>
        <v>2.4154046792653134</v>
      </c>
      <c r="D21" s="358">
        <f>B21/'- 7 -'!$F21</f>
        <v>313.24595712673937</v>
      </c>
      <c r="E21" s="358">
        <v>85251</v>
      </c>
      <c r="F21" s="359">
        <f>E21/'- 3 -'!$D21*100</f>
        <v>0.24722112218571413</v>
      </c>
      <c r="G21" s="358">
        <f>E21/'- 7 -'!$F21</f>
        <v>32.061301241068072</v>
      </c>
    </row>
    <row r="22" spans="1:7" ht="14.1" customHeight="1">
      <c r="A22" s="23" t="s">
        <v>240</v>
      </c>
      <c r="B22" s="24">
        <v>118500</v>
      </c>
      <c r="C22" s="350">
        <f>B22/'- 3 -'!$D22*100</f>
        <v>0.61071301956152446</v>
      </c>
      <c r="D22" s="24">
        <f>B22/'- 7 -'!$F22</f>
        <v>75.912876361306857</v>
      </c>
      <c r="E22" s="24">
        <v>26425</v>
      </c>
      <c r="F22" s="350">
        <f>E22/'- 3 -'!$D22*100</f>
        <v>0.13618642651403617</v>
      </c>
      <c r="G22" s="24">
        <f>E22/'- 7 -'!$F22</f>
        <v>16.928251121076233</v>
      </c>
    </row>
    <row r="23" spans="1:7" ht="14.1" customHeight="1">
      <c r="A23" s="357" t="s">
        <v>241</v>
      </c>
      <c r="B23" s="358">
        <v>194000</v>
      </c>
      <c r="C23" s="359">
        <f>B23/'- 3 -'!$D23*100</f>
        <v>1.1906310835724825</v>
      </c>
      <c r="D23" s="358">
        <f>B23/'- 7 -'!$F23</f>
        <v>169.0631808278867</v>
      </c>
      <c r="E23" s="358">
        <v>7000</v>
      </c>
      <c r="F23" s="359">
        <f>E23/'- 3 -'!$D23*100</f>
        <v>4.2960915386635969E-2</v>
      </c>
      <c r="G23" s="358">
        <f>E23/'- 7 -'!$F23</f>
        <v>6.1002178649237475</v>
      </c>
    </row>
    <row r="24" spans="1:7" ht="14.1" customHeight="1">
      <c r="A24" s="23" t="s">
        <v>242</v>
      </c>
      <c r="B24" s="24">
        <v>619005</v>
      </c>
      <c r="C24" s="350">
        <f>B24/'- 3 -'!$D24*100</f>
        <v>1.1393391926553083</v>
      </c>
      <c r="D24" s="24">
        <f>B24/'- 7 -'!$F24</f>
        <v>152.87848851568288</v>
      </c>
      <c r="E24" s="24">
        <v>104255</v>
      </c>
      <c r="F24" s="350">
        <f>E24/'- 3 -'!$D24*100</f>
        <v>0.19189151546478489</v>
      </c>
      <c r="G24" s="24">
        <f>E24/'- 7 -'!$F24</f>
        <v>25.748332921709064</v>
      </c>
    </row>
    <row r="25" spans="1:7" ht="14.1" customHeight="1">
      <c r="A25" s="357" t="s">
        <v>243</v>
      </c>
      <c r="B25" s="358">
        <v>1473048</v>
      </c>
      <c r="C25" s="359">
        <f>B25/'- 3 -'!$D25*100</f>
        <v>0.92641376747126891</v>
      </c>
      <c r="D25" s="358">
        <f>B25/'- 7 -'!$F25</f>
        <v>107.16973444889051</v>
      </c>
      <c r="E25" s="358">
        <v>193219</v>
      </c>
      <c r="F25" s="359">
        <f>E25/'- 3 -'!$D25*100</f>
        <v>0.12151724976852832</v>
      </c>
      <c r="G25" s="358">
        <f>E25/'- 7 -'!$F25</f>
        <v>14.05740269188796</v>
      </c>
    </row>
    <row r="26" spans="1:7" ht="14.1" customHeight="1">
      <c r="A26" s="23" t="s">
        <v>244</v>
      </c>
      <c r="B26" s="24">
        <v>272500</v>
      </c>
      <c r="C26" s="350">
        <f>B26/'- 3 -'!$D26*100</f>
        <v>0.70017668605372396</v>
      </c>
      <c r="D26" s="24">
        <f>B26/'- 7 -'!$F26</f>
        <v>88.244818652849744</v>
      </c>
      <c r="E26" s="24">
        <v>260478</v>
      </c>
      <c r="F26" s="350">
        <f>E26/'- 3 -'!$D26*100</f>
        <v>0.66928668928404378</v>
      </c>
      <c r="G26" s="24">
        <f>E26/'- 7 -'!$F26</f>
        <v>84.351683937823836</v>
      </c>
    </row>
    <row r="27" spans="1:7" ht="14.1" customHeight="1">
      <c r="A27" s="357" t="s">
        <v>245</v>
      </c>
      <c r="B27" s="358">
        <v>247508</v>
      </c>
      <c r="C27" s="359">
        <f>B27/'- 3 -'!$D27*100</f>
        <v>0.63315371705369616</v>
      </c>
      <c r="D27" s="358">
        <f>B27/'- 7 -'!$F27</f>
        <v>85.642906574394459</v>
      </c>
      <c r="E27" s="358">
        <v>4000</v>
      </c>
      <c r="F27" s="359">
        <f>E27/'- 3 -'!$D27*100</f>
        <v>1.0232456600250434E-2</v>
      </c>
      <c r="G27" s="358">
        <f>E27/'- 7 -'!$F27</f>
        <v>1.3840830449826989</v>
      </c>
    </row>
    <row r="28" spans="1:7" ht="14.1" customHeight="1">
      <c r="A28" s="23" t="s">
        <v>246</v>
      </c>
      <c r="B28" s="24">
        <v>332229</v>
      </c>
      <c r="C28" s="350">
        <f>B28/'- 3 -'!$D28*100</f>
        <v>1.214736191433903</v>
      </c>
      <c r="D28" s="24">
        <f>B28/'- 7 -'!$F28</f>
        <v>167.58083228247162</v>
      </c>
      <c r="E28" s="24">
        <v>0</v>
      </c>
      <c r="F28" s="350">
        <f>E28/'- 3 -'!$D28*100</f>
        <v>0</v>
      </c>
      <c r="G28" s="24">
        <f>E28/'- 7 -'!$F28</f>
        <v>0</v>
      </c>
    </row>
    <row r="29" spans="1:7" ht="14.1" customHeight="1">
      <c r="A29" s="357" t="s">
        <v>247</v>
      </c>
      <c r="B29" s="358">
        <v>1484032</v>
      </c>
      <c r="C29" s="359">
        <f>B29/'- 3 -'!$D29*100</f>
        <v>1.0089913331145146</v>
      </c>
      <c r="D29" s="358">
        <f>B29/'- 7 -'!$F29</f>
        <v>123.04896148584221</v>
      </c>
      <c r="E29" s="358">
        <v>411557</v>
      </c>
      <c r="F29" s="359">
        <f>E29/'- 3 -'!$D29*100</f>
        <v>0.27981704308438793</v>
      </c>
      <c r="G29" s="358">
        <f>E29/'- 7 -'!$F29</f>
        <v>34.124372953028484</v>
      </c>
    </row>
    <row r="30" spans="1:7" ht="14.1" customHeight="1">
      <c r="A30" s="23" t="s">
        <v>248</v>
      </c>
      <c r="B30" s="24">
        <v>110053</v>
      </c>
      <c r="C30" s="350">
        <f>B30/'- 3 -'!$D30*100</f>
        <v>0.82126622292385942</v>
      </c>
      <c r="D30" s="24">
        <f>B30/'- 7 -'!$F30</f>
        <v>107.31643100926378</v>
      </c>
      <c r="E30" s="24">
        <v>5140</v>
      </c>
      <c r="F30" s="350">
        <f>E30/'- 3 -'!$D30*100</f>
        <v>3.8357049656335011E-2</v>
      </c>
      <c r="G30" s="24">
        <f>E30/'- 7 -'!$F30</f>
        <v>5.0121891760117014</v>
      </c>
    </row>
    <row r="31" spans="1:7" ht="14.1" customHeight="1">
      <c r="A31" s="357" t="s">
        <v>249</v>
      </c>
      <c r="B31" s="358">
        <v>234887</v>
      </c>
      <c r="C31" s="359">
        <f>B31/'- 3 -'!$D31*100</f>
        <v>0.67157286036738584</v>
      </c>
      <c r="D31" s="358">
        <f>B31/'- 7 -'!$F31</f>
        <v>73.609213412723278</v>
      </c>
      <c r="E31" s="358">
        <v>441498</v>
      </c>
      <c r="F31" s="359">
        <f>E31/'- 3 -'!$D31*100</f>
        <v>1.262300913658398</v>
      </c>
      <c r="G31" s="358">
        <f>E31/'- 7 -'!$F31</f>
        <v>138.35725477906612</v>
      </c>
    </row>
    <row r="32" spans="1:7" ht="14.1" customHeight="1">
      <c r="A32" s="23" t="s">
        <v>250</v>
      </c>
      <c r="B32" s="24">
        <v>227670</v>
      </c>
      <c r="C32" s="350">
        <f>B32/'- 3 -'!$D32*100</f>
        <v>0.85533381236334738</v>
      </c>
      <c r="D32" s="24">
        <f>B32/'- 7 -'!$F32</f>
        <v>108.23389588780604</v>
      </c>
      <c r="E32" s="24">
        <v>2700</v>
      </c>
      <c r="F32" s="350">
        <f>E32/'- 3 -'!$D32*100</f>
        <v>1.0143634617565062E-2</v>
      </c>
      <c r="G32" s="24">
        <f>E32/'- 7 -'!$F32</f>
        <v>1.2835749940575232</v>
      </c>
    </row>
    <row r="33" spans="1:7" ht="14.1" customHeight="1">
      <c r="A33" s="357" t="s">
        <v>251</v>
      </c>
      <c r="B33" s="358">
        <v>286124</v>
      </c>
      <c r="C33" s="359">
        <f>B33/'- 3 -'!$D33*100</f>
        <v>1.0557799120053031</v>
      </c>
      <c r="D33" s="358">
        <f>B33/'- 7 -'!$F33</f>
        <v>143.52846751943818</v>
      </c>
      <c r="E33" s="358">
        <v>0</v>
      </c>
      <c r="F33" s="359">
        <f>E33/'- 3 -'!$D33*100</f>
        <v>0</v>
      </c>
      <c r="G33" s="358">
        <f>E33/'- 7 -'!$F33</f>
        <v>0</v>
      </c>
    </row>
    <row r="34" spans="1:7" ht="14.1" customHeight="1">
      <c r="A34" s="23" t="s">
        <v>252</v>
      </c>
      <c r="B34" s="24">
        <v>134524</v>
      </c>
      <c r="C34" s="350">
        <f>B34/'- 3 -'!$D34*100</f>
        <v>0.51085576086858697</v>
      </c>
      <c r="D34" s="24">
        <f>B34/'- 7 -'!$F34</f>
        <v>67.753210778141522</v>
      </c>
      <c r="E34" s="24">
        <v>15000</v>
      </c>
      <c r="F34" s="350">
        <f>E34/'- 3 -'!$D34*100</f>
        <v>5.6962597105563353E-2</v>
      </c>
      <c r="G34" s="24">
        <f>E34/'- 7 -'!$F34</f>
        <v>7.5547720977083861</v>
      </c>
    </row>
    <row r="35" spans="1:7" ht="14.1" customHeight="1">
      <c r="A35" s="357" t="s">
        <v>253</v>
      </c>
      <c r="B35" s="358">
        <v>1915452</v>
      </c>
      <c r="C35" s="359">
        <f>B35/'- 3 -'!$D35*100</f>
        <v>1.1237374796638313</v>
      </c>
      <c r="D35" s="358">
        <f>B35/'- 7 -'!$F35</f>
        <v>123.60147125250049</v>
      </c>
      <c r="E35" s="358">
        <v>412000</v>
      </c>
      <c r="F35" s="359">
        <f>E35/'- 3 -'!$D35*100</f>
        <v>0.24170787971794566</v>
      </c>
      <c r="G35" s="358">
        <f>E35/'- 7 -'!$F35</f>
        <v>26.585790798219008</v>
      </c>
    </row>
    <row r="36" spans="1:7" ht="14.1" customHeight="1">
      <c r="A36" s="23" t="s">
        <v>254</v>
      </c>
      <c r="B36" s="24">
        <v>198500</v>
      </c>
      <c r="C36" s="350">
        <f>B36/'- 3 -'!$D36*100</f>
        <v>0.8973343293669046</v>
      </c>
      <c r="D36" s="24">
        <f>B36/'- 7 -'!$F36</f>
        <v>120.41249620867455</v>
      </c>
      <c r="E36" s="24">
        <v>11900</v>
      </c>
      <c r="F36" s="350">
        <f>E36/'- 3 -'!$D36*100</f>
        <v>5.3794854002348437E-2</v>
      </c>
      <c r="G36" s="24">
        <f>E36/'- 7 -'!$F36</f>
        <v>7.2186836518046711</v>
      </c>
    </row>
    <row r="37" spans="1:7" ht="14.1" customHeight="1">
      <c r="A37" s="357" t="s">
        <v>255</v>
      </c>
      <c r="B37" s="358">
        <v>365210</v>
      </c>
      <c r="C37" s="359">
        <f>B37/'- 3 -'!$D37*100</f>
        <v>0.81697982996457685</v>
      </c>
      <c r="D37" s="358">
        <f>B37/'- 7 -'!$F37</f>
        <v>93.320557046122403</v>
      </c>
      <c r="E37" s="358">
        <v>25310</v>
      </c>
      <c r="F37" s="359">
        <f>E37/'- 3 -'!$D37*100</f>
        <v>5.6618820668665817E-2</v>
      </c>
      <c r="G37" s="358">
        <f>E37/'- 7 -'!$F37</f>
        <v>6.4673565861760576</v>
      </c>
    </row>
    <row r="38" spans="1:7" ht="14.1" customHeight="1">
      <c r="A38" s="23" t="s">
        <v>256</v>
      </c>
      <c r="B38" s="24">
        <v>1144240</v>
      </c>
      <c r="C38" s="350">
        <f>B38/'- 3 -'!$D38*100</f>
        <v>0.93586379592862767</v>
      </c>
      <c r="D38" s="24">
        <f>B38/'- 7 -'!$F38</f>
        <v>106.68407067269591</v>
      </c>
      <c r="E38" s="24">
        <v>1675820</v>
      </c>
      <c r="F38" s="350">
        <f>E38/'- 3 -'!$D38*100</f>
        <v>1.3706383857347346</v>
      </c>
      <c r="G38" s="24">
        <f>E38/'- 7 -'!$F38</f>
        <v>156.24632884247819</v>
      </c>
    </row>
    <row r="39" spans="1:7" ht="14.1" customHeight="1">
      <c r="A39" s="357" t="s">
        <v>257</v>
      </c>
      <c r="B39" s="358">
        <v>285700</v>
      </c>
      <c r="C39" s="359">
        <f>B39/'- 3 -'!$D39*100</f>
        <v>1.3697335017349639</v>
      </c>
      <c r="D39" s="358">
        <f>B39/'- 7 -'!$F39</f>
        <v>184.26314092228313</v>
      </c>
      <c r="E39" s="358">
        <v>13000</v>
      </c>
      <c r="F39" s="359">
        <f>E39/'- 3 -'!$D39*100</f>
        <v>6.2325990628472272E-2</v>
      </c>
      <c r="G39" s="358">
        <f>E39/'- 7 -'!$F39</f>
        <v>8.3843921315704613</v>
      </c>
    </row>
    <row r="40" spans="1:7" ht="14.1" customHeight="1">
      <c r="A40" s="23" t="s">
        <v>258</v>
      </c>
      <c r="B40" s="24">
        <v>771015</v>
      </c>
      <c r="C40" s="350">
        <f>B40/'- 3 -'!$D40*100</f>
        <v>0.77671255162103958</v>
      </c>
      <c r="D40" s="24">
        <f>B40/'- 7 -'!$F40</f>
        <v>97.09428036403979</v>
      </c>
      <c r="E40" s="24">
        <v>274927</v>
      </c>
      <c r="F40" s="350">
        <f>E40/'- 3 -'!$D40*100</f>
        <v>0.27695862166043145</v>
      </c>
      <c r="G40" s="24">
        <f>E40/'- 7 -'!$F40</f>
        <v>34.621685982301727</v>
      </c>
    </row>
    <row r="41" spans="1:7" ht="14.1" customHeight="1">
      <c r="A41" s="357" t="s">
        <v>259</v>
      </c>
      <c r="B41" s="358">
        <v>336150</v>
      </c>
      <c r="C41" s="359">
        <f>B41/'- 3 -'!$D41*100</f>
        <v>0.56606486357340013</v>
      </c>
      <c r="D41" s="358">
        <f>B41/'- 7 -'!$F41</f>
        <v>76.641586867305065</v>
      </c>
      <c r="E41" s="358">
        <v>22330</v>
      </c>
      <c r="F41" s="359">
        <f>E41/'- 3 -'!$D41*100</f>
        <v>3.7602940364700362E-2</v>
      </c>
      <c r="G41" s="358">
        <f>E41/'- 7 -'!$F41</f>
        <v>5.0911992704058369</v>
      </c>
    </row>
    <row r="42" spans="1:7" ht="14.1" customHeight="1">
      <c r="A42" s="23" t="s">
        <v>260</v>
      </c>
      <c r="B42" s="24">
        <v>117964</v>
      </c>
      <c r="C42" s="350">
        <f>B42/'- 3 -'!$D42*100</f>
        <v>0.5793305256367165</v>
      </c>
      <c r="D42" s="24">
        <f>B42/'- 7 -'!$F42</f>
        <v>84.169818052087052</v>
      </c>
      <c r="E42" s="24">
        <v>2500</v>
      </c>
      <c r="F42" s="350">
        <f>E42/'- 3 -'!$D42*100</f>
        <v>1.227769755257359E-2</v>
      </c>
      <c r="G42" s="24">
        <f>E42/'- 7 -'!$F42</f>
        <v>1.7838030681412771</v>
      </c>
    </row>
    <row r="43" spans="1:7" ht="14.1" customHeight="1">
      <c r="A43" s="357" t="s">
        <v>261</v>
      </c>
      <c r="B43" s="358">
        <v>156865</v>
      </c>
      <c r="C43" s="359">
        <f>B43/'- 3 -'!$D43*100</f>
        <v>1.2605830432635572</v>
      </c>
      <c r="D43" s="358">
        <f>B43/'- 7 -'!$F43</f>
        <v>163.40104166666666</v>
      </c>
      <c r="E43" s="358">
        <v>16936</v>
      </c>
      <c r="F43" s="359">
        <f>E43/'- 3 -'!$D43*100</f>
        <v>0.13609941300297457</v>
      </c>
      <c r="G43" s="358">
        <f>E43/'- 7 -'!$F43</f>
        <v>17.641666666666666</v>
      </c>
    </row>
    <row r="44" spans="1:7" ht="14.1" customHeight="1">
      <c r="A44" s="23" t="s">
        <v>262</v>
      </c>
      <c r="B44" s="24">
        <v>47315</v>
      </c>
      <c r="C44" s="350">
        <f>B44/'- 3 -'!$D44*100</f>
        <v>0.43954571883956212</v>
      </c>
      <c r="D44" s="24">
        <f>B44/'- 7 -'!$F44</f>
        <v>67.400284900284902</v>
      </c>
      <c r="E44" s="24">
        <v>0</v>
      </c>
      <c r="F44" s="350">
        <f>E44/'- 3 -'!$D44*100</f>
        <v>0</v>
      </c>
      <c r="G44" s="24">
        <f>E44/'- 7 -'!$F44</f>
        <v>0</v>
      </c>
    </row>
    <row r="45" spans="1:7" ht="14.1" customHeight="1">
      <c r="A45" s="357" t="s">
        <v>263</v>
      </c>
      <c r="B45" s="358">
        <v>115726</v>
      </c>
      <c r="C45" s="359">
        <f>B45/'- 3 -'!$D45*100</f>
        <v>0.6591250540082032</v>
      </c>
      <c r="D45" s="358">
        <f>B45/'- 7 -'!$F45</f>
        <v>68.843545508625823</v>
      </c>
      <c r="E45" s="358">
        <v>184210</v>
      </c>
      <c r="F45" s="359">
        <f>E45/'- 3 -'!$D45*100</f>
        <v>1.0491801859465557</v>
      </c>
      <c r="G45" s="358">
        <f>E45/'- 7 -'!$F45</f>
        <v>109.58358120166568</v>
      </c>
    </row>
    <row r="46" spans="1:7" ht="14.1" customHeight="1">
      <c r="A46" s="23" t="s">
        <v>264</v>
      </c>
      <c r="B46" s="24">
        <v>3154700</v>
      </c>
      <c r="C46" s="350">
        <f>B46/'- 3 -'!$D46*100</f>
        <v>0.8532814157109051</v>
      </c>
      <c r="D46" s="24">
        <f>B46/'- 7 -'!$F46</f>
        <v>104.32899001256696</v>
      </c>
      <c r="E46" s="24">
        <v>3018800</v>
      </c>
      <c r="F46" s="350">
        <f>E46/'- 3 -'!$D46*100</f>
        <v>0.81652326298794831</v>
      </c>
      <c r="G46" s="24">
        <f>E46/'- 7 -'!$F46</f>
        <v>99.834645148488661</v>
      </c>
    </row>
    <row r="47" spans="1:7" ht="5.0999999999999996" customHeight="1">
      <c r="A47"/>
      <c r="B47"/>
      <c r="C47"/>
      <c r="D47"/>
      <c r="E47"/>
      <c r="F47"/>
      <c r="G47"/>
    </row>
    <row r="48" spans="1:7" ht="14.1" customHeight="1">
      <c r="A48" s="360" t="s">
        <v>265</v>
      </c>
      <c r="B48" s="361">
        <f>SUM(B11:B46)</f>
        <v>19626069</v>
      </c>
      <c r="C48" s="362">
        <f>B48/'- 3 -'!$D48*100</f>
        <v>0.91466863274213983</v>
      </c>
      <c r="D48" s="361">
        <f>B48/'- 7 -'!$F48</f>
        <v>113.54012419600613</v>
      </c>
      <c r="E48" s="361">
        <f>SUM(E11:E46)</f>
        <v>9781237</v>
      </c>
      <c r="F48" s="362">
        <f>E48/'- 3 -'!$D48*100</f>
        <v>0.45585240087135276</v>
      </c>
      <c r="G48" s="361">
        <f>E48/'- 7 -'!$F48</f>
        <v>56.586108189600807</v>
      </c>
    </row>
    <row r="49" spans="1:7" ht="5.0999999999999996" customHeight="1">
      <c r="A49" s="25" t="s">
        <v>3</v>
      </c>
      <c r="B49" s="26"/>
      <c r="C49" s="349"/>
      <c r="D49" s="26"/>
      <c r="E49" s="26"/>
      <c r="F49" s="349"/>
    </row>
    <row r="50" spans="1:7" ht="14.1" customHeight="1">
      <c r="A50" s="23" t="s">
        <v>266</v>
      </c>
      <c r="B50" s="24">
        <v>48556</v>
      </c>
      <c r="C50" s="350">
        <f>B50/'- 3 -'!$D50*100</f>
        <v>1.4436290162415697</v>
      </c>
      <c r="D50" s="24">
        <f>B50/'- 7 -'!$F50</f>
        <v>277.46285714285716</v>
      </c>
      <c r="E50" s="24">
        <v>16000</v>
      </c>
      <c r="F50" s="350">
        <f>E50/'- 3 -'!$D50*100</f>
        <v>0.47569948636347958</v>
      </c>
      <c r="G50" s="24">
        <f>E50/'- 7 -'!$F50</f>
        <v>91.428571428571431</v>
      </c>
    </row>
    <row r="51" spans="1:7" ht="14.1" customHeight="1">
      <c r="A51" s="511" t="s">
        <v>691</v>
      </c>
      <c r="B51" s="358">
        <v>57892</v>
      </c>
      <c r="C51" s="359">
        <f>B51/'- 3 -'!$D51*100</f>
        <v>0.2571571756633329</v>
      </c>
      <c r="D51" s="358">
        <f>B51/'- 7 -'!$F51</f>
        <v>93.223832528180353</v>
      </c>
      <c r="E51" s="358">
        <v>53500</v>
      </c>
      <c r="F51" s="359">
        <f>E51/'- 3 -'!$D51*100</f>
        <v>0.23764784249962531</v>
      </c>
      <c r="G51" s="358">
        <f>E51/'- 7 -'!$F51</f>
        <v>86.151368760064415</v>
      </c>
    </row>
    <row r="52" spans="1:7" ht="50.1" customHeight="1">
      <c r="A52" s="27"/>
      <c r="B52" s="71"/>
      <c r="C52" s="71"/>
      <c r="D52" s="71"/>
      <c r="E52" s="71"/>
      <c r="F52" s="71"/>
      <c r="G52" s="71"/>
    </row>
    <row r="53" spans="1:7" ht="15" customHeight="1">
      <c r="A53" s="158" t="s">
        <v>609</v>
      </c>
      <c r="C53" s="66"/>
      <c r="D53" s="66"/>
      <c r="E53" s="66"/>
      <c r="F53" s="66"/>
      <c r="G53" s="66"/>
    </row>
    <row r="54" spans="1:7">
      <c r="A54" s="1" t="s">
        <v>610</v>
      </c>
    </row>
    <row r="56" spans="1:7" ht="14.45" customHeight="1"/>
    <row r="57" spans="1:7" ht="14.45" customHeight="1"/>
    <row r="58" spans="1:7" ht="14.45" customHeight="1"/>
    <row r="59" spans="1:7" ht="14.45" customHeight="1"/>
  </sheetData>
  <phoneticPr fontId="0" type="noConversion"/>
  <printOptions horizontalCentered="1"/>
  <pageMargins left="0.51181102362204722" right="0.51181102362204722" top="0.59055118110236227" bottom="0" header="0.31496062992125984" footer="0"/>
  <pageSetup scale="91" orientation="portrait" r:id="rId1"/>
  <headerFooter alignWithMargins="0">
    <oddHeader>&amp;C&amp;"Arial,Bold"&amp;10&amp;A</oddHeader>
  </headerFooter>
</worksheet>
</file>

<file path=xl/worksheets/sheet26.xml><?xml version="1.0" encoding="utf-8"?>
<worksheet xmlns="http://schemas.openxmlformats.org/spreadsheetml/2006/main" xmlns:r="http://schemas.openxmlformats.org/officeDocument/2006/relationships">
  <sheetPr codeName="Sheet27">
    <pageSetUpPr fitToPage="1"/>
  </sheetPr>
  <dimension ref="A1:G66"/>
  <sheetViews>
    <sheetView showGridLines="0" showZeros="0" workbookViewId="0"/>
  </sheetViews>
  <sheetFormatPr defaultColWidth="15.83203125" defaultRowHeight="12"/>
  <cols>
    <col min="1" max="1" width="33.83203125" style="1" customWidth="1"/>
    <col min="2" max="2" width="16.83203125" style="1" customWidth="1"/>
    <col min="3" max="3" width="12.83203125" style="1" customWidth="1"/>
    <col min="4" max="4" width="16.83203125" style="1" customWidth="1"/>
    <col min="5" max="5" width="12.5" style="1" customWidth="1"/>
    <col min="6" max="6" width="17.83203125" style="1" customWidth="1"/>
    <col min="7" max="7" width="13.5" style="1" customWidth="1"/>
    <col min="8" max="16384" width="15.83203125" style="1"/>
  </cols>
  <sheetData>
    <row r="1" spans="1:7" ht="6.95" customHeight="1">
      <c r="A1" s="3"/>
      <c r="B1" s="4"/>
      <c r="C1" s="4"/>
      <c r="D1" s="4"/>
      <c r="E1" s="4"/>
      <c r="F1" s="4"/>
      <c r="G1" s="4"/>
    </row>
    <row r="2" spans="1:7" ht="15.95" customHeight="1">
      <c r="A2" s="159"/>
      <c r="B2" s="5" t="s">
        <v>474</v>
      </c>
      <c r="C2" s="6"/>
      <c r="D2" s="6"/>
      <c r="E2" s="6"/>
      <c r="F2" s="106"/>
      <c r="G2" s="182" t="s">
        <v>426</v>
      </c>
    </row>
    <row r="3" spans="1:7" ht="15.95" customHeight="1">
      <c r="A3" s="162"/>
      <c r="B3" s="7" t="str">
        <f>OPYEAR</f>
        <v>OPERATING FUND 2014/2015 BUDGET</v>
      </c>
      <c r="C3" s="8"/>
      <c r="D3" s="8"/>
      <c r="E3" s="8"/>
      <c r="F3" s="108"/>
      <c r="G3" s="101"/>
    </row>
    <row r="4" spans="1:7" ht="15.95" customHeight="1">
      <c r="B4" s="4"/>
      <c r="C4" s="4"/>
      <c r="D4" s="4"/>
      <c r="E4" s="4"/>
      <c r="F4" s="4"/>
      <c r="G4" s="4"/>
    </row>
    <row r="5" spans="1:7" ht="15.95" customHeight="1">
      <c r="B5" s="4"/>
      <c r="C5" s="4"/>
      <c r="D5" s="4"/>
      <c r="E5" s="4"/>
      <c r="F5" s="4"/>
      <c r="G5" s="4"/>
    </row>
    <row r="6" spans="1:7" ht="15.95" customHeight="1">
      <c r="B6" s="183" t="s">
        <v>19</v>
      </c>
      <c r="C6" s="184"/>
      <c r="D6" s="185"/>
      <c r="E6" s="185"/>
      <c r="F6" s="185"/>
      <c r="G6" s="186"/>
    </row>
    <row r="7" spans="1:7" ht="15.95" customHeight="1">
      <c r="B7" s="363"/>
      <c r="C7" s="353"/>
      <c r="D7" s="351"/>
      <c r="E7" s="353"/>
      <c r="F7" s="351" t="s">
        <v>45</v>
      </c>
      <c r="G7" s="353"/>
    </row>
    <row r="8" spans="1:7" ht="15.95" customHeight="1">
      <c r="A8" s="102"/>
      <c r="B8" s="355" t="s">
        <v>30</v>
      </c>
      <c r="C8" s="356"/>
      <c r="D8" s="354" t="s">
        <v>62</v>
      </c>
      <c r="E8" s="356"/>
      <c r="F8" s="354" t="s">
        <v>63</v>
      </c>
      <c r="G8" s="356"/>
    </row>
    <row r="9" spans="1:7" ht="15.95" customHeight="1">
      <c r="A9" s="35" t="s">
        <v>81</v>
      </c>
      <c r="B9" s="187" t="s">
        <v>82</v>
      </c>
      <c r="C9" s="187" t="s">
        <v>83</v>
      </c>
      <c r="D9" s="187" t="s">
        <v>82</v>
      </c>
      <c r="E9" s="187" t="s">
        <v>83</v>
      </c>
      <c r="F9" s="187" t="s">
        <v>82</v>
      </c>
      <c r="G9" s="187" t="s">
        <v>83</v>
      </c>
    </row>
    <row r="10" spans="1:7" ht="5.0999999999999996" customHeight="1">
      <c r="A10" s="37"/>
    </row>
    <row r="11" spans="1:7" ht="14.1" customHeight="1">
      <c r="A11" s="357" t="s">
        <v>230</v>
      </c>
      <c r="B11" s="358">
        <v>61450</v>
      </c>
      <c r="C11" s="359">
        <f>B11/'- 3 -'!$D11*100</f>
        <v>0.35376365962374745</v>
      </c>
      <c r="D11" s="358">
        <v>1032000</v>
      </c>
      <c r="E11" s="359">
        <f>D11/'- 3 -'!$D11*100</f>
        <v>5.9411569850562636</v>
      </c>
      <c r="F11" s="358">
        <v>7000</v>
      </c>
      <c r="G11" s="359">
        <f>F11/'- 3 -'!$D11*100</f>
        <v>4.0298545441273106E-2</v>
      </c>
    </row>
    <row r="12" spans="1:7" ht="14.1" customHeight="1">
      <c r="A12" s="23" t="s">
        <v>231</v>
      </c>
      <c r="B12" s="24">
        <v>83863</v>
      </c>
      <c r="C12" s="350">
        <f>B12/'- 3 -'!$D12*100</f>
        <v>0.26654360204614003</v>
      </c>
      <c r="D12" s="24">
        <v>2167861</v>
      </c>
      <c r="E12" s="350">
        <f>D12/'- 3 -'!$D12*100</f>
        <v>6.8901598997811568</v>
      </c>
      <c r="F12" s="24">
        <v>0</v>
      </c>
      <c r="G12" s="350">
        <f>F12/'- 3 -'!$D12*100</f>
        <v>0</v>
      </c>
    </row>
    <row r="13" spans="1:7" ht="14.1" customHeight="1">
      <c r="A13" s="357" t="s">
        <v>232</v>
      </c>
      <c r="B13" s="358">
        <v>190400</v>
      </c>
      <c r="C13" s="359">
        <f>B13/'- 3 -'!$D13*100</f>
        <v>0.2133120618784233</v>
      </c>
      <c r="D13" s="358">
        <v>1892500</v>
      </c>
      <c r="E13" s="359">
        <f>D13/'- 3 -'!$D13*100</f>
        <v>2.1202367495006103</v>
      </c>
      <c r="F13" s="358">
        <v>0</v>
      </c>
      <c r="G13" s="359">
        <f>F13/'- 3 -'!$D13*100</f>
        <v>0</v>
      </c>
    </row>
    <row r="14" spans="1:7" ht="14.1" customHeight="1">
      <c r="A14" s="23" t="s">
        <v>566</v>
      </c>
      <c r="B14" s="24">
        <v>231566</v>
      </c>
      <c r="C14" s="350">
        <f>B14/'- 3 -'!$D14*100</f>
        <v>0.28979860745090008</v>
      </c>
      <c r="D14" s="24">
        <v>7795405</v>
      </c>
      <c r="E14" s="350">
        <f>D14/'- 3 -'!$D14*100</f>
        <v>9.7557392428758263</v>
      </c>
      <c r="F14" s="24">
        <v>244535</v>
      </c>
      <c r="G14" s="350">
        <f>F14/'- 3 -'!$D14*100</f>
        <v>0.30602896138900293</v>
      </c>
    </row>
    <row r="15" spans="1:7" ht="14.1" customHeight="1">
      <c r="A15" s="357" t="s">
        <v>233</v>
      </c>
      <c r="B15" s="358">
        <v>63250</v>
      </c>
      <c r="C15" s="359">
        <f>B15/'- 3 -'!$D15*100</f>
        <v>0.3189997459097676</v>
      </c>
      <c r="D15" s="358">
        <v>1242450</v>
      </c>
      <c r="E15" s="359">
        <f>D15/'- 3 -'!$D15*100</f>
        <v>6.2662645740014344</v>
      </c>
      <c r="F15" s="358">
        <v>9000</v>
      </c>
      <c r="G15" s="359">
        <f>F15/'- 3 -'!$D15*100</f>
        <v>4.5391268192694206E-2</v>
      </c>
    </row>
    <row r="16" spans="1:7" ht="14.1" customHeight="1">
      <c r="A16" s="23" t="s">
        <v>234</v>
      </c>
      <c r="B16" s="24">
        <v>0</v>
      </c>
      <c r="C16" s="350">
        <f>B16/'- 3 -'!$D16*100</f>
        <v>0</v>
      </c>
      <c r="D16" s="24">
        <v>296394</v>
      </c>
      <c r="E16" s="350">
        <f>D16/'- 3 -'!$D16*100</f>
        <v>2.198510204735586</v>
      </c>
      <c r="F16" s="24">
        <v>0</v>
      </c>
      <c r="G16" s="350">
        <f>F16/'- 3 -'!$D16*100</f>
        <v>0</v>
      </c>
    </row>
    <row r="17" spans="1:7" ht="14.1" customHeight="1">
      <c r="A17" s="357" t="s">
        <v>235</v>
      </c>
      <c r="B17" s="358">
        <v>42693</v>
      </c>
      <c r="C17" s="359">
        <f>B17/'- 3 -'!$D17*100</f>
        <v>0.24875520432268758</v>
      </c>
      <c r="D17" s="358">
        <v>1301450</v>
      </c>
      <c r="E17" s="359">
        <f>D17/'- 3 -'!$D17*100</f>
        <v>7.5830337681999804</v>
      </c>
      <c r="F17" s="358">
        <v>16500</v>
      </c>
      <c r="G17" s="359">
        <f>F17/'- 3 -'!$D17*100</f>
        <v>9.6138965903645679E-2</v>
      </c>
    </row>
    <row r="18" spans="1:7" ht="14.1" customHeight="1">
      <c r="A18" s="23" t="s">
        <v>236</v>
      </c>
      <c r="B18" s="24">
        <v>327535</v>
      </c>
      <c r="C18" s="350">
        <f>B18/'- 3 -'!$D18*100</f>
        <v>0.26462053394426593</v>
      </c>
      <c r="D18" s="24">
        <v>6714600</v>
      </c>
      <c r="E18" s="350">
        <f>D18/'- 3 -'!$D18*100</f>
        <v>5.4248279946331479</v>
      </c>
      <c r="F18" s="24">
        <v>111429</v>
      </c>
      <c r="G18" s="350">
        <f>F18/'- 3 -'!$D18*100</f>
        <v>9.0025192656893488E-2</v>
      </c>
    </row>
    <row r="19" spans="1:7" ht="14.1" customHeight="1">
      <c r="A19" s="357" t="s">
        <v>237</v>
      </c>
      <c r="B19" s="358">
        <v>167400</v>
      </c>
      <c r="C19" s="359">
        <f>B19/'- 3 -'!$D19*100</f>
        <v>0.38527290854808727</v>
      </c>
      <c r="D19" s="358">
        <v>2424000</v>
      </c>
      <c r="E19" s="359">
        <f>D19/'- 3 -'!$D19*100</f>
        <v>5.5788621882948846</v>
      </c>
      <c r="F19" s="358">
        <v>30000</v>
      </c>
      <c r="G19" s="359">
        <f>F19/'- 3 -'!$D19*100</f>
        <v>6.9045324112560452E-2</v>
      </c>
    </row>
    <row r="20" spans="1:7" ht="14.1" customHeight="1">
      <c r="A20" s="23" t="s">
        <v>238</v>
      </c>
      <c r="B20" s="24">
        <v>240600</v>
      </c>
      <c r="C20" s="350">
        <f>B20/'- 3 -'!$D20*100</f>
        <v>0.31770932369905558</v>
      </c>
      <c r="D20" s="24">
        <v>3429600</v>
      </c>
      <c r="E20" s="350">
        <f>D20/'- 3 -'!$D20*100</f>
        <v>4.5287443747226979</v>
      </c>
      <c r="F20" s="24">
        <v>3000</v>
      </c>
      <c r="G20" s="350">
        <f>F20/'- 3 -'!$D20*100</f>
        <v>3.9614628890156552E-3</v>
      </c>
    </row>
    <row r="21" spans="1:7" ht="14.1" customHeight="1">
      <c r="A21" s="357" t="s">
        <v>239</v>
      </c>
      <c r="B21" s="358">
        <v>158000</v>
      </c>
      <c r="C21" s="359">
        <f>B21/'- 3 -'!$D21*100</f>
        <v>0.45818743833319064</v>
      </c>
      <c r="D21" s="358">
        <v>1781000</v>
      </c>
      <c r="E21" s="359">
        <f>D21/'- 3 -'!$D21*100</f>
        <v>5.1647584029836242</v>
      </c>
      <c r="F21" s="358">
        <v>6000</v>
      </c>
      <c r="G21" s="359">
        <f>F21/'- 3 -'!$D21*100</f>
        <v>1.7399522974678127E-2</v>
      </c>
    </row>
    <row r="22" spans="1:7" ht="14.1" customHeight="1">
      <c r="A22" s="23" t="s">
        <v>240</v>
      </c>
      <c r="B22" s="24">
        <v>60440</v>
      </c>
      <c r="C22" s="350">
        <f>B22/'- 3 -'!$D22*100</f>
        <v>0.31148940845821554</v>
      </c>
      <c r="D22" s="24">
        <v>462675</v>
      </c>
      <c r="E22" s="350">
        <f>D22/'- 3 -'!$D22*100</f>
        <v>2.3844864668829397</v>
      </c>
      <c r="F22" s="24">
        <v>8750</v>
      </c>
      <c r="G22" s="350">
        <f>F22/'- 3 -'!$D22*100</f>
        <v>4.5094843216568273E-2</v>
      </c>
    </row>
    <row r="23" spans="1:7" ht="14.1" customHeight="1">
      <c r="A23" s="357" t="s">
        <v>241</v>
      </c>
      <c r="B23" s="358">
        <v>67700</v>
      </c>
      <c r="C23" s="359">
        <f>B23/'- 3 -'!$D23*100</f>
        <v>0.4154934245250364</v>
      </c>
      <c r="D23" s="358">
        <v>1528390</v>
      </c>
      <c r="E23" s="359">
        <f>D23/'- 3 -'!$D23*100</f>
        <v>9.3801476382543623</v>
      </c>
      <c r="F23" s="358">
        <v>4500</v>
      </c>
      <c r="G23" s="359">
        <f>F23/'- 3 -'!$D23*100</f>
        <v>2.7617731319980264E-2</v>
      </c>
    </row>
    <row r="24" spans="1:7" ht="14.1" customHeight="1">
      <c r="A24" s="23" t="s">
        <v>242</v>
      </c>
      <c r="B24" s="24">
        <v>170275</v>
      </c>
      <c r="C24" s="350">
        <f>B24/'- 3 -'!$D24*100</f>
        <v>0.3134077770444223</v>
      </c>
      <c r="D24" s="24">
        <v>2301215</v>
      </c>
      <c r="E24" s="350">
        <f>D24/'- 3 -'!$D24*100</f>
        <v>4.2356110858979896</v>
      </c>
      <c r="F24" s="24">
        <v>5000</v>
      </c>
      <c r="G24" s="350">
        <f>F24/'- 3 -'!$D24*100</f>
        <v>9.2029886079701157E-3</v>
      </c>
    </row>
    <row r="25" spans="1:7" ht="14.1" customHeight="1">
      <c r="A25" s="357" t="s">
        <v>243</v>
      </c>
      <c r="B25" s="358">
        <v>249679</v>
      </c>
      <c r="C25" s="359">
        <f>B25/'- 3 -'!$D25*100</f>
        <v>0.15702547578114151</v>
      </c>
      <c r="D25" s="358">
        <v>3415829</v>
      </c>
      <c r="E25" s="359">
        <f>D25/'- 3 -'!$D25*100</f>
        <v>2.1482470448536755</v>
      </c>
      <c r="F25" s="358">
        <v>10000</v>
      </c>
      <c r="G25" s="359">
        <f>F25/'- 3 -'!$D25*100</f>
        <v>6.2890942282347135E-3</v>
      </c>
    </row>
    <row r="26" spans="1:7" ht="14.1" customHeight="1">
      <c r="A26" s="23" t="s">
        <v>244</v>
      </c>
      <c r="B26" s="24">
        <v>171237</v>
      </c>
      <c r="C26" s="350">
        <f>B26/'- 3 -'!$D26*100</f>
        <v>0.43998589060470294</v>
      </c>
      <c r="D26" s="24">
        <v>2668206</v>
      </c>
      <c r="E26" s="350">
        <f>D26/'- 3 -'!$D26*100</f>
        <v>6.8558371918850014</v>
      </c>
      <c r="F26" s="24">
        <v>7500</v>
      </c>
      <c r="G26" s="350">
        <f>F26/'- 3 -'!$D26*100</f>
        <v>1.9270917964781396E-2</v>
      </c>
    </row>
    <row r="27" spans="1:7" ht="14.1" customHeight="1">
      <c r="A27" s="357" t="s">
        <v>245</v>
      </c>
      <c r="B27" s="358">
        <v>0</v>
      </c>
      <c r="C27" s="359">
        <f>B27/'- 3 -'!$D27*100</f>
        <v>0</v>
      </c>
      <c r="D27" s="358">
        <v>0</v>
      </c>
      <c r="E27" s="359">
        <f>D27/'- 3 -'!$D27*100</f>
        <v>0</v>
      </c>
      <c r="F27" s="358">
        <v>250000</v>
      </c>
      <c r="G27" s="359">
        <f>F27/'- 3 -'!$D27*100</f>
        <v>0.63952853751565208</v>
      </c>
    </row>
    <row r="28" spans="1:7" ht="14.1" customHeight="1">
      <c r="A28" s="23" t="s">
        <v>246</v>
      </c>
      <c r="B28" s="24">
        <v>67751</v>
      </c>
      <c r="C28" s="350">
        <f>B28/'- 3 -'!$D28*100</f>
        <v>0.24771946972069978</v>
      </c>
      <c r="D28" s="24">
        <v>1966711</v>
      </c>
      <c r="E28" s="350">
        <f>D28/'- 3 -'!$D28*100</f>
        <v>7.1909286359443731</v>
      </c>
      <c r="F28" s="24">
        <v>13650</v>
      </c>
      <c r="G28" s="350">
        <f>F28/'- 3 -'!$D28*100</f>
        <v>4.9908794876644652E-2</v>
      </c>
    </row>
    <row r="29" spans="1:7" ht="14.1" customHeight="1">
      <c r="A29" s="357" t="s">
        <v>247</v>
      </c>
      <c r="B29" s="358">
        <v>178099</v>
      </c>
      <c r="C29" s="359">
        <f>B29/'- 3 -'!$D29*100</f>
        <v>0.12108926723706898</v>
      </c>
      <c r="D29" s="358">
        <v>2303740</v>
      </c>
      <c r="E29" s="359">
        <f>D29/'- 3 -'!$D29*100</f>
        <v>1.5663096845278488</v>
      </c>
      <c r="F29" s="358">
        <v>65000</v>
      </c>
      <c r="G29" s="359">
        <f>F29/'- 3 -'!$D29*100</f>
        <v>4.4193411363396114E-2</v>
      </c>
    </row>
    <row r="30" spans="1:7" ht="14.1" customHeight="1">
      <c r="A30" s="23" t="s">
        <v>248</v>
      </c>
      <c r="B30" s="24">
        <v>61720</v>
      </c>
      <c r="C30" s="350">
        <f>B30/'- 3 -'!$D30*100</f>
        <v>0.46058309431692551</v>
      </c>
      <c r="D30" s="24">
        <v>1078250</v>
      </c>
      <c r="E30" s="350">
        <f>D30/'- 3 -'!$D30*100</f>
        <v>8.0463985976543242</v>
      </c>
      <c r="F30" s="24">
        <v>0</v>
      </c>
      <c r="G30" s="350">
        <f>F30/'- 3 -'!$D30*100</f>
        <v>0</v>
      </c>
    </row>
    <row r="31" spans="1:7" ht="14.1" customHeight="1">
      <c r="A31" s="357" t="s">
        <v>249</v>
      </c>
      <c r="B31" s="358">
        <v>90450</v>
      </c>
      <c r="C31" s="359">
        <f>B31/'- 3 -'!$D31*100</f>
        <v>0.25860845947298083</v>
      </c>
      <c r="D31" s="358">
        <v>969375</v>
      </c>
      <c r="E31" s="359">
        <f>D31/'- 3 -'!$D31*100</f>
        <v>2.7715707617647407</v>
      </c>
      <c r="F31" s="358">
        <v>5000</v>
      </c>
      <c r="G31" s="359">
        <f>F31/'- 3 -'!$D31*100</f>
        <v>1.4295658345659526E-2</v>
      </c>
    </row>
    <row r="32" spans="1:7" ht="14.1" customHeight="1">
      <c r="A32" s="23" t="s">
        <v>250</v>
      </c>
      <c r="B32" s="24">
        <v>89525</v>
      </c>
      <c r="C32" s="350">
        <f>B32/'- 3 -'!$D32*100</f>
        <v>0.33633662560648603</v>
      </c>
      <c r="D32" s="24">
        <v>1866350</v>
      </c>
      <c r="E32" s="350">
        <f>D32/'- 3 -'!$D32*100</f>
        <v>7.0116935068490953</v>
      </c>
      <c r="F32" s="24">
        <v>8500</v>
      </c>
      <c r="G32" s="350">
        <f>F32/'- 3 -'!$D32*100</f>
        <v>3.19336645367789E-2</v>
      </c>
    </row>
    <row r="33" spans="1:7" ht="14.1" customHeight="1">
      <c r="A33" s="357" t="s">
        <v>251</v>
      </c>
      <c r="B33" s="358">
        <v>103100</v>
      </c>
      <c r="C33" s="359">
        <f>B33/'- 3 -'!$D33*100</f>
        <v>0.38043264084014877</v>
      </c>
      <c r="D33" s="358">
        <v>2300800</v>
      </c>
      <c r="E33" s="359">
        <f>D33/'- 3 -'!$D33*100</f>
        <v>8.4898100877304969</v>
      </c>
      <c r="F33" s="358">
        <v>0</v>
      </c>
      <c r="G33" s="359">
        <f>F33/'- 3 -'!$D33*100</f>
        <v>0</v>
      </c>
    </row>
    <row r="34" spans="1:7" ht="14.1" customHeight="1">
      <c r="A34" s="23" t="s">
        <v>252</v>
      </c>
      <c r="B34" s="24">
        <v>91830</v>
      </c>
      <c r="C34" s="350">
        <f>B34/'- 3 -'!$D34*100</f>
        <v>0.34872501948025886</v>
      </c>
      <c r="D34" s="24">
        <v>2323923</v>
      </c>
      <c r="E34" s="350">
        <f>D34/'- 3 -'!$D34*100</f>
        <v>8.8251126368901396</v>
      </c>
      <c r="F34" s="24">
        <v>0</v>
      </c>
      <c r="G34" s="350">
        <f>F34/'- 3 -'!$D34*100</f>
        <v>0</v>
      </c>
    </row>
    <row r="35" spans="1:7" ht="14.1" customHeight="1">
      <c r="A35" s="357" t="s">
        <v>253</v>
      </c>
      <c r="B35" s="358">
        <v>357600</v>
      </c>
      <c r="C35" s="359">
        <f>B35/'- 3 -'!$D35*100</f>
        <v>0.20979305288140138</v>
      </c>
      <c r="D35" s="358">
        <v>3129000</v>
      </c>
      <c r="E35" s="359">
        <f>D35/'- 3 -'!$D35*100</f>
        <v>1.8356892127122622</v>
      </c>
      <c r="F35" s="358">
        <v>25700</v>
      </c>
      <c r="G35" s="359">
        <f>F35/'- 3 -'!$D35*100</f>
        <v>1.5077409001823311E-2</v>
      </c>
    </row>
    <row r="36" spans="1:7" ht="14.1" customHeight="1">
      <c r="A36" s="23" t="s">
        <v>254</v>
      </c>
      <c r="B36" s="24">
        <v>50625</v>
      </c>
      <c r="C36" s="350">
        <f>B36/'- 3 -'!$D36*100</f>
        <v>0.22885415830831007</v>
      </c>
      <c r="D36" s="24">
        <v>1470150</v>
      </c>
      <c r="E36" s="350">
        <f>D36/'- 3 -'!$D36*100</f>
        <v>6.6459247572733249</v>
      </c>
      <c r="F36" s="24">
        <v>4500</v>
      </c>
      <c r="G36" s="350">
        <f>F36/'- 3 -'!$D36*100</f>
        <v>2.0342591849627563E-2</v>
      </c>
    </row>
    <row r="37" spans="1:7" ht="14.1" customHeight="1">
      <c r="A37" s="357" t="s">
        <v>255</v>
      </c>
      <c r="B37" s="358">
        <v>166345</v>
      </c>
      <c r="C37" s="359">
        <f>B37/'- 3 -'!$D37*100</f>
        <v>0.37211606970087768</v>
      </c>
      <c r="D37" s="358">
        <v>2622439</v>
      </c>
      <c r="E37" s="359">
        <f>D37/'- 3 -'!$D37*100</f>
        <v>5.8664323767489259</v>
      </c>
      <c r="F37" s="358">
        <v>2000</v>
      </c>
      <c r="G37" s="359">
        <f>F37/'- 3 -'!$D37*100</f>
        <v>4.4740277098906213E-3</v>
      </c>
    </row>
    <row r="38" spans="1:7" ht="14.1" customHeight="1">
      <c r="A38" s="23" t="s">
        <v>256</v>
      </c>
      <c r="B38" s="24">
        <v>286110</v>
      </c>
      <c r="C38" s="350">
        <f>B38/'- 3 -'!$D38*100</f>
        <v>0.23400684354081283</v>
      </c>
      <c r="D38" s="24">
        <v>2626750</v>
      </c>
      <c r="E38" s="350">
        <f>D38/'- 3 -'!$D38*100</f>
        <v>2.1483956389879073</v>
      </c>
      <c r="F38" s="24">
        <v>190000</v>
      </c>
      <c r="G38" s="350">
        <f>F38/'- 3 -'!$D38*100</f>
        <v>0.15539932289243449</v>
      </c>
    </row>
    <row r="39" spans="1:7" ht="14.1" customHeight="1">
      <c r="A39" s="357" t="s">
        <v>257</v>
      </c>
      <c r="B39" s="358">
        <v>72600</v>
      </c>
      <c r="C39" s="359">
        <f>B39/'- 3 -'!$D39*100</f>
        <v>0.34806668612516056</v>
      </c>
      <c r="D39" s="358">
        <v>1767130</v>
      </c>
      <c r="E39" s="359">
        <f>D39/'- 3 -'!$D39*100</f>
        <v>8.4721636784070942</v>
      </c>
      <c r="F39" s="358">
        <v>16400</v>
      </c>
      <c r="G39" s="359">
        <f>F39/'- 3 -'!$D39*100</f>
        <v>7.8626634331303485E-2</v>
      </c>
    </row>
    <row r="40" spans="1:7" ht="14.1" customHeight="1">
      <c r="A40" s="23" t="s">
        <v>258</v>
      </c>
      <c r="B40" s="24">
        <v>127421</v>
      </c>
      <c r="C40" s="350">
        <f>B40/'- 3 -'!$D40*100</f>
        <v>0.12836260000143251</v>
      </c>
      <c r="D40" s="24">
        <v>1703275</v>
      </c>
      <c r="E40" s="350">
        <f>D40/'- 3 -'!$D40*100</f>
        <v>1.7158616516699754</v>
      </c>
      <c r="F40" s="24">
        <v>5000</v>
      </c>
      <c r="G40" s="350">
        <f>F40/'- 3 -'!$D40*100</f>
        <v>5.0369483837606243E-3</v>
      </c>
    </row>
    <row r="41" spans="1:7" ht="14.1" customHeight="1">
      <c r="A41" s="357" t="s">
        <v>259</v>
      </c>
      <c r="B41" s="358">
        <v>291566</v>
      </c>
      <c r="C41" s="359">
        <f>B41/'- 3 -'!$D41*100</f>
        <v>0.49098696419051618</v>
      </c>
      <c r="D41" s="358">
        <v>4541094</v>
      </c>
      <c r="E41" s="359">
        <f>D41/'- 3 -'!$D41*100</f>
        <v>7.6470437470890564</v>
      </c>
      <c r="F41" s="358">
        <v>8000</v>
      </c>
      <c r="G41" s="359">
        <f>F41/'- 3 -'!$D41*100</f>
        <v>1.3471720685965199E-2</v>
      </c>
    </row>
    <row r="42" spans="1:7" ht="14.1" customHeight="1">
      <c r="A42" s="23" t="s">
        <v>260</v>
      </c>
      <c r="B42" s="24">
        <v>94480</v>
      </c>
      <c r="C42" s="350">
        <f>B42/'- 3 -'!$D42*100</f>
        <v>0.46399874590686119</v>
      </c>
      <c r="D42" s="24">
        <v>1591695</v>
      </c>
      <c r="E42" s="350">
        <f>D42/'- 3 -'!$D42*100</f>
        <v>7.8169399223774496</v>
      </c>
      <c r="F42" s="24">
        <v>0</v>
      </c>
      <c r="G42" s="350">
        <f>F42/'- 3 -'!$D42*100</f>
        <v>0</v>
      </c>
    </row>
    <row r="43" spans="1:7" ht="14.1" customHeight="1">
      <c r="A43" s="357" t="s">
        <v>261</v>
      </c>
      <c r="B43" s="358">
        <v>7973</v>
      </c>
      <c r="C43" s="359">
        <f>B43/'- 3 -'!$D43*100</f>
        <v>6.4071836317472611E-2</v>
      </c>
      <c r="D43" s="358">
        <v>1000879</v>
      </c>
      <c r="E43" s="359">
        <f>D43/'- 3 -'!$D43*100</f>
        <v>8.0431651149624575</v>
      </c>
      <c r="F43" s="358">
        <v>15000</v>
      </c>
      <c r="G43" s="359">
        <f>F43/'- 3 -'!$D43*100</f>
        <v>0.12054152072771721</v>
      </c>
    </row>
    <row r="44" spans="1:7" ht="14.1" customHeight="1">
      <c r="A44" s="23" t="s">
        <v>262</v>
      </c>
      <c r="B44" s="24">
        <v>30629</v>
      </c>
      <c r="C44" s="350">
        <f>B44/'- 3 -'!$D44*100</f>
        <v>0.28453652800035822</v>
      </c>
      <c r="D44" s="24">
        <v>1059591</v>
      </c>
      <c r="E44" s="350">
        <f>D44/'- 3 -'!$D44*100</f>
        <v>9.8433623115487805</v>
      </c>
      <c r="F44" s="24">
        <v>0</v>
      </c>
      <c r="G44" s="350">
        <f>F44/'- 3 -'!$D44*100</f>
        <v>0</v>
      </c>
    </row>
    <row r="45" spans="1:7" ht="14.1" customHeight="1">
      <c r="A45" s="357" t="s">
        <v>263</v>
      </c>
      <c r="B45" s="358">
        <v>47227</v>
      </c>
      <c r="C45" s="359">
        <f>B45/'- 3 -'!$D45*100</f>
        <v>0.26898448858204216</v>
      </c>
      <c r="D45" s="358">
        <v>658648</v>
      </c>
      <c r="E45" s="359">
        <f>D45/'- 3 -'!$D45*100</f>
        <v>3.7513730585382286</v>
      </c>
      <c r="F45" s="358">
        <v>18000</v>
      </c>
      <c r="G45" s="359">
        <f>F45/'- 3 -'!$D45*100</f>
        <v>0.10252018537016451</v>
      </c>
    </row>
    <row r="46" spans="1:7" ht="14.1" customHeight="1">
      <c r="A46" s="23" t="s">
        <v>264</v>
      </c>
      <c r="B46" s="24">
        <v>274000</v>
      </c>
      <c r="C46" s="350">
        <f>B46/'- 3 -'!$D46*100</f>
        <v>7.411136016254731E-2</v>
      </c>
      <c r="D46" s="24">
        <v>4390300</v>
      </c>
      <c r="E46" s="350">
        <f>D46/'- 3 -'!$D46*100</f>
        <v>1.1874857829256622</v>
      </c>
      <c r="F46" s="24">
        <v>0</v>
      </c>
      <c r="G46" s="350">
        <f>F46/'- 3 -'!$D46*100</f>
        <v>0</v>
      </c>
    </row>
    <row r="47" spans="1:7" ht="5.0999999999999996" customHeight="1">
      <c r="A47"/>
      <c r="B47"/>
      <c r="C47"/>
      <c r="D47"/>
      <c r="E47"/>
      <c r="F47"/>
      <c r="G47"/>
    </row>
    <row r="48" spans="1:7" ht="14.1" customHeight="1">
      <c r="A48" s="360" t="s">
        <v>265</v>
      </c>
      <c r="B48" s="361">
        <f>SUM(B11:B46)</f>
        <v>4775139</v>
      </c>
      <c r="C48" s="362">
        <f>B48/'- 3 -'!$D48*100</f>
        <v>0.22254430371582151</v>
      </c>
      <c r="D48" s="361">
        <f>SUM(D11:D46)</f>
        <v>79823675</v>
      </c>
      <c r="E48" s="362">
        <f>D48/'- 3 -'!$D48*100</f>
        <v>3.7201648314139182</v>
      </c>
      <c r="F48" s="361">
        <f>SUM(F11:F46)</f>
        <v>1089964</v>
      </c>
      <c r="G48" s="362">
        <f>F48/'- 3 -'!$D48*100</f>
        <v>5.0797532690736676E-2</v>
      </c>
    </row>
    <row r="49" spans="1:7" ht="5.0999999999999996" customHeight="1">
      <c r="A49" s="25" t="s">
        <v>3</v>
      </c>
      <c r="B49" s="26"/>
      <c r="C49" s="349"/>
      <c r="D49" s="26"/>
      <c r="E49" s="349"/>
      <c r="F49" s="26"/>
      <c r="G49" s="349"/>
    </row>
    <row r="50" spans="1:7" ht="14.1" customHeight="1">
      <c r="A50" s="23" t="s">
        <v>266</v>
      </c>
      <c r="B50" s="24">
        <v>0</v>
      </c>
      <c r="C50" s="350">
        <f>B50/'- 3 -'!$D50*100</f>
        <v>0</v>
      </c>
      <c r="D50" s="24">
        <v>0</v>
      </c>
      <c r="E50" s="350">
        <f>D50/'- 3 -'!$D50*100</f>
        <v>0</v>
      </c>
      <c r="F50" s="24">
        <v>12000</v>
      </c>
      <c r="G50" s="350">
        <f>F50/'- 3 -'!$D50*100</f>
        <v>0.35677461477260969</v>
      </c>
    </row>
    <row r="51" spans="1:7" ht="14.1" customHeight="1">
      <c r="A51" s="511" t="s">
        <v>691</v>
      </c>
      <c r="B51" s="358">
        <v>0</v>
      </c>
      <c r="C51" s="359">
        <f>B51/'- 3 -'!$D51*100</f>
        <v>0</v>
      </c>
      <c r="D51" s="358">
        <v>0</v>
      </c>
      <c r="E51" s="359">
        <f>D51/'- 3 -'!$D51*100</f>
        <v>0</v>
      </c>
      <c r="F51" s="358">
        <v>0</v>
      </c>
      <c r="G51" s="359">
        <f>F51/'- 3 -'!$D51*100</f>
        <v>0</v>
      </c>
    </row>
    <row r="52" spans="1:7" ht="50.1" customHeight="1"/>
    <row r="53" spans="1:7" ht="15" customHeight="1">
      <c r="D53" s="92"/>
      <c r="E53" s="92"/>
    </row>
    <row r="54" spans="1:7" ht="14.45" customHeight="1">
      <c r="D54" s="92"/>
      <c r="E54" s="92"/>
    </row>
    <row r="55" spans="1:7" ht="14.45" customHeight="1">
      <c r="D55" s="92"/>
      <c r="E55" s="92"/>
    </row>
    <row r="56" spans="1:7" ht="14.45" customHeight="1">
      <c r="D56" s="92"/>
      <c r="E56" s="92"/>
    </row>
    <row r="57" spans="1:7" ht="14.45" customHeight="1"/>
    <row r="58" spans="1:7" ht="14.45" customHeight="1"/>
    <row r="59" spans="1:7" ht="14.45" customHeight="1"/>
    <row r="60" spans="1:7" ht="12" customHeight="1"/>
    <row r="61" spans="1:7" ht="12" customHeight="1"/>
    <row r="62" spans="1:7" ht="12" customHeight="1"/>
    <row r="63" spans="1:7" ht="12" customHeight="1"/>
    <row r="64" spans="1:7" ht="12" customHeight="1"/>
    <row r="65" ht="12" customHeight="1"/>
    <row r="66" ht="12"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27.xml><?xml version="1.0" encoding="utf-8"?>
<worksheet xmlns="http://schemas.openxmlformats.org/spreadsheetml/2006/main" xmlns:r="http://schemas.openxmlformats.org/officeDocument/2006/relationships">
  <sheetPr codeName="Sheet28">
    <pageSetUpPr fitToPage="1"/>
  </sheetPr>
  <dimension ref="A1:F59"/>
  <sheetViews>
    <sheetView showGridLines="0" showZeros="0" workbookViewId="0"/>
  </sheetViews>
  <sheetFormatPr defaultColWidth="15.83203125" defaultRowHeight="12"/>
  <cols>
    <col min="1" max="1" width="35.83203125" style="1" customWidth="1"/>
    <col min="2" max="2" width="19.83203125" style="1" customWidth="1"/>
    <col min="3" max="3" width="12" style="1" customWidth="1"/>
    <col min="4" max="4" width="19.83203125" style="1" customWidth="1"/>
    <col min="5" max="5" width="12.1640625" style="1" customWidth="1"/>
    <col min="6" max="6" width="25.83203125" style="1" customWidth="1"/>
    <col min="7" max="16384" width="15.83203125" style="1"/>
  </cols>
  <sheetData>
    <row r="1" spans="1:6" ht="6.95" customHeight="1">
      <c r="A1" s="3"/>
      <c r="B1" s="4"/>
      <c r="C1" s="4"/>
      <c r="D1" s="4"/>
      <c r="E1" s="4"/>
      <c r="F1" s="4"/>
    </row>
    <row r="2" spans="1:6" ht="15.95" customHeight="1">
      <c r="A2" s="159"/>
      <c r="B2" s="5" t="s">
        <v>474</v>
      </c>
      <c r="C2" s="6"/>
      <c r="D2" s="6"/>
      <c r="E2" s="6"/>
      <c r="F2" s="182" t="s">
        <v>425</v>
      </c>
    </row>
    <row r="3" spans="1:6" ht="15.95" customHeight="1">
      <c r="A3" s="162"/>
      <c r="B3" s="7" t="str">
        <f>OPYEAR</f>
        <v>OPERATING FUND 2014/2015 BUDGET</v>
      </c>
      <c r="C3" s="8"/>
      <c r="D3" s="8"/>
      <c r="E3" s="8"/>
      <c r="F3" s="101"/>
    </row>
    <row r="4" spans="1:6" ht="15.95" customHeight="1">
      <c r="B4" s="4"/>
      <c r="C4" s="4"/>
      <c r="D4" s="4"/>
      <c r="E4" s="4"/>
      <c r="F4" s="4"/>
    </row>
    <row r="5" spans="1:6" ht="15.95" customHeight="1">
      <c r="B5" s="4"/>
      <c r="C5" s="4"/>
      <c r="D5" s="4"/>
      <c r="E5" s="4"/>
      <c r="F5" s="4"/>
    </row>
    <row r="6" spans="1:6" ht="15.95" customHeight="1">
      <c r="B6" s="183" t="s">
        <v>395</v>
      </c>
      <c r="C6" s="192"/>
      <c r="D6" s="193"/>
      <c r="E6" s="194"/>
      <c r="F6" s="75"/>
    </row>
    <row r="7" spans="1:6" ht="15.95" customHeight="1">
      <c r="B7" s="351" t="s">
        <v>46</v>
      </c>
      <c r="C7" s="353"/>
      <c r="D7" s="351" t="s">
        <v>271</v>
      </c>
      <c r="E7" s="353"/>
      <c r="F7" s="4"/>
    </row>
    <row r="8" spans="1:6" ht="15.95" customHeight="1">
      <c r="A8" s="102"/>
      <c r="B8" s="354" t="s">
        <v>64</v>
      </c>
      <c r="C8" s="356"/>
      <c r="D8" s="354" t="s">
        <v>214</v>
      </c>
      <c r="E8" s="356"/>
      <c r="F8" s="4"/>
    </row>
    <row r="9" spans="1:6" ht="15.95" customHeight="1">
      <c r="A9" s="35" t="s">
        <v>81</v>
      </c>
      <c r="B9" s="187" t="s">
        <v>82</v>
      </c>
      <c r="C9" s="187" t="s">
        <v>83</v>
      </c>
      <c r="D9" s="187" t="s">
        <v>82</v>
      </c>
      <c r="E9" s="187" t="s">
        <v>83</v>
      </c>
    </row>
    <row r="10" spans="1:6" ht="5.0999999999999996" customHeight="1">
      <c r="A10" s="37"/>
    </row>
    <row r="11" spans="1:6" ht="14.1" customHeight="1">
      <c r="A11" s="357" t="s">
        <v>230</v>
      </c>
      <c r="B11" s="358">
        <v>0</v>
      </c>
      <c r="C11" s="359">
        <f>B11/'- 3 -'!$D11*100</f>
        <v>0</v>
      </c>
      <c r="D11" s="358">
        <v>128000</v>
      </c>
      <c r="E11" s="359">
        <f>D11/'- 3 -'!$D11*100</f>
        <v>0.73688768806899385</v>
      </c>
    </row>
    <row r="12" spans="1:6" ht="14.1" customHeight="1">
      <c r="A12" s="23" t="s">
        <v>231</v>
      </c>
      <c r="B12" s="24">
        <v>0</v>
      </c>
      <c r="C12" s="350">
        <f>B12/'- 3 -'!$D12*100</f>
        <v>0</v>
      </c>
      <c r="D12" s="24">
        <v>188200</v>
      </c>
      <c r="E12" s="350">
        <f>D12/'- 3 -'!$D12*100</f>
        <v>0.59816016485319567</v>
      </c>
    </row>
    <row r="13" spans="1:6" ht="14.1" customHeight="1">
      <c r="A13" s="357" t="s">
        <v>232</v>
      </c>
      <c r="B13" s="358">
        <v>0</v>
      </c>
      <c r="C13" s="359">
        <f>B13/'- 3 -'!$D13*100</f>
        <v>0</v>
      </c>
      <c r="D13" s="358">
        <v>68400</v>
      </c>
      <c r="E13" s="359">
        <f>D13/'- 3 -'!$D13*100</f>
        <v>7.663101382607225E-2</v>
      </c>
    </row>
    <row r="14" spans="1:6" ht="14.1" customHeight="1">
      <c r="A14" s="23" t="s">
        <v>566</v>
      </c>
      <c r="B14" s="24">
        <v>4944</v>
      </c>
      <c r="C14" s="350">
        <f>B14/'- 3 -'!$D14*100</f>
        <v>6.1872827411504714E-3</v>
      </c>
      <c r="D14" s="24">
        <v>261788</v>
      </c>
      <c r="E14" s="350">
        <f>D14/'- 3 -'!$D14*100</f>
        <v>0.32762062585766577</v>
      </c>
    </row>
    <row r="15" spans="1:6" ht="14.1" customHeight="1">
      <c r="A15" s="357" t="s">
        <v>233</v>
      </c>
      <c r="B15" s="358">
        <v>0</v>
      </c>
      <c r="C15" s="359">
        <f>B15/'- 3 -'!$D15*100</f>
        <v>0</v>
      </c>
      <c r="D15" s="358">
        <v>24000</v>
      </c>
      <c r="E15" s="359">
        <f>D15/'- 3 -'!$D15*100</f>
        <v>0.12104338184718455</v>
      </c>
    </row>
    <row r="16" spans="1:6" ht="14.1" customHeight="1">
      <c r="A16" s="23" t="s">
        <v>234</v>
      </c>
      <c r="B16" s="24">
        <v>0</v>
      </c>
      <c r="C16" s="350">
        <f>B16/'- 3 -'!$D16*100</f>
        <v>0</v>
      </c>
      <c r="D16" s="24">
        <v>157340</v>
      </c>
      <c r="E16" s="350">
        <f>D16/'- 3 -'!$D16*100</f>
        <v>1.1670735426934995</v>
      </c>
    </row>
    <row r="17" spans="1:5" ht="14.1" customHeight="1">
      <c r="A17" s="357" t="s">
        <v>235</v>
      </c>
      <c r="B17" s="358">
        <v>0</v>
      </c>
      <c r="C17" s="359">
        <f>B17/'- 3 -'!$D17*100</f>
        <v>0</v>
      </c>
      <c r="D17" s="358">
        <v>21750</v>
      </c>
      <c r="E17" s="359">
        <f>D17/'- 3 -'!$D17*100</f>
        <v>0.12672863687298749</v>
      </c>
    </row>
    <row r="18" spans="1:5" ht="14.1" customHeight="1">
      <c r="A18" s="23" t="s">
        <v>236</v>
      </c>
      <c r="B18" s="24">
        <v>2863911</v>
      </c>
      <c r="C18" s="350">
        <f>B18/'- 3 -'!$D18*100</f>
        <v>2.313797481151195</v>
      </c>
      <c r="D18" s="24">
        <v>603833</v>
      </c>
      <c r="E18" s="350">
        <f>D18/'- 3 -'!$D18*100</f>
        <v>0.48784591226332435</v>
      </c>
    </row>
    <row r="19" spans="1:5" ht="14.1" customHeight="1">
      <c r="A19" s="357" t="s">
        <v>237</v>
      </c>
      <c r="B19" s="358">
        <v>4800</v>
      </c>
      <c r="C19" s="359">
        <f>B19/'- 3 -'!$D19*100</f>
        <v>1.1047251858009671E-2</v>
      </c>
      <c r="D19" s="358">
        <v>140000</v>
      </c>
      <c r="E19" s="359">
        <f>D19/'- 3 -'!$D19*100</f>
        <v>0.32221151252528207</v>
      </c>
    </row>
    <row r="20" spans="1:5" ht="14.1" customHeight="1">
      <c r="A20" s="23" t="s">
        <v>238</v>
      </c>
      <c r="B20" s="24">
        <v>0</v>
      </c>
      <c r="C20" s="350">
        <f>B20/'- 3 -'!$D20*100</f>
        <v>0</v>
      </c>
      <c r="D20" s="24">
        <v>186400</v>
      </c>
      <c r="E20" s="350">
        <f>D20/'- 3 -'!$D20*100</f>
        <v>0.24613889417083942</v>
      </c>
    </row>
    <row r="21" spans="1:5" ht="14.1" customHeight="1">
      <c r="A21" s="357" t="s">
        <v>239</v>
      </c>
      <c r="B21" s="358">
        <v>0</v>
      </c>
      <c r="C21" s="359">
        <f>B21/'- 3 -'!$D21*100</f>
        <v>0</v>
      </c>
      <c r="D21" s="358">
        <v>140000</v>
      </c>
      <c r="E21" s="359">
        <f>D21/'- 3 -'!$D21*100</f>
        <v>0.40598886940915629</v>
      </c>
    </row>
    <row r="22" spans="1:5" ht="14.1" customHeight="1">
      <c r="A22" s="23" t="s">
        <v>240</v>
      </c>
      <c r="B22" s="24">
        <v>0</v>
      </c>
      <c r="C22" s="350">
        <f>B22/'- 3 -'!$D22*100</f>
        <v>0</v>
      </c>
      <c r="D22" s="24">
        <v>57150</v>
      </c>
      <c r="E22" s="350">
        <f>D22/'- 3 -'!$D22*100</f>
        <v>0.29453374740878591</v>
      </c>
    </row>
    <row r="23" spans="1:5" ht="14.1" customHeight="1">
      <c r="A23" s="357" t="s">
        <v>241</v>
      </c>
      <c r="B23" s="358">
        <v>0</v>
      </c>
      <c r="C23" s="359">
        <f>B23/'- 3 -'!$D23*100</f>
        <v>0</v>
      </c>
      <c r="D23" s="358">
        <v>20000</v>
      </c>
      <c r="E23" s="359">
        <f>D23/'- 3 -'!$D23*100</f>
        <v>0.12274547253324562</v>
      </c>
    </row>
    <row r="24" spans="1:5" ht="14.1" customHeight="1">
      <c r="A24" s="23" t="s">
        <v>242</v>
      </c>
      <c r="B24" s="24">
        <v>0</v>
      </c>
      <c r="C24" s="350">
        <f>B24/'- 3 -'!$D24*100</f>
        <v>0</v>
      </c>
      <c r="D24" s="24">
        <v>86000</v>
      </c>
      <c r="E24" s="350">
        <f>D24/'- 3 -'!$D24*100</f>
        <v>0.158291404057086</v>
      </c>
    </row>
    <row r="25" spans="1:5" ht="14.1" customHeight="1">
      <c r="A25" s="357" t="s">
        <v>243</v>
      </c>
      <c r="B25" s="358">
        <v>0</v>
      </c>
      <c r="C25" s="359">
        <f>B25/'- 3 -'!$D25*100</f>
        <v>0</v>
      </c>
      <c r="D25" s="358">
        <v>44500</v>
      </c>
      <c r="E25" s="359">
        <f>D25/'- 3 -'!$D25*100</f>
        <v>2.7986469315644472E-2</v>
      </c>
    </row>
    <row r="26" spans="1:5" ht="14.1" customHeight="1">
      <c r="A26" s="23" t="s">
        <v>244</v>
      </c>
      <c r="B26" s="24">
        <v>0</v>
      </c>
      <c r="C26" s="350">
        <f>B26/'- 3 -'!$D26*100</f>
        <v>0</v>
      </c>
      <c r="D26" s="24">
        <v>204397</v>
      </c>
      <c r="E26" s="350">
        <f>D26/'- 3 -'!$D26*100</f>
        <v>0.52518904256632304</v>
      </c>
    </row>
    <row r="27" spans="1:5" ht="14.1" customHeight="1">
      <c r="A27" s="357" t="s">
        <v>245</v>
      </c>
      <c r="B27" s="358">
        <v>0</v>
      </c>
      <c r="C27" s="359">
        <f>B27/'- 3 -'!$D27*100</f>
        <v>0</v>
      </c>
      <c r="D27" s="358">
        <v>90000</v>
      </c>
      <c r="E27" s="359">
        <f>D27/'- 3 -'!$D27*100</f>
        <v>0.23023027350563477</v>
      </c>
    </row>
    <row r="28" spans="1:5" ht="14.1" customHeight="1">
      <c r="A28" s="23" t="s">
        <v>246</v>
      </c>
      <c r="B28" s="24">
        <v>0</v>
      </c>
      <c r="C28" s="350">
        <f>B28/'- 3 -'!$D28*100</f>
        <v>0</v>
      </c>
      <c r="D28" s="24">
        <v>119512</v>
      </c>
      <c r="E28" s="350">
        <f>D28/'- 3 -'!$D28*100</f>
        <v>0.43697435115733008</v>
      </c>
    </row>
    <row r="29" spans="1:5" ht="14.1" customHeight="1">
      <c r="A29" s="357" t="s">
        <v>247</v>
      </c>
      <c r="B29" s="358">
        <v>0</v>
      </c>
      <c r="C29" s="359">
        <f>B29/'- 3 -'!$D29*100</f>
        <v>0</v>
      </c>
      <c r="D29" s="358">
        <v>80000</v>
      </c>
      <c r="E29" s="359">
        <f>D29/'- 3 -'!$D29*100</f>
        <v>5.4391890908795218E-2</v>
      </c>
    </row>
    <row r="30" spans="1:5" ht="14.1" customHeight="1">
      <c r="A30" s="23" t="s">
        <v>248</v>
      </c>
      <c r="B30" s="24">
        <v>0</v>
      </c>
      <c r="C30" s="350">
        <f>B30/'- 3 -'!$D30*100</f>
        <v>0</v>
      </c>
      <c r="D30" s="24">
        <v>47645</v>
      </c>
      <c r="E30" s="350">
        <f>D30/'- 3 -'!$D30*100</f>
        <v>0.35554895542336218</v>
      </c>
    </row>
    <row r="31" spans="1:5" ht="14.1" customHeight="1">
      <c r="A31" s="357" t="s">
        <v>249</v>
      </c>
      <c r="B31" s="358">
        <v>0</v>
      </c>
      <c r="C31" s="359">
        <f>B31/'- 3 -'!$D31*100</f>
        <v>0</v>
      </c>
      <c r="D31" s="358">
        <v>34000</v>
      </c>
      <c r="E31" s="359">
        <f>D31/'- 3 -'!$D31*100</f>
        <v>9.7210476750484776E-2</v>
      </c>
    </row>
    <row r="32" spans="1:5" ht="14.1" customHeight="1">
      <c r="A32" s="23" t="s">
        <v>250</v>
      </c>
      <c r="B32" s="24">
        <v>0</v>
      </c>
      <c r="C32" s="350">
        <f>B32/'- 3 -'!$D32*100</f>
        <v>0</v>
      </c>
      <c r="D32" s="24">
        <v>57510</v>
      </c>
      <c r="E32" s="350">
        <f>D32/'- 3 -'!$D32*100</f>
        <v>0.21605941735413584</v>
      </c>
    </row>
    <row r="33" spans="1:5" ht="14.1" customHeight="1">
      <c r="A33" s="357" t="s">
        <v>251</v>
      </c>
      <c r="B33" s="358">
        <v>0</v>
      </c>
      <c r="C33" s="359">
        <f>B33/'- 3 -'!$D33*100</f>
        <v>0</v>
      </c>
      <c r="D33" s="358">
        <v>75000</v>
      </c>
      <c r="E33" s="359">
        <f>D33/'- 3 -'!$D33*100</f>
        <v>0.27674537403502575</v>
      </c>
    </row>
    <row r="34" spans="1:5" ht="14.1" customHeight="1">
      <c r="A34" s="23" t="s">
        <v>252</v>
      </c>
      <c r="B34" s="24">
        <v>0</v>
      </c>
      <c r="C34" s="350">
        <f>B34/'- 3 -'!$D34*100</f>
        <v>0</v>
      </c>
      <c r="D34" s="24">
        <v>145799</v>
      </c>
      <c r="E34" s="350">
        <f>D34/'- 3 -'!$D34*100</f>
        <v>0.55367264635960201</v>
      </c>
    </row>
    <row r="35" spans="1:5" ht="14.1" customHeight="1">
      <c r="A35" s="357" t="s">
        <v>253</v>
      </c>
      <c r="B35" s="358">
        <v>0</v>
      </c>
      <c r="C35" s="359">
        <f>B35/'- 3 -'!$D35*100</f>
        <v>0</v>
      </c>
      <c r="D35" s="358">
        <v>155000</v>
      </c>
      <c r="E35" s="359">
        <f>D35/'- 3 -'!$D35*100</f>
        <v>9.0933789699712581E-2</v>
      </c>
    </row>
    <row r="36" spans="1:5" ht="14.1" customHeight="1">
      <c r="A36" s="23" t="s">
        <v>254</v>
      </c>
      <c r="B36" s="24">
        <v>0</v>
      </c>
      <c r="C36" s="350">
        <f>B36/'- 3 -'!$D36*100</f>
        <v>0</v>
      </c>
      <c r="D36" s="24">
        <v>103000</v>
      </c>
      <c r="E36" s="350">
        <f>D36/'- 3 -'!$D36*100</f>
        <v>0.46561932455814192</v>
      </c>
    </row>
    <row r="37" spans="1:5" ht="14.1" customHeight="1">
      <c r="A37" s="357" t="s">
        <v>255</v>
      </c>
      <c r="B37" s="358">
        <v>0</v>
      </c>
      <c r="C37" s="359">
        <f>B37/'- 3 -'!$D37*100</f>
        <v>0</v>
      </c>
      <c r="D37" s="358">
        <v>76376</v>
      </c>
      <c r="E37" s="359">
        <f>D37/'- 3 -'!$D37*100</f>
        <v>0.17085417018530305</v>
      </c>
    </row>
    <row r="38" spans="1:5" ht="14.1" customHeight="1">
      <c r="A38" s="23" t="s">
        <v>256</v>
      </c>
      <c r="B38" s="24">
        <v>0</v>
      </c>
      <c r="C38" s="350">
        <f>B38/'- 3 -'!$D38*100</f>
        <v>0</v>
      </c>
      <c r="D38" s="24">
        <v>358000</v>
      </c>
      <c r="E38" s="350">
        <f>D38/'- 3 -'!$D38*100</f>
        <v>0.29280503997627133</v>
      </c>
    </row>
    <row r="39" spans="1:5" ht="14.1" customHeight="1">
      <c r="A39" s="357" t="s">
        <v>257</v>
      </c>
      <c r="B39" s="358">
        <v>0</v>
      </c>
      <c r="C39" s="359">
        <f>B39/'- 3 -'!$D39*100</f>
        <v>0</v>
      </c>
      <c r="D39" s="358">
        <v>51500</v>
      </c>
      <c r="E39" s="359">
        <f>D39/'- 3 -'!$D39*100</f>
        <v>0.24690680902817863</v>
      </c>
    </row>
    <row r="40" spans="1:5" ht="14.1" customHeight="1">
      <c r="A40" s="23" t="s">
        <v>258</v>
      </c>
      <c r="B40" s="24">
        <v>0</v>
      </c>
      <c r="C40" s="350">
        <f>B40/'- 3 -'!$D40*100</f>
        <v>0</v>
      </c>
      <c r="D40" s="24">
        <v>70043</v>
      </c>
      <c r="E40" s="350">
        <f>D40/'- 3 -'!$D40*100</f>
        <v>7.0560595128749085E-2</v>
      </c>
    </row>
    <row r="41" spans="1:5" ht="14.1" customHeight="1">
      <c r="A41" s="357" t="s">
        <v>259</v>
      </c>
      <c r="B41" s="358">
        <v>0</v>
      </c>
      <c r="C41" s="359">
        <f>B41/'- 3 -'!$D41*100</f>
        <v>0</v>
      </c>
      <c r="D41" s="358">
        <v>150849</v>
      </c>
      <c r="E41" s="359">
        <f>D41/'- 3 -'!$D41*100</f>
        <v>0.25402444921964551</v>
      </c>
    </row>
    <row r="42" spans="1:5" ht="14.1" customHeight="1">
      <c r="A42" s="23" t="s">
        <v>260</v>
      </c>
      <c r="B42" s="24">
        <v>0</v>
      </c>
      <c r="C42" s="350">
        <f>B42/'- 3 -'!$D42*100</f>
        <v>0</v>
      </c>
      <c r="D42" s="24">
        <v>53249</v>
      </c>
      <c r="E42" s="350">
        <f>D42/'- 3 -'!$D42*100</f>
        <v>0.26151004679079648</v>
      </c>
    </row>
    <row r="43" spans="1:5" ht="14.1" customHeight="1">
      <c r="A43" s="357" t="s">
        <v>261</v>
      </c>
      <c r="B43" s="358">
        <v>0</v>
      </c>
      <c r="C43" s="359">
        <f>B43/'- 3 -'!$D43*100</f>
        <v>0</v>
      </c>
      <c r="D43" s="358">
        <v>8305</v>
      </c>
      <c r="E43" s="359">
        <f>D43/'- 3 -'!$D43*100</f>
        <v>6.6739821976246089E-2</v>
      </c>
    </row>
    <row r="44" spans="1:5" ht="14.1" customHeight="1">
      <c r="A44" s="23" t="s">
        <v>262</v>
      </c>
      <c r="B44" s="24">
        <v>0</v>
      </c>
      <c r="C44" s="350">
        <f>B44/'- 3 -'!$D44*100</f>
        <v>0</v>
      </c>
      <c r="D44" s="24">
        <v>44390</v>
      </c>
      <c r="E44" s="350">
        <f>D44/'- 3 -'!$D44*100</f>
        <v>0.41237312605491205</v>
      </c>
    </row>
    <row r="45" spans="1:5" ht="14.1" customHeight="1">
      <c r="A45" s="357" t="s">
        <v>263</v>
      </c>
      <c r="B45" s="358">
        <v>0</v>
      </c>
      <c r="C45" s="359">
        <f>B45/'- 3 -'!$D45*100</f>
        <v>0</v>
      </c>
      <c r="D45" s="358">
        <v>35458</v>
      </c>
      <c r="E45" s="359">
        <f>D45/'- 3 -'!$D45*100</f>
        <v>0.20195337404751629</v>
      </c>
    </row>
    <row r="46" spans="1:5" ht="14.1" customHeight="1">
      <c r="A46" s="23" t="s">
        <v>264</v>
      </c>
      <c r="B46" s="24">
        <v>0</v>
      </c>
      <c r="C46" s="350">
        <f>B46/'- 3 -'!$D46*100</f>
        <v>0</v>
      </c>
      <c r="D46" s="24">
        <v>382800</v>
      </c>
      <c r="E46" s="350">
        <f>D46/'- 3 -'!$D46*100</f>
        <v>0.10353952069424492</v>
      </c>
    </row>
    <row r="47" spans="1:5" ht="5.0999999999999996" customHeight="1">
      <c r="A47"/>
      <c r="B47"/>
      <c r="C47"/>
      <c r="D47"/>
      <c r="E47"/>
    </row>
    <row r="48" spans="1:5" ht="14.1" customHeight="1">
      <c r="A48" s="360" t="s">
        <v>265</v>
      </c>
      <c r="B48" s="361">
        <f>SUM(B11:B46)</f>
        <v>2873655</v>
      </c>
      <c r="C48" s="362">
        <f>B48/'- 3 -'!$D48*100</f>
        <v>0.13392605976380773</v>
      </c>
      <c r="D48" s="361">
        <f>SUM(D11:D46)</f>
        <v>4470194</v>
      </c>
      <c r="E48" s="362">
        <f>D48/'- 3 -'!$D48*100</f>
        <v>0.20833240900519187</v>
      </c>
    </row>
    <row r="49" spans="1:5" ht="5.0999999999999996" customHeight="1">
      <c r="A49" s="25" t="s">
        <v>3</v>
      </c>
      <c r="B49" s="26"/>
      <c r="C49" s="349"/>
      <c r="D49" s="26"/>
      <c r="E49" s="349"/>
    </row>
    <row r="50" spans="1:5" ht="14.1" customHeight="1">
      <c r="A50" s="23" t="s">
        <v>266</v>
      </c>
      <c r="B50" s="24">
        <v>0</v>
      </c>
      <c r="C50" s="350">
        <f>B50/'- 3 -'!$D50*100</f>
        <v>0</v>
      </c>
      <c r="D50" s="24">
        <v>37706</v>
      </c>
      <c r="E50" s="350">
        <f>D50/'- 3 -'!$D50*100</f>
        <v>1.1210453020513351</v>
      </c>
    </row>
    <row r="51" spans="1:5" ht="14.1" customHeight="1">
      <c r="A51" s="511" t="s">
        <v>691</v>
      </c>
      <c r="B51" s="358">
        <v>0</v>
      </c>
      <c r="C51" s="359">
        <f>B51/'- 3 -'!$D51*100</f>
        <v>0</v>
      </c>
      <c r="D51" s="358">
        <v>0</v>
      </c>
      <c r="E51" s="359">
        <f>D51/'- 3 -'!$D51*100</f>
        <v>0</v>
      </c>
    </row>
    <row r="52" spans="1:5" ht="50.1" customHeight="1"/>
    <row r="53" spans="1:5" ht="15" customHeight="1"/>
    <row r="54" spans="1:5" ht="14.45" customHeight="1"/>
    <row r="55" spans="1:5" ht="14.45" customHeight="1"/>
    <row r="56" spans="1:5" ht="14.45" customHeight="1"/>
    <row r="57" spans="1:5" ht="14.45" customHeight="1"/>
    <row r="58" spans="1:5" ht="14.45" customHeight="1"/>
    <row r="59" spans="1:5"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28.xml><?xml version="1.0" encoding="utf-8"?>
<worksheet xmlns="http://schemas.openxmlformats.org/spreadsheetml/2006/main" xmlns:r="http://schemas.openxmlformats.org/officeDocument/2006/relationships">
  <sheetPr codeName="Sheet29">
    <pageSetUpPr fitToPage="1"/>
  </sheetPr>
  <dimension ref="A1:G59"/>
  <sheetViews>
    <sheetView showGridLines="0" showZeros="0" workbookViewId="0"/>
  </sheetViews>
  <sheetFormatPr defaultColWidth="15.83203125" defaultRowHeight="12"/>
  <cols>
    <col min="1" max="1" width="31.83203125" style="1" customWidth="1"/>
    <col min="2" max="2" width="17.83203125" style="1" customWidth="1"/>
    <col min="3" max="3" width="11.5" style="1" customWidth="1"/>
    <col min="4" max="4" width="17.83203125" style="1" customWidth="1"/>
    <col min="5" max="5" width="12.1640625" style="1" customWidth="1"/>
    <col min="6" max="6" width="17.83203125" style="1" customWidth="1"/>
    <col min="7" max="7" width="12" style="1" customWidth="1"/>
    <col min="8" max="16384" width="15.83203125" style="1"/>
  </cols>
  <sheetData>
    <row r="1" spans="1:7" ht="6.95" customHeight="1">
      <c r="A1" s="3"/>
      <c r="B1" s="4"/>
      <c r="C1" s="4"/>
      <c r="D1" s="4"/>
      <c r="E1" s="4"/>
      <c r="F1" s="4"/>
      <c r="G1" s="4"/>
    </row>
    <row r="2" spans="1:7" ht="15.95" customHeight="1">
      <c r="A2" s="159"/>
      <c r="B2" s="5" t="s">
        <v>474</v>
      </c>
      <c r="C2" s="6"/>
      <c r="D2" s="160"/>
      <c r="E2" s="6"/>
      <c r="F2" s="106"/>
      <c r="G2" s="182" t="s">
        <v>424</v>
      </c>
    </row>
    <row r="3" spans="1:7" ht="15.95" customHeight="1">
      <c r="A3" s="162"/>
      <c r="B3" s="7" t="str">
        <f>OPYEAR</f>
        <v>OPERATING FUND 2014/2015 BUDGET</v>
      </c>
      <c r="C3" s="8"/>
      <c r="D3" s="175"/>
      <c r="E3" s="8"/>
      <c r="F3" s="108"/>
      <c r="G3" s="108"/>
    </row>
    <row r="4" spans="1:7" ht="15.95" customHeight="1">
      <c r="B4" s="4"/>
      <c r="C4" s="4"/>
      <c r="D4" s="4"/>
      <c r="E4" s="4"/>
      <c r="F4" s="4"/>
      <c r="G4" s="4"/>
    </row>
    <row r="5" spans="1:7" ht="15.95" customHeight="1">
      <c r="B5" s="4"/>
      <c r="C5" s="4"/>
      <c r="D5" s="4"/>
      <c r="E5" s="4"/>
      <c r="F5" s="4"/>
      <c r="G5" s="4"/>
    </row>
    <row r="6" spans="1:7" ht="15.95" customHeight="1">
      <c r="B6" s="164" t="s">
        <v>20</v>
      </c>
      <c r="C6" s="184"/>
      <c r="D6" s="185"/>
      <c r="E6" s="185"/>
      <c r="F6" s="185"/>
      <c r="G6" s="186"/>
    </row>
    <row r="7" spans="1:7" ht="15.95" customHeight="1">
      <c r="B7" s="363"/>
      <c r="C7" s="353"/>
      <c r="D7" s="352" t="s">
        <v>47</v>
      </c>
      <c r="E7" s="352"/>
      <c r="F7" s="352"/>
      <c r="G7" s="353"/>
    </row>
    <row r="8" spans="1:7" ht="15.95" customHeight="1">
      <c r="A8" s="102"/>
      <c r="B8" s="355" t="s">
        <v>30</v>
      </c>
      <c r="C8" s="356"/>
      <c r="D8" s="354" t="s">
        <v>52</v>
      </c>
      <c r="E8" s="356"/>
      <c r="F8" s="354" t="s">
        <v>227</v>
      </c>
      <c r="G8" s="356"/>
    </row>
    <row r="9" spans="1:7" ht="15.95" customHeight="1">
      <c r="A9" s="35" t="s">
        <v>81</v>
      </c>
      <c r="B9" s="187" t="s">
        <v>82</v>
      </c>
      <c r="C9" s="187" t="s">
        <v>83</v>
      </c>
      <c r="D9" s="187" t="s">
        <v>82</v>
      </c>
      <c r="E9" s="187" t="s">
        <v>83</v>
      </c>
      <c r="F9" s="187" t="s">
        <v>82</v>
      </c>
      <c r="G9" s="187" t="s">
        <v>83</v>
      </c>
    </row>
    <row r="10" spans="1:7" ht="5.0999999999999996" customHeight="1">
      <c r="A10" s="37"/>
    </row>
    <row r="11" spans="1:7" ht="14.1" customHeight="1">
      <c r="A11" s="357" t="s">
        <v>230</v>
      </c>
      <c r="B11" s="358">
        <v>61430</v>
      </c>
      <c r="C11" s="359">
        <f>B11/'- 3 -'!$D11*100</f>
        <v>0.35364852092248666</v>
      </c>
      <c r="D11" s="358">
        <v>1455350</v>
      </c>
      <c r="E11" s="359">
        <f>D11/'- 3 -'!$D11*100</f>
        <v>8.378355443993831</v>
      </c>
      <c r="F11" s="358">
        <v>260000</v>
      </c>
      <c r="G11" s="359">
        <f>F11/'- 3 -'!$D11*100</f>
        <v>1.4968031163901436</v>
      </c>
    </row>
    <row r="12" spans="1:7" ht="14.1" customHeight="1">
      <c r="A12" s="23" t="s">
        <v>231</v>
      </c>
      <c r="B12" s="24">
        <v>85721</v>
      </c>
      <c r="C12" s="350">
        <f>B12/'- 3 -'!$D12*100</f>
        <v>0.27244892397120501</v>
      </c>
      <c r="D12" s="24">
        <v>2419455</v>
      </c>
      <c r="E12" s="350">
        <f>D12/'- 3 -'!$D12*100</f>
        <v>7.6898065975286327</v>
      </c>
      <c r="F12" s="24">
        <v>553350</v>
      </c>
      <c r="G12" s="350">
        <f>F12/'- 3 -'!$D12*100</f>
        <v>1.7587243741844627</v>
      </c>
    </row>
    <row r="13" spans="1:7" ht="14.1" customHeight="1">
      <c r="A13" s="357" t="s">
        <v>232</v>
      </c>
      <c r="B13" s="358">
        <v>236800</v>
      </c>
      <c r="C13" s="359">
        <f>B13/'- 3 -'!$D13*100</f>
        <v>0.26529567359669454</v>
      </c>
      <c r="D13" s="358">
        <v>6224800</v>
      </c>
      <c r="E13" s="359">
        <f>D13/'- 3 -'!$D13*100</f>
        <v>6.9738703927563526</v>
      </c>
      <c r="F13" s="358">
        <v>708200</v>
      </c>
      <c r="G13" s="359">
        <f>F13/'- 3 -'!$D13*100</f>
        <v>0.79342228057930364</v>
      </c>
    </row>
    <row r="14" spans="1:7" ht="14.1" customHeight="1">
      <c r="A14" s="23" t="s">
        <v>566</v>
      </c>
      <c r="B14" s="24">
        <v>297133</v>
      </c>
      <c r="C14" s="350">
        <f>B14/'- 3 -'!$D14*100</f>
        <v>0.37185394068087846</v>
      </c>
      <c r="D14" s="24">
        <v>6652615</v>
      </c>
      <c r="E14" s="350">
        <f>D14/'- 3 -'!$D14*100</f>
        <v>8.3255683602384174</v>
      </c>
      <c r="F14" s="24">
        <v>640000</v>
      </c>
      <c r="G14" s="350">
        <f>F14/'- 3 -'!$D14*100</f>
        <v>0.80094274966349133</v>
      </c>
    </row>
    <row r="15" spans="1:7" ht="14.1" customHeight="1">
      <c r="A15" s="357" t="s">
        <v>233</v>
      </c>
      <c r="B15" s="358">
        <v>77250</v>
      </c>
      <c r="C15" s="359">
        <f>B15/'- 3 -'!$D15*100</f>
        <v>0.38960838532062525</v>
      </c>
      <c r="D15" s="358">
        <v>2023650</v>
      </c>
      <c r="E15" s="359">
        <f>D15/'- 3 -'!$D15*100</f>
        <v>10.206226653127292</v>
      </c>
      <c r="F15" s="358">
        <v>244000</v>
      </c>
      <c r="G15" s="359">
        <f>F15/'- 3 -'!$D15*100</f>
        <v>1.2306077154463761</v>
      </c>
    </row>
    <row r="16" spans="1:7" ht="14.1" customHeight="1">
      <c r="A16" s="23" t="s">
        <v>234</v>
      </c>
      <c r="B16" s="24">
        <v>63337</v>
      </c>
      <c r="C16" s="350">
        <f>B16/'- 3 -'!$D16*100</f>
        <v>0.46980384500812367</v>
      </c>
      <c r="D16" s="24">
        <v>1764466</v>
      </c>
      <c r="E16" s="350">
        <f>D16/'- 3 -'!$D16*100</f>
        <v>13.087972451901795</v>
      </c>
      <c r="F16" s="24">
        <v>100000</v>
      </c>
      <c r="G16" s="350">
        <f>F16/'- 3 -'!$D16*100</f>
        <v>0.74175260117802178</v>
      </c>
    </row>
    <row r="17" spans="1:7" ht="14.1" customHeight="1">
      <c r="A17" s="357" t="s">
        <v>235</v>
      </c>
      <c r="B17" s="358">
        <v>62790</v>
      </c>
      <c r="C17" s="359">
        <f>B17/'- 3 -'!$D17*100</f>
        <v>0.365852464793328</v>
      </c>
      <c r="D17" s="358">
        <v>1506240</v>
      </c>
      <c r="E17" s="359">
        <f>D17/'- 3 -'!$D17*100</f>
        <v>8.7762640001640779</v>
      </c>
      <c r="F17" s="358">
        <v>135530</v>
      </c>
      <c r="G17" s="359">
        <f>F17/'- 3 -'!$D17*100</f>
        <v>0.78967963932855145</v>
      </c>
    </row>
    <row r="18" spans="1:7" ht="14.1" customHeight="1">
      <c r="A18" s="23" t="s">
        <v>236</v>
      </c>
      <c r="B18" s="24">
        <v>906153</v>
      </c>
      <c r="C18" s="350">
        <f>B18/'- 3 -'!$D18*100</f>
        <v>0.73209486221380438</v>
      </c>
      <c r="D18" s="24">
        <v>15784694</v>
      </c>
      <c r="E18" s="350">
        <f>D18/'- 3 -'!$D18*100</f>
        <v>12.752695603299957</v>
      </c>
      <c r="F18" s="24">
        <v>1530811</v>
      </c>
      <c r="G18" s="350">
        <f>F18/'- 3 -'!$D18*100</f>
        <v>1.2367656103553992</v>
      </c>
    </row>
    <row r="19" spans="1:7" ht="14.1" customHeight="1">
      <c r="A19" s="357" t="s">
        <v>237</v>
      </c>
      <c r="B19" s="358">
        <v>173925</v>
      </c>
      <c r="C19" s="359">
        <f>B19/'- 3 -'!$D19*100</f>
        <v>0.40029026654256922</v>
      </c>
      <c r="D19" s="358">
        <v>3582725</v>
      </c>
      <c r="E19" s="359">
        <f>D19/'- 3 -'!$D19*100</f>
        <v>8.2456802943724377</v>
      </c>
      <c r="F19" s="358">
        <v>99200</v>
      </c>
      <c r="G19" s="359">
        <f>F19/'- 3 -'!$D19*100</f>
        <v>0.22830987173219991</v>
      </c>
    </row>
    <row r="20" spans="1:7" ht="14.1" customHeight="1">
      <c r="A20" s="23" t="s">
        <v>238</v>
      </c>
      <c r="B20" s="24">
        <v>273600</v>
      </c>
      <c r="C20" s="350">
        <f>B20/'- 3 -'!$D20*100</f>
        <v>0.36128541547822779</v>
      </c>
      <c r="D20" s="24">
        <v>7485700</v>
      </c>
      <c r="E20" s="350">
        <f>D20/'- 3 -'!$D20*100</f>
        <v>9.8847742494348321</v>
      </c>
      <c r="F20" s="24">
        <v>559500</v>
      </c>
      <c r="G20" s="350">
        <f>F20/'- 3 -'!$D20*100</f>
        <v>0.73881282880141985</v>
      </c>
    </row>
    <row r="21" spans="1:7" ht="14.1" customHeight="1">
      <c r="A21" s="357" t="s">
        <v>239</v>
      </c>
      <c r="B21" s="358">
        <v>115000</v>
      </c>
      <c r="C21" s="359">
        <f>B21/'- 3 -'!$D21*100</f>
        <v>0.33349085701466408</v>
      </c>
      <c r="D21" s="358">
        <v>2824000</v>
      </c>
      <c r="E21" s="359">
        <f>D21/'- 3 -'!$D21*100</f>
        <v>8.1893754800818375</v>
      </c>
      <c r="F21" s="358">
        <v>250000</v>
      </c>
      <c r="G21" s="359">
        <f>F21/'- 3 -'!$D21*100</f>
        <v>0.72498012394492195</v>
      </c>
    </row>
    <row r="22" spans="1:7" ht="14.1" customHeight="1">
      <c r="A22" s="23" t="s">
        <v>240</v>
      </c>
      <c r="B22" s="24">
        <v>93590</v>
      </c>
      <c r="C22" s="350">
        <f>B22/'- 3 -'!$D22*100</f>
        <v>0.48233444304441425</v>
      </c>
      <c r="D22" s="24">
        <v>2199540</v>
      </c>
      <c r="E22" s="350">
        <f>D22/'- 3 -'!$D22*100</f>
        <v>11.335761308408065</v>
      </c>
      <c r="F22" s="24">
        <v>277000</v>
      </c>
      <c r="G22" s="350">
        <f>F22/'- 3 -'!$D22*100</f>
        <v>1.4275738938273612</v>
      </c>
    </row>
    <row r="23" spans="1:7" ht="14.1" customHeight="1">
      <c r="A23" s="357" t="s">
        <v>241</v>
      </c>
      <c r="B23" s="358">
        <v>63000</v>
      </c>
      <c r="C23" s="359">
        <f>B23/'- 3 -'!$D23*100</f>
        <v>0.38664823847972368</v>
      </c>
      <c r="D23" s="358">
        <v>1163000</v>
      </c>
      <c r="E23" s="359">
        <f>D23/'- 3 -'!$D23*100</f>
        <v>7.1376492278082324</v>
      </c>
      <c r="F23" s="358">
        <v>130382</v>
      </c>
      <c r="G23" s="359">
        <f>F23/'- 3 -'!$D23*100</f>
        <v>0.80019000999148149</v>
      </c>
    </row>
    <row r="24" spans="1:7" ht="14.1" customHeight="1">
      <c r="A24" s="23" t="s">
        <v>242</v>
      </c>
      <c r="B24" s="24">
        <v>235755</v>
      </c>
      <c r="C24" s="350">
        <f>B24/'- 3 -'!$D24*100</f>
        <v>0.43393011585439889</v>
      </c>
      <c r="D24" s="24">
        <v>4916310</v>
      </c>
      <c r="E24" s="350">
        <f>D24/'- 3 -'!$D24*100</f>
        <v>9.0489489846499112</v>
      </c>
      <c r="F24" s="24">
        <v>367850</v>
      </c>
      <c r="G24" s="350">
        <f>F24/'- 3 -'!$D24*100</f>
        <v>0.67706387188836137</v>
      </c>
    </row>
    <row r="25" spans="1:7" ht="14.1" customHeight="1">
      <c r="A25" s="357" t="s">
        <v>243</v>
      </c>
      <c r="B25" s="358">
        <v>595024</v>
      </c>
      <c r="C25" s="359">
        <f>B25/'- 3 -'!$D25*100</f>
        <v>0.37421620040611325</v>
      </c>
      <c r="D25" s="358">
        <v>15109287</v>
      </c>
      <c r="E25" s="359">
        <f>D25/'- 3 -'!$D25*100</f>
        <v>9.5023729664441792</v>
      </c>
      <c r="F25" s="358">
        <v>499420</v>
      </c>
      <c r="G25" s="359">
        <f>F25/'- 3 -'!$D25*100</f>
        <v>0.31408994394649808</v>
      </c>
    </row>
    <row r="26" spans="1:7" ht="14.1" customHeight="1">
      <c r="A26" s="23" t="s">
        <v>244</v>
      </c>
      <c r="B26" s="24">
        <v>159519</v>
      </c>
      <c r="C26" s="350">
        <f>B26/'- 3 -'!$D26*100</f>
        <v>0.40987700837652846</v>
      </c>
      <c r="D26" s="24">
        <v>4216190</v>
      </c>
      <c r="E26" s="350">
        <f>D26/'- 3 -'!$D26*100</f>
        <v>10.833313548524224</v>
      </c>
      <c r="F26" s="24">
        <v>220901</v>
      </c>
      <c r="G26" s="350">
        <f>F26/'- 3 -'!$D26*100</f>
        <v>0.56759533991175659</v>
      </c>
    </row>
    <row r="27" spans="1:7" ht="14.1" customHeight="1">
      <c r="A27" s="357" t="s">
        <v>245</v>
      </c>
      <c r="B27" s="358">
        <v>201013</v>
      </c>
      <c r="C27" s="359">
        <f>B27/'- 3 -'!$D27*100</f>
        <v>0.51421419964653514</v>
      </c>
      <c r="D27" s="358">
        <v>4035402</v>
      </c>
      <c r="E27" s="359">
        <f>D27/'- 3 -'!$D27*100</f>
        <v>10.32301895739095</v>
      </c>
      <c r="F27" s="358">
        <v>439000</v>
      </c>
      <c r="G27" s="359">
        <f>F27/'- 3 -'!$D27*100</f>
        <v>1.1230121118774852</v>
      </c>
    </row>
    <row r="28" spans="1:7" ht="14.1" customHeight="1">
      <c r="A28" s="23" t="s">
        <v>246</v>
      </c>
      <c r="B28" s="24">
        <v>54164</v>
      </c>
      <c r="C28" s="350">
        <f>B28/'- 3 -'!$D28*100</f>
        <v>0.19804102312810118</v>
      </c>
      <c r="D28" s="24">
        <v>2597495</v>
      </c>
      <c r="E28" s="350">
        <f>D28/'- 3 -'!$D28*100</f>
        <v>9.4972780328285786</v>
      </c>
      <c r="F28" s="24">
        <v>187126</v>
      </c>
      <c r="G28" s="350">
        <f>F28/'- 3 -'!$D28*100</f>
        <v>0.68419290476827888</v>
      </c>
    </row>
    <row r="29" spans="1:7" ht="14.1" customHeight="1">
      <c r="A29" s="357" t="s">
        <v>247</v>
      </c>
      <c r="B29" s="358">
        <v>950426</v>
      </c>
      <c r="C29" s="359">
        <f>B29/'- 3 -'!$D29*100</f>
        <v>0.64619334136103257</v>
      </c>
      <c r="D29" s="358">
        <v>13290427</v>
      </c>
      <c r="E29" s="359">
        <f>D29/'- 3 -'!$D29*100</f>
        <v>9.0361431939413297</v>
      </c>
      <c r="F29" s="358">
        <v>2261700</v>
      </c>
      <c r="G29" s="359">
        <f>F29/'- 3 -'!$D29*100</f>
        <v>1.5377267458552768</v>
      </c>
    </row>
    <row r="30" spans="1:7" ht="14.1" customHeight="1">
      <c r="A30" s="23" t="s">
        <v>248</v>
      </c>
      <c r="B30" s="24">
        <v>62843</v>
      </c>
      <c r="C30" s="350">
        <f>B30/'- 3 -'!$D30*100</f>
        <v>0.46896343804534263</v>
      </c>
      <c r="D30" s="24">
        <v>1081400</v>
      </c>
      <c r="E30" s="350">
        <f>D30/'- 3 -'!$D30*100</f>
        <v>8.0699053498756204</v>
      </c>
      <c r="F30" s="24">
        <v>254000</v>
      </c>
      <c r="G30" s="350">
        <f>F30/'- 3 -'!$D30*100</f>
        <v>1.8954650997488509</v>
      </c>
    </row>
    <row r="31" spans="1:7" ht="14.1" customHeight="1">
      <c r="A31" s="357" t="s">
        <v>249</v>
      </c>
      <c r="B31" s="358">
        <v>104686</v>
      </c>
      <c r="C31" s="359">
        <f>B31/'- 3 -'!$D31*100</f>
        <v>0.29931105791474266</v>
      </c>
      <c r="D31" s="358">
        <v>3621931</v>
      </c>
      <c r="E31" s="359">
        <f>D31/'- 3 -'!$D31*100</f>
        <v>10.355577625510591</v>
      </c>
      <c r="F31" s="358">
        <v>128280</v>
      </c>
      <c r="G31" s="359">
        <f>F31/'- 3 -'!$D31*100</f>
        <v>0.36676941051624085</v>
      </c>
    </row>
    <row r="32" spans="1:7" ht="14.1" customHeight="1">
      <c r="A32" s="23" t="s">
        <v>250</v>
      </c>
      <c r="B32" s="24">
        <v>83375</v>
      </c>
      <c r="C32" s="350">
        <f>B32/'- 3 -'!$D32*100</f>
        <v>0.31323168008869895</v>
      </c>
      <c r="D32" s="24">
        <v>2054025</v>
      </c>
      <c r="E32" s="350">
        <f>D32/'- 3 -'!$D32*100</f>
        <v>7.7167700353126216</v>
      </c>
      <c r="F32" s="24">
        <v>405000</v>
      </c>
      <c r="G32" s="350">
        <f>F32/'- 3 -'!$D32*100</f>
        <v>1.5215451926347596</v>
      </c>
    </row>
    <row r="33" spans="1:7" ht="14.1" customHeight="1">
      <c r="A33" s="357" t="s">
        <v>251</v>
      </c>
      <c r="B33" s="358">
        <v>105800</v>
      </c>
      <c r="C33" s="359">
        <f>B33/'- 3 -'!$D33*100</f>
        <v>0.39039547430540966</v>
      </c>
      <c r="D33" s="358">
        <v>2668700</v>
      </c>
      <c r="E33" s="359">
        <f>D33/'- 3 -'!$D33*100</f>
        <v>9.8473383958303096</v>
      </c>
      <c r="F33" s="358">
        <v>395300</v>
      </c>
      <c r="G33" s="359">
        <f>F33/'- 3 -'!$D33*100</f>
        <v>1.4586326180806093</v>
      </c>
    </row>
    <row r="34" spans="1:7" ht="14.1" customHeight="1">
      <c r="A34" s="23" t="s">
        <v>252</v>
      </c>
      <c r="B34" s="24">
        <v>64844</v>
      </c>
      <c r="C34" s="350">
        <f>B34/'- 3 -'!$D34*100</f>
        <v>0.24624550978087664</v>
      </c>
      <c r="D34" s="24">
        <v>2103487</v>
      </c>
      <c r="E34" s="350">
        <f>D34/'- 3 -'!$D34*100</f>
        <v>7.9880054998526751</v>
      </c>
      <c r="F34" s="24">
        <v>482052</v>
      </c>
      <c r="G34" s="350">
        <f>F34/'- 3 -'!$D34*100</f>
        <v>1.8305955906620683</v>
      </c>
    </row>
    <row r="35" spans="1:7" ht="14.1" customHeight="1">
      <c r="A35" s="357" t="s">
        <v>253</v>
      </c>
      <c r="B35" s="358">
        <v>820350</v>
      </c>
      <c r="C35" s="359">
        <f>B35/'- 3 -'!$D35*100</f>
        <v>0.48127441535586585</v>
      </c>
      <c r="D35" s="358">
        <v>18068225</v>
      </c>
      <c r="E35" s="359">
        <f>D35/'- 3 -'!$D35*100</f>
        <v>10.600078531594125</v>
      </c>
      <c r="F35" s="358">
        <v>647500</v>
      </c>
      <c r="G35" s="359">
        <f>F35/'- 3 -'!$D35*100</f>
        <v>0.37986857310041217</v>
      </c>
    </row>
    <row r="36" spans="1:7" ht="14.1" customHeight="1">
      <c r="A36" s="23" t="s">
        <v>254</v>
      </c>
      <c r="B36" s="24">
        <v>53250</v>
      </c>
      <c r="C36" s="350">
        <f>B36/'- 3 -'!$D36*100</f>
        <v>0.24072067022059282</v>
      </c>
      <c r="D36" s="24">
        <v>2158225</v>
      </c>
      <c r="E36" s="350">
        <f>D36/'- 3 -'!$D36*100</f>
        <v>9.7564200654805422</v>
      </c>
      <c r="F36" s="24">
        <v>155000</v>
      </c>
      <c r="G36" s="350">
        <f>F36/'- 3 -'!$D36*100</f>
        <v>0.70068927482050491</v>
      </c>
    </row>
    <row r="37" spans="1:7" ht="14.1" customHeight="1">
      <c r="A37" s="357" t="s">
        <v>255</v>
      </c>
      <c r="B37" s="358">
        <v>112940</v>
      </c>
      <c r="C37" s="359">
        <f>B37/'- 3 -'!$D37*100</f>
        <v>0.2526483447775234</v>
      </c>
      <c r="D37" s="358">
        <v>3786097</v>
      </c>
      <c r="E37" s="359">
        <f>D37/'- 3 -'!$D37*100</f>
        <v>8.469551445166875</v>
      </c>
      <c r="F37" s="358">
        <v>420000</v>
      </c>
      <c r="G37" s="359">
        <f>F37/'- 3 -'!$D37*100</f>
        <v>0.9395458190770305</v>
      </c>
    </row>
    <row r="38" spans="1:7" ht="14.1" customHeight="1">
      <c r="A38" s="23" t="s">
        <v>256</v>
      </c>
      <c r="B38" s="24">
        <v>566420</v>
      </c>
      <c r="C38" s="350">
        <f>B38/'- 3 -'!$D38*100</f>
        <v>0.46326991827754083</v>
      </c>
      <c r="D38" s="24">
        <v>10318850</v>
      </c>
      <c r="E38" s="350">
        <f>D38/'- 3 -'!$D38*100</f>
        <v>8.4396963317294631</v>
      </c>
      <c r="F38" s="24">
        <v>815160</v>
      </c>
      <c r="G38" s="350">
        <f>F38/'- 3 -'!$D38*100</f>
        <v>0.66671216867893113</v>
      </c>
    </row>
    <row r="39" spans="1:7" ht="14.1" customHeight="1">
      <c r="A39" s="357" t="s">
        <v>257</v>
      </c>
      <c r="B39" s="358">
        <v>77300</v>
      </c>
      <c r="C39" s="359">
        <f>B39/'- 3 -'!$D39*100</f>
        <v>0.37059992889083898</v>
      </c>
      <c r="D39" s="358">
        <v>2007030</v>
      </c>
      <c r="E39" s="359">
        <f>D39/'- 3 -'!$D39*100</f>
        <v>9.6223179208509784</v>
      </c>
      <c r="F39" s="358">
        <v>160200</v>
      </c>
      <c r="G39" s="359">
        <f>F39/'- 3 -'!$D39*100</f>
        <v>0.76804797682163528</v>
      </c>
    </row>
    <row r="40" spans="1:7" ht="14.1" customHeight="1">
      <c r="A40" s="23" t="s">
        <v>258</v>
      </c>
      <c r="B40" s="24">
        <v>457413</v>
      </c>
      <c r="C40" s="350">
        <f>B40/'- 3 -'!$D40*100</f>
        <v>0.46079313421221968</v>
      </c>
      <c r="D40" s="24">
        <v>8177559</v>
      </c>
      <c r="E40" s="350">
        <f>D40/'- 3 -'!$D40*100</f>
        <v>8.2379885176314289</v>
      </c>
      <c r="F40" s="24">
        <v>697183</v>
      </c>
      <c r="G40" s="350">
        <f>F40/'- 3 -'!$D40*100</f>
        <v>0.70233495700707671</v>
      </c>
    </row>
    <row r="41" spans="1:7" ht="14.1" customHeight="1">
      <c r="A41" s="357" t="s">
        <v>259</v>
      </c>
      <c r="B41" s="358">
        <v>160524</v>
      </c>
      <c r="C41" s="359">
        <f>B41/'- 3 -'!$D41*100</f>
        <v>0.27031681142423469</v>
      </c>
      <c r="D41" s="358">
        <v>4501648</v>
      </c>
      <c r="E41" s="359">
        <f>D41/'- 3 -'!$D41*100</f>
        <v>7.5806180603167332</v>
      </c>
      <c r="F41" s="358">
        <v>425540</v>
      </c>
      <c r="G41" s="359">
        <f>F41/'- 3 -'!$D41*100</f>
        <v>0.71659450258820379</v>
      </c>
    </row>
    <row r="42" spans="1:7" ht="14.1" customHeight="1">
      <c r="A42" s="23" t="s">
        <v>260</v>
      </c>
      <c r="B42" s="24">
        <v>52454</v>
      </c>
      <c r="C42" s="350">
        <f>B42/'- 3 -'!$D42*100</f>
        <v>0.25760573896907807</v>
      </c>
      <c r="D42" s="24">
        <v>1878260</v>
      </c>
      <c r="E42" s="350">
        <f>D42/'- 3 -'!$D42*100</f>
        <v>9.2242832820387513</v>
      </c>
      <c r="F42" s="24">
        <v>96979</v>
      </c>
      <c r="G42" s="350">
        <f>F42/'- 3 -'!$D42*100</f>
        <v>0.47627153238041381</v>
      </c>
    </row>
    <row r="43" spans="1:7" ht="14.1" customHeight="1">
      <c r="A43" s="357" t="s">
        <v>261</v>
      </c>
      <c r="B43" s="358">
        <v>15665</v>
      </c>
      <c r="C43" s="359">
        <f>B43/'- 3 -'!$D43*100</f>
        <v>0.125885528146646</v>
      </c>
      <c r="D43" s="358">
        <v>844513</v>
      </c>
      <c r="E43" s="359">
        <f>D43/'- 3 -'!$D43*100</f>
        <v>6.7865920862884428</v>
      </c>
      <c r="F43" s="358">
        <v>125783</v>
      </c>
      <c r="G43" s="359">
        <f>F43/'- 3 -'!$D43*100</f>
        <v>1.0108049401129635</v>
      </c>
    </row>
    <row r="44" spans="1:7" ht="14.1" customHeight="1">
      <c r="A44" s="23" t="s">
        <v>262</v>
      </c>
      <c r="B44" s="24">
        <v>30629</v>
      </c>
      <c r="C44" s="350">
        <f>B44/'- 3 -'!$D44*100</f>
        <v>0.28453652800035822</v>
      </c>
      <c r="D44" s="24">
        <v>999781</v>
      </c>
      <c r="E44" s="350">
        <f>D44/'- 3 -'!$D44*100</f>
        <v>9.2877408501983787</v>
      </c>
      <c r="F44" s="24">
        <v>53940</v>
      </c>
      <c r="G44" s="350">
        <f>F44/'- 3 -'!$D44*100</f>
        <v>0.50109048027488079</v>
      </c>
    </row>
    <row r="45" spans="1:7" ht="14.1" customHeight="1">
      <c r="A45" s="357" t="s">
        <v>263</v>
      </c>
      <c r="B45" s="358">
        <v>51827</v>
      </c>
      <c r="C45" s="359">
        <f>B45/'- 3 -'!$D45*100</f>
        <v>0.2951840915099731</v>
      </c>
      <c r="D45" s="358">
        <v>1426871</v>
      </c>
      <c r="E45" s="359">
        <f>D45/'- 3 -'!$D45*100</f>
        <v>8.1268377455173333</v>
      </c>
      <c r="F45" s="358">
        <v>138700</v>
      </c>
      <c r="G45" s="359">
        <f>F45/'- 3 -'!$D45*100</f>
        <v>0.78997498393565646</v>
      </c>
    </row>
    <row r="46" spans="1:7" ht="14.1" customHeight="1">
      <c r="A46" s="23" t="s">
        <v>264</v>
      </c>
      <c r="B46" s="24">
        <v>1050500</v>
      </c>
      <c r="C46" s="350">
        <f>B46/'- 3 -'!$D46*100</f>
        <v>0.28413862719253996</v>
      </c>
      <c r="D46" s="24">
        <v>37736900</v>
      </c>
      <c r="E46" s="350">
        <f>D46/'- 3 -'!$D46*100</f>
        <v>10.207054698240992</v>
      </c>
      <c r="F46" s="24">
        <v>4783100</v>
      </c>
      <c r="G46" s="350">
        <f>F46/'- 3 -'!$D46*100</f>
        <v>1.2937300977864234</v>
      </c>
    </row>
    <row r="47" spans="1:7" ht="5.0999999999999996" customHeight="1">
      <c r="A47"/>
      <c r="B47"/>
      <c r="C47"/>
      <c r="D47"/>
      <c r="E47"/>
      <c r="F47"/>
      <c r="G47"/>
    </row>
    <row r="48" spans="1:7" ht="14.1" customHeight="1">
      <c r="A48" s="360" t="s">
        <v>265</v>
      </c>
      <c r="B48" s="361">
        <f>SUM(B11:B46)</f>
        <v>8576450</v>
      </c>
      <c r="C48" s="362">
        <f>B48/'- 3 -'!$D48*100</f>
        <v>0.3997035674989895</v>
      </c>
      <c r="D48" s="361">
        <f>SUM(D11:D46)</f>
        <v>202684848</v>
      </c>
      <c r="E48" s="362">
        <f>D48/'- 3 -'!$D48*100</f>
        <v>9.4460827992456586</v>
      </c>
      <c r="F48" s="361">
        <f>SUM(F11:F46)</f>
        <v>19647687</v>
      </c>
      <c r="G48" s="362">
        <f>F48/'- 3 -'!$D48*100</f>
        <v>0.91567613488139254</v>
      </c>
    </row>
    <row r="49" spans="1:7" ht="5.0999999999999996" customHeight="1">
      <c r="A49" s="25" t="s">
        <v>3</v>
      </c>
      <c r="B49" s="26"/>
      <c r="C49" s="349"/>
      <c r="D49" s="26"/>
      <c r="E49" s="349"/>
      <c r="F49" s="26"/>
      <c r="G49" s="349"/>
    </row>
    <row r="50" spans="1:7" ht="14.1" customHeight="1">
      <c r="A50" s="23" t="s">
        <v>266</v>
      </c>
      <c r="B50" s="24">
        <v>12520</v>
      </c>
      <c r="C50" s="350">
        <f>B50/'- 3 -'!$D50*100</f>
        <v>0.37223484807942275</v>
      </c>
      <c r="D50" s="24">
        <v>394485</v>
      </c>
      <c r="E50" s="350">
        <f>D50/'- 3 -'!$D50*100</f>
        <v>11.728519492381078</v>
      </c>
      <c r="F50" s="24">
        <v>25000</v>
      </c>
      <c r="G50" s="350">
        <f>F50/'- 3 -'!$D50*100</f>
        <v>0.74328044744293686</v>
      </c>
    </row>
    <row r="51" spans="1:7" ht="14.1" customHeight="1">
      <c r="A51" s="511" t="s">
        <v>691</v>
      </c>
      <c r="B51" s="358">
        <v>112683</v>
      </c>
      <c r="C51" s="359">
        <f>B51/'- 3 -'!$D51*100</f>
        <v>0.50053966049318277</v>
      </c>
      <c r="D51" s="358">
        <v>1948232</v>
      </c>
      <c r="E51" s="359">
        <f>D51/'- 3 -'!$D51*100</f>
        <v>8.6540772240884127</v>
      </c>
      <c r="F51" s="358">
        <v>45000</v>
      </c>
      <c r="G51" s="359">
        <f>F51/'- 3 -'!$D51*100</f>
        <v>0.19989070864454467</v>
      </c>
    </row>
    <row r="52" spans="1:7" ht="50.1" customHeight="1"/>
    <row r="53" spans="1:7" ht="15" customHeight="1"/>
    <row r="54" spans="1:7" ht="14.45" customHeight="1"/>
    <row r="55" spans="1:7" ht="14.45" customHeight="1"/>
    <row r="56" spans="1:7" ht="14.45" customHeight="1"/>
    <row r="57" spans="1:7" ht="14.45" customHeight="1"/>
    <row r="58" spans="1:7" ht="14.45" customHeight="1"/>
    <row r="59" spans="1:7"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29.xml><?xml version="1.0" encoding="utf-8"?>
<worksheet xmlns="http://schemas.openxmlformats.org/spreadsheetml/2006/main" xmlns:r="http://schemas.openxmlformats.org/officeDocument/2006/relationships">
  <sheetPr codeName="Sheet30">
    <pageSetUpPr fitToPage="1"/>
  </sheetPr>
  <dimension ref="A1:F59"/>
  <sheetViews>
    <sheetView showGridLines="0" showZeros="0" workbookViewId="0"/>
  </sheetViews>
  <sheetFormatPr defaultColWidth="15.83203125" defaultRowHeight="12"/>
  <cols>
    <col min="1" max="1" width="35.83203125" style="1" customWidth="1"/>
    <col min="2" max="2" width="19.83203125" style="1" customWidth="1"/>
    <col min="3" max="3" width="10.1640625" style="1" customWidth="1"/>
    <col min="4" max="4" width="19.83203125" style="1" customWidth="1"/>
    <col min="5" max="5" width="11.1640625" style="1" customWidth="1"/>
    <col min="6" max="6" width="25.83203125" style="1" customWidth="1"/>
    <col min="7" max="16384" width="15.83203125" style="1"/>
  </cols>
  <sheetData>
    <row r="1" spans="1:6" ht="6.95" customHeight="1">
      <c r="A1" s="3"/>
      <c r="B1" s="3"/>
      <c r="C1" s="3"/>
      <c r="D1" s="4"/>
      <c r="E1" s="4"/>
      <c r="F1" s="4"/>
    </row>
    <row r="2" spans="1:6" ht="15.95" customHeight="1">
      <c r="A2" s="159"/>
      <c r="B2" s="5" t="s">
        <v>474</v>
      </c>
      <c r="C2" s="188"/>
      <c r="D2" s="160"/>
      <c r="E2" s="6"/>
      <c r="F2" s="182" t="s">
        <v>438</v>
      </c>
    </row>
    <row r="3" spans="1:6" ht="15.95" customHeight="1">
      <c r="A3" s="162"/>
      <c r="B3" s="7" t="str">
        <f>OPYEAR</f>
        <v>OPERATING FUND 2014/2015 BUDGET</v>
      </c>
      <c r="C3" s="189"/>
      <c r="D3" s="175"/>
      <c r="E3" s="8"/>
      <c r="F3" s="101"/>
    </row>
    <row r="4" spans="1:6" ht="15.95" customHeight="1">
      <c r="D4" s="4"/>
      <c r="E4" s="4"/>
      <c r="F4" s="4"/>
    </row>
    <row r="5" spans="1:6" ht="15.95" customHeight="1">
      <c r="D5" s="4"/>
      <c r="E5" s="4"/>
      <c r="F5" s="4"/>
    </row>
    <row r="6" spans="1:6" ht="15.95" customHeight="1">
      <c r="B6" s="183" t="s">
        <v>394</v>
      </c>
      <c r="C6" s="185"/>
      <c r="D6" s="72"/>
      <c r="E6" s="190"/>
      <c r="F6" s="75"/>
    </row>
    <row r="7" spans="1:6" ht="15.95" customHeight="1">
      <c r="B7" s="438"/>
      <c r="C7" s="353"/>
      <c r="D7" s="438"/>
      <c r="E7" s="353"/>
      <c r="F7" s="4"/>
    </row>
    <row r="8" spans="1:6" ht="15.95" customHeight="1">
      <c r="A8" s="102"/>
      <c r="B8" s="355" t="s">
        <v>65</v>
      </c>
      <c r="C8" s="356"/>
      <c r="D8" s="354" t="s">
        <v>66</v>
      </c>
      <c r="E8" s="356"/>
      <c r="F8" s="4"/>
    </row>
    <row r="9" spans="1:6" ht="15.95" customHeight="1">
      <c r="A9" s="35" t="s">
        <v>81</v>
      </c>
      <c r="B9" s="187" t="s">
        <v>82</v>
      </c>
      <c r="C9" s="187" t="s">
        <v>83</v>
      </c>
      <c r="D9" s="191" t="s">
        <v>82</v>
      </c>
      <c r="E9" s="187" t="s">
        <v>83</v>
      </c>
    </row>
    <row r="10" spans="1:6" ht="5.0999999999999996" customHeight="1">
      <c r="A10" s="37"/>
    </row>
    <row r="11" spans="1:6" ht="14.1" customHeight="1">
      <c r="A11" s="357" t="s">
        <v>230</v>
      </c>
      <c r="B11" s="358">
        <v>58615</v>
      </c>
      <c r="C11" s="359">
        <f>B11/'- 3 -'!$D11*100</f>
        <v>0.33744274872003183</v>
      </c>
      <c r="D11" s="358">
        <v>29500</v>
      </c>
      <c r="E11" s="359">
        <f>D11/'- 3 -'!$D11*100</f>
        <v>0.16982958435965093</v>
      </c>
    </row>
    <row r="12" spans="1:6" ht="14.1" customHeight="1">
      <c r="A12" s="23" t="s">
        <v>231</v>
      </c>
      <c r="B12" s="24">
        <v>234017</v>
      </c>
      <c r="C12" s="350">
        <f>B12/'- 3 -'!$D12*100</f>
        <v>0.74378133527338097</v>
      </c>
      <c r="D12" s="24">
        <v>86901</v>
      </c>
      <c r="E12" s="350">
        <f>D12/'- 3 -'!$D12*100</f>
        <v>0.27619934370832921</v>
      </c>
    </row>
    <row r="13" spans="1:6" ht="14.1" customHeight="1">
      <c r="A13" s="357" t="s">
        <v>232</v>
      </c>
      <c r="B13" s="358">
        <v>229000</v>
      </c>
      <c r="C13" s="359">
        <f>B13/'- 3 -'!$D13*100</f>
        <v>0.25655704921301964</v>
      </c>
      <c r="D13" s="358">
        <v>161800</v>
      </c>
      <c r="E13" s="359">
        <f>D13/'- 3 -'!$D13*100</f>
        <v>0.181270439138282</v>
      </c>
    </row>
    <row r="14" spans="1:6" ht="14.1" customHeight="1">
      <c r="A14" s="23" t="s">
        <v>566</v>
      </c>
      <c r="B14" s="24">
        <v>120301</v>
      </c>
      <c r="C14" s="350">
        <f>B14/'- 3 -'!$D14*100</f>
        <v>0.15055345894885575</v>
      </c>
      <c r="D14" s="24">
        <v>400000</v>
      </c>
      <c r="E14" s="350">
        <f>D14/'- 3 -'!$D14*100</f>
        <v>0.50058921853968219</v>
      </c>
    </row>
    <row r="15" spans="1:6" ht="14.1" customHeight="1">
      <c r="A15" s="357" t="s">
        <v>233</v>
      </c>
      <c r="B15" s="358">
        <v>125500</v>
      </c>
      <c r="C15" s="359">
        <f>B15/'- 3 -'!$D15*100</f>
        <v>0.63295601757590247</v>
      </c>
      <c r="D15" s="358">
        <v>85000</v>
      </c>
      <c r="E15" s="359">
        <f>D15/'- 3 -'!$D15*100</f>
        <v>0.42869531070877864</v>
      </c>
    </row>
    <row r="16" spans="1:6" ht="14.1" customHeight="1">
      <c r="A16" s="23" t="s">
        <v>234</v>
      </c>
      <c r="B16" s="24">
        <v>7716</v>
      </c>
      <c r="C16" s="350">
        <f>B16/'- 3 -'!$D16*100</f>
        <v>5.723363070689616E-2</v>
      </c>
      <c r="D16" s="24">
        <v>43000</v>
      </c>
      <c r="E16" s="350">
        <f>D16/'- 3 -'!$D16*100</f>
        <v>0.31895361850654941</v>
      </c>
    </row>
    <row r="17" spans="1:5" ht="14.1" customHeight="1">
      <c r="A17" s="357" t="s">
        <v>235</v>
      </c>
      <c r="B17" s="358">
        <v>64750</v>
      </c>
      <c r="C17" s="359">
        <f>B17/'- 3 -'!$D17*100</f>
        <v>0.37727260862188228</v>
      </c>
      <c r="D17" s="358">
        <v>56238</v>
      </c>
      <c r="E17" s="359">
        <f>D17/'- 3 -'!$D17*100</f>
        <v>0.32767655542358948</v>
      </c>
    </row>
    <row r="18" spans="1:5" ht="14.1" customHeight="1">
      <c r="A18" s="23" t="s">
        <v>236</v>
      </c>
      <c r="B18" s="24">
        <v>3032013</v>
      </c>
      <c r="C18" s="350">
        <f>B18/'- 3 -'!$D18*100</f>
        <v>2.4496096569403445</v>
      </c>
      <c r="D18" s="24">
        <v>68250</v>
      </c>
      <c r="E18" s="350">
        <f>D18/'- 3 -'!$D18*100</f>
        <v>5.5140218424584088E-2</v>
      </c>
    </row>
    <row r="19" spans="1:5" ht="14.1" customHeight="1">
      <c r="A19" s="357" t="s">
        <v>237</v>
      </c>
      <c r="B19" s="358">
        <v>106400</v>
      </c>
      <c r="C19" s="359">
        <f>B19/'- 3 -'!$D19*100</f>
        <v>0.2448807495192144</v>
      </c>
      <c r="D19" s="358">
        <v>22000</v>
      </c>
      <c r="E19" s="359">
        <f>D19/'- 3 -'!$D19*100</f>
        <v>5.0633237682544331E-2</v>
      </c>
    </row>
    <row r="20" spans="1:5" ht="14.1" customHeight="1">
      <c r="A20" s="23" t="s">
        <v>238</v>
      </c>
      <c r="B20" s="24">
        <v>419200</v>
      </c>
      <c r="C20" s="350">
        <f>B20/'- 3 -'!$D20*100</f>
        <v>0.55354841435845425</v>
      </c>
      <c r="D20" s="24">
        <v>493200</v>
      </c>
      <c r="E20" s="350">
        <f>D20/'- 3 -'!$D20*100</f>
        <v>0.65126449895417382</v>
      </c>
    </row>
    <row r="21" spans="1:5" ht="14.1" customHeight="1">
      <c r="A21" s="357" t="s">
        <v>239</v>
      </c>
      <c r="B21" s="358">
        <v>153000</v>
      </c>
      <c r="C21" s="359">
        <f>B21/'- 3 -'!$D21*100</f>
        <v>0.44368783585429217</v>
      </c>
      <c r="D21" s="358">
        <v>156000</v>
      </c>
      <c r="E21" s="359">
        <f>D21/'- 3 -'!$D21*100</f>
        <v>0.45238759734163131</v>
      </c>
    </row>
    <row r="22" spans="1:5" ht="14.1" customHeight="1">
      <c r="A22" s="23" t="s">
        <v>240</v>
      </c>
      <c r="B22" s="24">
        <v>60065</v>
      </c>
      <c r="C22" s="350">
        <f>B22/'- 3 -'!$D22*100</f>
        <v>0.30955677232036266</v>
      </c>
      <c r="D22" s="24">
        <v>36500</v>
      </c>
      <c r="E22" s="350">
        <f>D22/'- 3 -'!$D22*100</f>
        <v>0.18810991741768476</v>
      </c>
    </row>
    <row r="23" spans="1:5" ht="14.1" customHeight="1">
      <c r="A23" s="357" t="s">
        <v>241</v>
      </c>
      <c r="B23" s="358">
        <v>45000</v>
      </c>
      <c r="C23" s="359">
        <f>B23/'- 3 -'!$D23*100</f>
        <v>0.2761773131998026</v>
      </c>
      <c r="D23" s="358">
        <v>7700</v>
      </c>
      <c r="E23" s="359">
        <f>D23/'- 3 -'!$D23*100</f>
        <v>4.7257006925299563E-2</v>
      </c>
    </row>
    <row r="24" spans="1:5" ht="14.1" customHeight="1">
      <c r="A24" s="23" t="s">
        <v>242</v>
      </c>
      <c r="B24" s="24">
        <v>199865</v>
      </c>
      <c r="C24" s="350">
        <f>B24/'- 3 -'!$D24*100</f>
        <v>0.36787106362638944</v>
      </c>
      <c r="D24" s="24">
        <v>381450</v>
      </c>
      <c r="E24" s="350">
        <f>D24/'- 3 -'!$D24*100</f>
        <v>0.70209600090204016</v>
      </c>
    </row>
    <row r="25" spans="1:5" ht="14.1" customHeight="1">
      <c r="A25" s="357" t="s">
        <v>243</v>
      </c>
      <c r="B25" s="358">
        <v>222000</v>
      </c>
      <c r="C25" s="359">
        <f>B25/'- 3 -'!$D25*100</f>
        <v>0.13961789186681065</v>
      </c>
      <c r="D25" s="358">
        <v>360000</v>
      </c>
      <c r="E25" s="359">
        <f>D25/'- 3 -'!$D25*100</f>
        <v>0.22640739221644968</v>
      </c>
    </row>
    <row r="26" spans="1:5" ht="14.1" customHeight="1">
      <c r="A26" s="23" t="s">
        <v>244</v>
      </c>
      <c r="B26" s="24">
        <v>235271</v>
      </c>
      <c r="C26" s="350">
        <f>B26/'- 3 -'!$D26*100</f>
        <v>0.60451841873227785</v>
      </c>
      <c r="D26" s="24">
        <v>94000</v>
      </c>
      <c r="E26" s="350">
        <f>D26/'- 3 -'!$D26*100</f>
        <v>0.2415288384919268</v>
      </c>
    </row>
    <row r="27" spans="1:5" ht="14.1" customHeight="1">
      <c r="A27" s="357" t="s">
        <v>245</v>
      </c>
      <c r="B27" s="358">
        <v>165660</v>
      </c>
      <c r="C27" s="359">
        <f>B27/'- 3 -'!$D27*100</f>
        <v>0.42377719009937176</v>
      </c>
      <c r="D27" s="358">
        <v>156480</v>
      </c>
      <c r="E27" s="359">
        <f>D27/'- 3 -'!$D27*100</f>
        <v>0.400293702201797</v>
      </c>
    </row>
    <row r="28" spans="1:5" ht="14.1" customHeight="1">
      <c r="A28" s="23" t="s">
        <v>246</v>
      </c>
      <c r="B28" s="24">
        <v>56950</v>
      </c>
      <c r="C28" s="350">
        <f>B28/'- 3 -'!$D28*100</f>
        <v>0.20822753613369327</v>
      </c>
      <c r="D28" s="24">
        <v>49000</v>
      </c>
      <c r="E28" s="350">
        <f>D28/'- 3 -'!$D28*100</f>
        <v>0.17915977648026285</v>
      </c>
    </row>
    <row r="29" spans="1:5" ht="14.1" customHeight="1">
      <c r="A29" s="357" t="s">
        <v>247</v>
      </c>
      <c r="B29" s="358">
        <v>445607</v>
      </c>
      <c r="C29" s="359">
        <f>B29/'- 3 -'!$D29*100</f>
        <v>0.30296759165244386</v>
      </c>
      <c r="D29" s="358">
        <v>690476</v>
      </c>
      <c r="E29" s="359">
        <f>D29/'- 3 -'!$D29*100</f>
        <v>0.46945369083926608</v>
      </c>
    </row>
    <row r="30" spans="1:5" ht="14.1" customHeight="1">
      <c r="A30" s="23" t="s">
        <v>248</v>
      </c>
      <c r="B30" s="24">
        <v>63607</v>
      </c>
      <c r="C30" s="350">
        <f>B30/'- 3 -'!$D30*100</f>
        <v>0.47466475826663446</v>
      </c>
      <c r="D30" s="24">
        <v>31600</v>
      </c>
      <c r="E30" s="350">
        <f>D30/'- 3 -'!$D30*100</f>
        <v>0.23581376831521136</v>
      </c>
    </row>
    <row r="31" spans="1:5" ht="14.1" customHeight="1">
      <c r="A31" s="357" t="s">
        <v>249</v>
      </c>
      <c r="B31" s="358">
        <v>41379</v>
      </c>
      <c r="C31" s="359">
        <f>B31/'- 3 -'!$D31*100</f>
        <v>0.11830800933700912</v>
      </c>
      <c r="D31" s="358">
        <v>61500</v>
      </c>
      <c r="E31" s="359">
        <f>D31/'- 3 -'!$D31*100</f>
        <v>0.17583659765161216</v>
      </c>
    </row>
    <row r="32" spans="1:5" ht="14.1" customHeight="1">
      <c r="A32" s="23" t="s">
        <v>250</v>
      </c>
      <c r="B32" s="24">
        <v>103600</v>
      </c>
      <c r="C32" s="350">
        <f>B32/'- 3 -'!$D32*100</f>
        <v>0.3892150171776817</v>
      </c>
      <c r="D32" s="24">
        <v>173500</v>
      </c>
      <c r="E32" s="350">
        <f>D32/'- 3 -'!$D32*100</f>
        <v>0.65182244672131051</v>
      </c>
    </row>
    <row r="33" spans="1:5" ht="14.1" customHeight="1">
      <c r="A33" s="357" t="s">
        <v>251</v>
      </c>
      <c r="B33" s="358">
        <v>103500</v>
      </c>
      <c r="C33" s="359">
        <f>B33/'- 3 -'!$D33*100</f>
        <v>0.38190861616833555</v>
      </c>
      <c r="D33" s="358">
        <v>57000</v>
      </c>
      <c r="E33" s="359">
        <f>D33/'- 3 -'!$D33*100</f>
        <v>0.2103264842666196</v>
      </c>
    </row>
    <row r="34" spans="1:5" ht="14.1" customHeight="1">
      <c r="A34" s="23" t="s">
        <v>252</v>
      </c>
      <c r="B34" s="24">
        <v>89319</v>
      </c>
      <c r="C34" s="350">
        <f>B34/'- 3 -'!$D34*100</f>
        <v>0.3391894807247875</v>
      </c>
      <c r="D34" s="24">
        <v>99590</v>
      </c>
      <c r="E34" s="350">
        <f>D34/'- 3 -'!$D34*100</f>
        <v>0.37819366971620361</v>
      </c>
    </row>
    <row r="35" spans="1:5" ht="14.1" customHeight="1">
      <c r="A35" s="357" t="s">
        <v>253</v>
      </c>
      <c r="B35" s="358">
        <v>373500</v>
      </c>
      <c r="C35" s="359">
        <f>B35/'- 3 -'!$D35*100</f>
        <v>0.21912109969575902</v>
      </c>
      <c r="D35" s="358">
        <v>605300</v>
      </c>
      <c r="E35" s="359">
        <f>D35/'- 3 -'!$D35*100</f>
        <v>0.35511111551765173</v>
      </c>
    </row>
    <row r="36" spans="1:5" ht="14.1" customHeight="1">
      <c r="A36" s="23" t="s">
        <v>254</v>
      </c>
      <c r="B36" s="24">
        <v>177650</v>
      </c>
      <c r="C36" s="350">
        <f>B36/'- 3 -'!$D36*100</f>
        <v>0.8030803204636302</v>
      </c>
      <c r="D36" s="24">
        <v>70000</v>
      </c>
      <c r="E36" s="350">
        <f>D36/'- 3 -'!$D36*100</f>
        <v>0.31644031766087316</v>
      </c>
    </row>
    <row r="37" spans="1:5" ht="14.1" customHeight="1">
      <c r="A37" s="357" t="s">
        <v>255</v>
      </c>
      <c r="B37" s="358">
        <v>123628</v>
      </c>
      <c r="C37" s="359">
        <f>B37/'- 3 -'!$D37*100</f>
        <v>0.27655754885917888</v>
      </c>
      <c r="D37" s="358">
        <v>151500</v>
      </c>
      <c r="E37" s="359">
        <f>D37/'- 3 -'!$D37*100</f>
        <v>0.33890759902421458</v>
      </c>
    </row>
    <row r="38" spans="1:5" ht="14.1" customHeight="1">
      <c r="A38" s="23" t="s">
        <v>256</v>
      </c>
      <c r="B38" s="24">
        <v>447690</v>
      </c>
      <c r="C38" s="350">
        <f>B38/'- 3 -'!$D38*100</f>
        <v>0.36616169929323161</v>
      </c>
      <c r="D38" s="24">
        <v>403820</v>
      </c>
      <c r="E38" s="350">
        <f>D38/'- 3 -'!$D38*100</f>
        <v>0.33028081352854161</v>
      </c>
    </row>
    <row r="39" spans="1:5" ht="14.1" customHeight="1">
      <c r="A39" s="357" t="s">
        <v>257</v>
      </c>
      <c r="B39" s="358">
        <v>41500</v>
      </c>
      <c r="C39" s="359">
        <f>B39/'- 3 -'!$D39*100</f>
        <v>0.19896373931396921</v>
      </c>
      <c r="D39" s="358">
        <v>70000</v>
      </c>
      <c r="E39" s="359">
        <f>D39/'- 3 -'!$D39*100</f>
        <v>0.3356014879994661</v>
      </c>
    </row>
    <row r="40" spans="1:5" ht="14.1" customHeight="1">
      <c r="A40" s="23" t="s">
        <v>258</v>
      </c>
      <c r="B40" s="24">
        <v>550192</v>
      </c>
      <c r="C40" s="350">
        <f>B40/'- 3 -'!$D40*100</f>
        <v>0.55425774103160508</v>
      </c>
      <c r="D40" s="24">
        <v>272346</v>
      </c>
      <c r="E40" s="350">
        <f>D40/'- 3 -'!$D40*100</f>
        <v>0.27435854890473421</v>
      </c>
    </row>
    <row r="41" spans="1:5" ht="14.1" customHeight="1">
      <c r="A41" s="357" t="s">
        <v>259</v>
      </c>
      <c r="B41" s="358">
        <v>261042</v>
      </c>
      <c r="C41" s="359">
        <f>B41/'- 3 -'!$D41*100</f>
        <v>0.43958561391321588</v>
      </c>
      <c r="D41" s="358">
        <v>290000</v>
      </c>
      <c r="E41" s="359">
        <f>D41/'- 3 -'!$D41*100</f>
        <v>0.48834987486623849</v>
      </c>
    </row>
    <row r="42" spans="1:5" ht="14.1" customHeight="1">
      <c r="A42" s="23" t="s">
        <v>260</v>
      </c>
      <c r="B42" s="24">
        <v>128246</v>
      </c>
      <c r="C42" s="350">
        <f>B42/'- 3 -'!$D42*100</f>
        <v>0.62982624013094113</v>
      </c>
      <c r="D42" s="24">
        <v>96638</v>
      </c>
      <c r="E42" s="350">
        <f>D42/'- 3 -'!$D42*100</f>
        <v>0.47459685443424265</v>
      </c>
    </row>
    <row r="43" spans="1:5" ht="14.1" customHeight="1">
      <c r="A43" s="357" t="s">
        <v>261</v>
      </c>
      <c r="B43" s="358">
        <v>52100</v>
      </c>
      <c r="C43" s="359">
        <f>B43/'- 3 -'!$D43*100</f>
        <v>0.418680881994271</v>
      </c>
      <c r="D43" s="358">
        <v>11000</v>
      </c>
      <c r="E43" s="359">
        <f>D43/'- 3 -'!$D43*100</f>
        <v>8.8397115200325949E-2</v>
      </c>
    </row>
    <row r="44" spans="1:5" ht="14.1" customHeight="1">
      <c r="A44" s="23" t="s">
        <v>262</v>
      </c>
      <c r="B44" s="24">
        <v>43779</v>
      </c>
      <c r="C44" s="350">
        <f>B44/'- 3 -'!$D44*100</f>
        <v>0.40669707333989624</v>
      </c>
      <c r="D44" s="24">
        <v>32000</v>
      </c>
      <c r="E44" s="350">
        <f>D44/'- 3 -'!$D44*100</f>
        <v>0.29727280995172756</v>
      </c>
    </row>
    <row r="45" spans="1:5" ht="14.1" customHeight="1">
      <c r="A45" s="357" t="s">
        <v>263</v>
      </c>
      <c r="B45" s="358">
        <v>51200</v>
      </c>
      <c r="C45" s="359">
        <f>B45/'- 3 -'!$D45*100</f>
        <v>0.29161297171957906</v>
      </c>
      <c r="D45" s="358">
        <v>45000</v>
      </c>
      <c r="E45" s="359">
        <f>D45/'- 3 -'!$D45*100</f>
        <v>0.25630046342541124</v>
      </c>
    </row>
    <row r="46" spans="1:5" ht="14.1" customHeight="1">
      <c r="A46" s="23" t="s">
        <v>264</v>
      </c>
      <c r="B46" s="24">
        <v>1870900</v>
      </c>
      <c r="C46" s="350">
        <f>B46/'- 3 -'!$D46*100</f>
        <v>0.5060399406135393</v>
      </c>
      <c r="D46" s="24">
        <v>989700</v>
      </c>
      <c r="E46" s="350">
        <f>D46/'- 3 -'!$D46*100</f>
        <v>0.26769347866012072</v>
      </c>
    </row>
    <row r="47" spans="1:5" ht="5.0999999999999996" customHeight="1">
      <c r="A47"/>
      <c r="B47"/>
      <c r="C47"/>
      <c r="D47"/>
      <c r="E47"/>
    </row>
    <row r="48" spans="1:5" ht="14.1" customHeight="1">
      <c r="A48" s="360" t="s">
        <v>265</v>
      </c>
      <c r="B48" s="361">
        <f>SUM(B11:B46)</f>
        <v>10503762</v>
      </c>
      <c r="C48" s="362">
        <f>B48/'- 3 -'!$D48*100</f>
        <v>0.48952551971507102</v>
      </c>
      <c r="D48" s="361">
        <f>SUM(D11:D46)</f>
        <v>6837989</v>
      </c>
      <c r="E48" s="362">
        <f>D48/'- 3 -'!$D48*100</f>
        <v>0.31868297463622453</v>
      </c>
    </row>
    <row r="49" spans="1:5" ht="5.0999999999999996" customHeight="1">
      <c r="A49" s="25" t="s">
        <v>3</v>
      </c>
      <c r="B49" s="26"/>
      <c r="C49" s="349"/>
      <c r="D49" s="26"/>
      <c r="E49" s="349"/>
    </row>
    <row r="50" spans="1:5" ht="14.1" customHeight="1">
      <c r="A50" s="23" t="s">
        <v>266</v>
      </c>
      <c r="B50" s="24">
        <v>0</v>
      </c>
      <c r="C50" s="350">
        <f>B50/'- 3 -'!$D50*100</f>
        <v>0</v>
      </c>
      <c r="D50" s="24">
        <v>8000</v>
      </c>
      <c r="E50" s="350">
        <f>D50/'- 3 -'!$D50*100</f>
        <v>0.23784974318173979</v>
      </c>
    </row>
    <row r="51" spans="1:5" ht="14.1" customHeight="1">
      <c r="A51" s="511" t="s">
        <v>691</v>
      </c>
      <c r="B51" s="358">
        <v>0</v>
      </c>
      <c r="C51" s="359">
        <f>B51/'- 3 -'!$D51*100</f>
        <v>0</v>
      </c>
      <c r="D51" s="358">
        <v>71200</v>
      </c>
      <c r="E51" s="359">
        <f>D51/'- 3 -'!$D51*100</f>
        <v>0.31627152123314622</v>
      </c>
    </row>
    <row r="52" spans="1:5" ht="50.1" customHeight="1"/>
    <row r="53" spans="1:5" ht="15" customHeight="1"/>
    <row r="54" spans="1:5" ht="14.45" customHeight="1"/>
    <row r="55" spans="1:5" ht="14.45" customHeight="1"/>
    <row r="56" spans="1:5" ht="14.45" customHeight="1"/>
    <row r="57" spans="1:5" ht="14.45" customHeight="1"/>
    <row r="58" spans="1:5" ht="14.45" customHeight="1"/>
    <row r="59" spans="1:5"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3.xml><?xml version="1.0" encoding="utf-8"?>
<worksheet xmlns="http://schemas.openxmlformats.org/spreadsheetml/2006/main" xmlns:r="http://schemas.openxmlformats.org/officeDocument/2006/relationships">
  <sheetPr codeName="Sheet2">
    <pageSetUpPr fitToPage="1"/>
  </sheetPr>
  <dimension ref="A1:F59"/>
  <sheetViews>
    <sheetView showGridLines="0" showZeros="0" workbookViewId="0"/>
  </sheetViews>
  <sheetFormatPr defaultColWidth="15.83203125" defaultRowHeight="12"/>
  <cols>
    <col min="1" max="1" width="40.83203125" style="1" customWidth="1"/>
    <col min="2" max="2" width="27.83203125" style="1" customWidth="1"/>
    <col min="3" max="3" width="18.83203125" style="1" customWidth="1"/>
    <col min="4" max="4" width="27.83203125" style="1" customWidth="1"/>
    <col min="5" max="5" width="18.83203125" style="1" customWidth="1"/>
    <col min="6" max="16384" width="15.83203125" style="1"/>
  </cols>
  <sheetData>
    <row r="1" spans="1:6" ht="6.95" customHeight="1">
      <c r="A1" s="3"/>
      <c r="B1" s="4"/>
      <c r="C1" s="4"/>
      <c r="D1" s="4"/>
      <c r="E1" s="4"/>
    </row>
    <row r="2" spans="1:6" ht="15.95" customHeight="1">
      <c r="A2" s="647" t="s">
        <v>464</v>
      </c>
      <c r="B2" s="647"/>
      <c r="C2" s="647"/>
      <c r="D2" s="647"/>
      <c r="E2" s="647"/>
    </row>
    <row r="3" spans="1:6" ht="15.95" customHeight="1">
      <c r="A3" s="648"/>
      <c r="B3" s="648"/>
      <c r="C3" s="648"/>
      <c r="D3" s="648"/>
      <c r="E3" s="648"/>
    </row>
    <row r="4" spans="1:6" ht="15.95" customHeight="1">
      <c r="B4" s="4"/>
      <c r="C4" s="30"/>
      <c r="D4" s="31"/>
      <c r="E4" s="30"/>
    </row>
    <row r="5" spans="1:6" ht="15.95" customHeight="1">
      <c r="B5" s="4"/>
      <c r="C5" s="4"/>
      <c r="D5" s="4"/>
      <c r="E5" s="4"/>
    </row>
    <row r="6" spans="1:6" ht="15.95" customHeight="1">
      <c r="B6" s="4"/>
      <c r="C6" s="4"/>
      <c r="D6" s="4"/>
      <c r="E6" s="4"/>
    </row>
    <row r="7" spans="1:6" ht="15.95" customHeight="1">
      <c r="B7" s="370" t="s">
        <v>647</v>
      </c>
      <c r="C7" s="387"/>
      <c r="D7" s="370" t="s">
        <v>656</v>
      </c>
      <c r="E7" s="394"/>
    </row>
    <row r="8" spans="1:6" ht="15.95" customHeight="1">
      <c r="A8" s="32"/>
      <c r="B8" s="33"/>
      <c r="C8" s="34"/>
      <c r="D8" s="33"/>
      <c r="E8" s="34"/>
    </row>
    <row r="9" spans="1:6" ht="15.95" customHeight="1">
      <c r="A9" s="35" t="s">
        <v>81</v>
      </c>
      <c r="B9" s="36" t="s">
        <v>465</v>
      </c>
      <c r="C9" s="36" t="s">
        <v>93</v>
      </c>
      <c r="D9" s="36" t="s">
        <v>465</v>
      </c>
      <c r="E9" s="36" t="s">
        <v>93</v>
      </c>
    </row>
    <row r="10" spans="1:6" ht="5.0999999999999996" customHeight="1">
      <c r="A10" s="37"/>
    </row>
    <row r="11" spans="1:6" ht="14.1" customHeight="1">
      <c r="A11" s="357" t="s">
        <v>230</v>
      </c>
      <c r="B11" s="358">
        <v>16734981</v>
      </c>
      <c r="C11" s="358">
        <v>10927</v>
      </c>
      <c r="D11" s="358">
        <f>'- 3 -'!F11</f>
        <v>17351202</v>
      </c>
      <c r="E11" s="358">
        <f>ROUND(D11/'- 7 -'!F11,0)</f>
        <v>11220</v>
      </c>
      <c r="F11" s="1" t="str">
        <f>IF(B11=D11,"Check","")</f>
        <v/>
      </c>
    </row>
    <row r="12" spans="1:6" ht="14.1" customHeight="1">
      <c r="A12" s="23" t="s">
        <v>231</v>
      </c>
      <c r="B12" s="38">
        <v>30400761</v>
      </c>
      <c r="C12" s="38">
        <v>13345</v>
      </c>
      <c r="D12" s="24">
        <f>'- 3 -'!F12</f>
        <v>30879385</v>
      </c>
      <c r="E12" s="24">
        <f>ROUND(D12/'- 7 -'!F12,0)</f>
        <v>14122</v>
      </c>
      <c r="F12" s="1" t="str">
        <f t="shared" ref="F12:F51" si="0">IF(B12=D12,"Check","")</f>
        <v/>
      </c>
    </row>
    <row r="13" spans="1:6" ht="14.1" customHeight="1">
      <c r="A13" s="357" t="s">
        <v>232</v>
      </c>
      <c r="B13" s="358">
        <v>86072700</v>
      </c>
      <c r="C13" s="358">
        <v>10647</v>
      </c>
      <c r="D13" s="358">
        <f>'- 3 -'!F13</f>
        <v>88968000</v>
      </c>
      <c r="E13" s="358">
        <f>ROUND(D13/'- 7 -'!F13,0)</f>
        <v>10956</v>
      </c>
      <c r="F13" s="1" t="str">
        <f t="shared" si="0"/>
        <v/>
      </c>
    </row>
    <row r="14" spans="1:6" ht="14.1" customHeight="1">
      <c r="A14" s="23" t="s">
        <v>566</v>
      </c>
      <c r="B14" s="24">
        <v>73776236</v>
      </c>
      <c r="C14" s="24">
        <v>14147</v>
      </c>
      <c r="D14" s="24">
        <f>'- 3 -'!F14</f>
        <v>78481313</v>
      </c>
      <c r="E14" s="24">
        <f>ROUND(D14/'- 7 -'!F14,0)</f>
        <v>14766</v>
      </c>
      <c r="F14" s="1" t="str">
        <f t="shared" si="0"/>
        <v/>
      </c>
    </row>
    <row r="15" spans="1:6" ht="14.1" customHeight="1">
      <c r="A15" s="357" t="s">
        <v>233</v>
      </c>
      <c r="B15" s="358">
        <v>19493226</v>
      </c>
      <c r="C15" s="358">
        <v>12824</v>
      </c>
      <c r="D15" s="358">
        <f>'- 3 -'!F15</f>
        <v>19757602</v>
      </c>
      <c r="E15" s="358">
        <f>ROUND(D15/'- 7 -'!F15,0)</f>
        <v>13602</v>
      </c>
      <c r="F15" s="1" t="str">
        <f t="shared" si="0"/>
        <v/>
      </c>
    </row>
    <row r="16" spans="1:6" ht="14.1" customHeight="1">
      <c r="A16" s="23" t="s">
        <v>234</v>
      </c>
      <c r="B16" s="38">
        <v>12985367</v>
      </c>
      <c r="C16" s="38">
        <v>13051</v>
      </c>
      <c r="D16" s="24">
        <f>'- 3 -'!F16</f>
        <v>13371912</v>
      </c>
      <c r="E16" s="24">
        <f>ROUND(D16/'- 7 -'!F16,0)</f>
        <v>13900</v>
      </c>
      <c r="F16" s="1" t="str">
        <f t="shared" si="0"/>
        <v/>
      </c>
    </row>
    <row r="17" spans="1:6" ht="14.1" customHeight="1">
      <c r="A17" s="357" t="s">
        <v>235</v>
      </c>
      <c r="B17" s="358">
        <v>16250174</v>
      </c>
      <c r="C17" s="358">
        <v>12495</v>
      </c>
      <c r="D17" s="358">
        <f>'- 3 -'!F17</f>
        <v>16907136</v>
      </c>
      <c r="E17" s="358">
        <f>ROUND(D17/'- 7 -'!F17,0)</f>
        <v>12641</v>
      </c>
      <c r="F17" s="1" t="str">
        <f t="shared" si="0"/>
        <v/>
      </c>
    </row>
    <row r="18" spans="1:6" ht="14.1" customHeight="1">
      <c r="A18" s="23" t="s">
        <v>236</v>
      </c>
      <c r="B18" s="24">
        <v>114995597</v>
      </c>
      <c r="C18" s="24">
        <v>18451</v>
      </c>
      <c r="D18" s="24">
        <f>'- 3 -'!F18</f>
        <v>119490266</v>
      </c>
      <c r="E18" s="24">
        <f>ROUND(D18/'- 7 -'!F18,0)</f>
        <v>19364</v>
      </c>
      <c r="F18" s="1" t="str">
        <f t="shared" si="0"/>
        <v/>
      </c>
    </row>
    <row r="19" spans="1:6" ht="14.1" customHeight="1">
      <c r="A19" s="357" t="s">
        <v>237</v>
      </c>
      <c r="B19" s="358">
        <v>43337195</v>
      </c>
      <c r="C19" s="358">
        <v>10296</v>
      </c>
      <c r="D19" s="358">
        <f>'- 3 -'!F19</f>
        <v>43372820</v>
      </c>
      <c r="E19" s="358">
        <f>ROUND(D19/'- 7 -'!F19,0)</f>
        <v>10632</v>
      </c>
      <c r="F19" s="1" t="str">
        <f t="shared" si="0"/>
        <v/>
      </c>
    </row>
    <row r="20" spans="1:6" ht="14.1" customHeight="1">
      <c r="A20" s="23" t="s">
        <v>238</v>
      </c>
      <c r="B20" s="38">
        <v>70951500</v>
      </c>
      <c r="C20" s="38">
        <v>9411</v>
      </c>
      <c r="D20" s="24">
        <f>'- 3 -'!F20</f>
        <v>75573400</v>
      </c>
      <c r="E20" s="24">
        <f>ROUND(D20/'- 7 -'!F20,0)</f>
        <v>9998</v>
      </c>
      <c r="F20" s="1" t="str">
        <f t="shared" si="0"/>
        <v/>
      </c>
    </row>
    <row r="21" spans="1:6" ht="14.1" customHeight="1">
      <c r="A21" s="357" t="s">
        <v>239</v>
      </c>
      <c r="B21" s="358">
        <v>33808147</v>
      </c>
      <c r="C21" s="358">
        <v>12568</v>
      </c>
      <c r="D21" s="358">
        <f>'- 3 -'!F21</f>
        <v>34238704</v>
      </c>
      <c r="E21" s="358">
        <f>ROUND(D21/'- 7 -'!F21,0)</f>
        <v>12877</v>
      </c>
      <c r="F21" s="1" t="str">
        <f t="shared" si="0"/>
        <v/>
      </c>
    </row>
    <row r="22" spans="1:6" ht="14.1" customHeight="1">
      <c r="A22" s="23" t="s">
        <v>240</v>
      </c>
      <c r="B22" s="24">
        <v>19038452</v>
      </c>
      <c r="C22" s="24">
        <v>11759</v>
      </c>
      <c r="D22" s="24">
        <f>'- 3 -'!F22</f>
        <v>18705194</v>
      </c>
      <c r="E22" s="24">
        <f>ROUND(D22/'- 7 -'!F22,0)</f>
        <v>11983</v>
      </c>
      <c r="F22" s="1" t="str">
        <f t="shared" si="0"/>
        <v/>
      </c>
    </row>
    <row r="23" spans="1:6" ht="14.1" customHeight="1">
      <c r="A23" s="357" t="s">
        <v>241</v>
      </c>
      <c r="B23" s="358">
        <v>15511980</v>
      </c>
      <c r="C23" s="358">
        <v>13124</v>
      </c>
      <c r="D23" s="358">
        <f>'- 3 -'!F23</f>
        <v>15785880</v>
      </c>
      <c r="E23" s="358">
        <f>ROUND(D23/'- 7 -'!F23,0)</f>
        <v>13757</v>
      </c>
      <c r="F23" s="1" t="str">
        <f t="shared" si="0"/>
        <v/>
      </c>
    </row>
    <row r="24" spans="1:6" ht="14.1" customHeight="1">
      <c r="A24" s="23" t="s">
        <v>242</v>
      </c>
      <c r="B24" s="38">
        <v>52010285</v>
      </c>
      <c r="C24" s="38">
        <v>12394</v>
      </c>
      <c r="D24" s="24">
        <f>'- 3 -'!F24</f>
        <v>53594287</v>
      </c>
      <c r="E24" s="24">
        <f>ROUND(D24/'- 7 -'!F24,0)</f>
        <v>13236</v>
      </c>
      <c r="F24" s="1" t="str">
        <f t="shared" si="0"/>
        <v/>
      </c>
    </row>
    <row r="25" spans="1:6" ht="14.1" customHeight="1">
      <c r="A25" s="357" t="s">
        <v>243</v>
      </c>
      <c r="B25" s="358">
        <v>153861333</v>
      </c>
      <c r="C25" s="358">
        <v>11144</v>
      </c>
      <c r="D25" s="358">
        <f>'- 3 -'!F25</f>
        <v>157973234</v>
      </c>
      <c r="E25" s="358">
        <f>ROUND(D25/'- 7 -'!F25,0)</f>
        <v>11493</v>
      </c>
      <c r="F25" s="1" t="str">
        <f t="shared" si="0"/>
        <v/>
      </c>
    </row>
    <row r="26" spans="1:6" ht="14.1" customHeight="1">
      <c r="A26" s="23" t="s">
        <v>244</v>
      </c>
      <c r="B26" s="24">
        <v>37841954</v>
      </c>
      <c r="C26" s="24">
        <v>12253</v>
      </c>
      <c r="D26" s="24">
        <f>'- 3 -'!F26</f>
        <v>38801876</v>
      </c>
      <c r="E26" s="24">
        <f>ROUND(D26/'- 7 -'!F26,0)</f>
        <v>12565</v>
      </c>
      <c r="F26" s="1" t="str">
        <f t="shared" si="0"/>
        <v/>
      </c>
    </row>
    <row r="27" spans="1:6" ht="14.1" customHeight="1">
      <c r="A27" s="357" t="s">
        <v>245</v>
      </c>
      <c r="B27" s="358">
        <v>38427414</v>
      </c>
      <c r="C27" s="358">
        <v>13969</v>
      </c>
      <c r="D27" s="358">
        <f>'- 3 -'!F27</f>
        <v>39045881</v>
      </c>
      <c r="E27" s="358">
        <f>ROUND(D27/'- 7 -'!F27,0)</f>
        <v>13511</v>
      </c>
      <c r="F27" s="1" t="str">
        <f t="shared" si="0"/>
        <v/>
      </c>
    </row>
    <row r="28" spans="1:6" ht="14.1" customHeight="1">
      <c r="A28" s="23" t="s">
        <v>246</v>
      </c>
      <c r="B28" s="38">
        <v>25850410</v>
      </c>
      <c r="C28" s="38">
        <v>13089</v>
      </c>
      <c r="D28" s="24">
        <f>'- 3 -'!F28</f>
        <v>27110928</v>
      </c>
      <c r="E28" s="24">
        <f>ROUND(D28/'- 7 -'!F28,0)</f>
        <v>13675</v>
      </c>
      <c r="F28" s="1" t="str">
        <f t="shared" si="0"/>
        <v/>
      </c>
    </row>
    <row r="29" spans="1:6" ht="14.1" customHeight="1">
      <c r="A29" s="357" t="s">
        <v>247</v>
      </c>
      <c r="B29" s="358">
        <v>141425859</v>
      </c>
      <c r="C29" s="358">
        <v>11700</v>
      </c>
      <c r="D29" s="358">
        <f>'- 3 -'!F29</f>
        <v>146458253</v>
      </c>
      <c r="E29" s="358">
        <f>ROUND(D29/'- 7 -'!F29,0)</f>
        <v>12144</v>
      </c>
      <c r="F29" s="1" t="str">
        <f t="shared" si="0"/>
        <v/>
      </c>
    </row>
    <row r="30" spans="1:6" ht="14.1" customHeight="1">
      <c r="A30" s="23" t="s">
        <v>248</v>
      </c>
      <c r="B30" s="24">
        <v>13442161</v>
      </c>
      <c r="C30" s="24">
        <v>12563</v>
      </c>
      <c r="D30" s="24">
        <f>'- 3 -'!F30</f>
        <v>13386485</v>
      </c>
      <c r="E30" s="24">
        <f>ROUND(D30/'- 7 -'!F30,0)</f>
        <v>13054</v>
      </c>
      <c r="F30" s="1" t="str">
        <f t="shared" si="0"/>
        <v/>
      </c>
    </row>
    <row r="31" spans="1:6" ht="14.1" customHeight="1">
      <c r="A31" s="357" t="s">
        <v>249</v>
      </c>
      <c r="B31" s="358">
        <v>33576614</v>
      </c>
      <c r="C31" s="358">
        <v>10526</v>
      </c>
      <c r="D31" s="358">
        <f>'- 3 -'!F31</f>
        <v>34919534</v>
      </c>
      <c r="E31" s="358">
        <f>ROUND(D31/'- 7 -'!F31,0)</f>
        <v>10943</v>
      </c>
      <c r="F31" s="1" t="str">
        <f t="shared" si="0"/>
        <v/>
      </c>
    </row>
    <row r="32" spans="1:6" ht="14.1" customHeight="1">
      <c r="A32" s="23" t="s">
        <v>250</v>
      </c>
      <c r="B32" s="38">
        <v>25256468</v>
      </c>
      <c r="C32" s="38">
        <v>12347</v>
      </c>
      <c r="D32" s="24">
        <f>'- 3 -'!F32</f>
        <v>26324868</v>
      </c>
      <c r="E32" s="24">
        <f>ROUND(D32/'- 7 -'!F32,0)</f>
        <v>12515</v>
      </c>
      <c r="F32" s="1" t="str">
        <f t="shared" si="0"/>
        <v/>
      </c>
    </row>
    <row r="33" spans="1:6" ht="14.1" customHeight="1">
      <c r="A33" s="357" t="s">
        <v>251</v>
      </c>
      <c r="B33" s="358">
        <v>26233300</v>
      </c>
      <c r="C33" s="358">
        <v>12948</v>
      </c>
      <c r="D33" s="358">
        <f>'- 3 -'!F33</f>
        <v>27070724</v>
      </c>
      <c r="E33" s="358">
        <f>ROUND(D33/'- 7 -'!F33,0)</f>
        <v>13579</v>
      </c>
      <c r="F33" s="1" t="str">
        <f t="shared" si="0"/>
        <v/>
      </c>
    </row>
    <row r="34" spans="1:6" ht="14.1" customHeight="1">
      <c r="A34" s="23" t="s">
        <v>252</v>
      </c>
      <c r="B34" s="24">
        <v>25513189</v>
      </c>
      <c r="C34" s="24">
        <v>12666</v>
      </c>
      <c r="D34" s="24">
        <f>'- 3 -'!F34</f>
        <v>26273660</v>
      </c>
      <c r="E34" s="24">
        <f>ROUND(D34/'- 7 -'!F34,0)</f>
        <v>13233</v>
      </c>
      <c r="F34" s="1" t="str">
        <f t="shared" si="0"/>
        <v/>
      </c>
    </row>
    <row r="35" spans="1:6" ht="14.1" customHeight="1">
      <c r="A35" s="357" t="s">
        <v>253</v>
      </c>
      <c r="B35" s="358">
        <v>166937668</v>
      </c>
      <c r="C35" s="358">
        <v>10575</v>
      </c>
      <c r="D35" s="358">
        <f>'- 3 -'!F35</f>
        <v>169843692</v>
      </c>
      <c r="E35" s="358">
        <f>ROUND(D35/'- 7 -'!F35,0)</f>
        <v>10960</v>
      </c>
      <c r="F35" s="1" t="str">
        <f t="shared" si="0"/>
        <v/>
      </c>
    </row>
    <row r="36" spans="1:6" ht="14.1" customHeight="1">
      <c r="A36" s="23" t="s">
        <v>254</v>
      </c>
      <c r="B36" s="38">
        <v>21539890</v>
      </c>
      <c r="C36" s="38">
        <v>12833</v>
      </c>
      <c r="D36" s="24">
        <f>'- 3 -'!F36</f>
        <v>22086300</v>
      </c>
      <c r="E36" s="24">
        <f>ROUND(D36/'- 7 -'!F36,0)</f>
        <v>13398</v>
      </c>
      <c r="F36" s="1" t="str">
        <f t="shared" si="0"/>
        <v/>
      </c>
    </row>
    <row r="37" spans="1:6" ht="14.1" customHeight="1">
      <c r="A37" s="357" t="s">
        <v>255</v>
      </c>
      <c r="B37" s="358">
        <v>41492577</v>
      </c>
      <c r="C37" s="358">
        <v>11128</v>
      </c>
      <c r="D37" s="358">
        <f>'- 3 -'!F37</f>
        <v>44515211</v>
      </c>
      <c r="E37" s="358">
        <f>ROUND(D37/'- 7 -'!F37,0)</f>
        <v>11375</v>
      </c>
      <c r="F37" s="1" t="str">
        <f t="shared" si="0"/>
        <v/>
      </c>
    </row>
    <row r="38" spans="1:6" ht="14.1" customHeight="1">
      <c r="A38" s="23" t="s">
        <v>256</v>
      </c>
      <c r="B38" s="24">
        <v>115312140</v>
      </c>
      <c r="C38" s="24">
        <v>10928</v>
      </c>
      <c r="D38" s="24">
        <f>'- 3 -'!F38</f>
        <v>119742295</v>
      </c>
      <c r="E38" s="24">
        <f>ROUND(D38/'- 7 -'!F38,0)</f>
        <v>11164</v>
      </c>
      <c r="F38" s="1" t="str">
        <f t="shared" si="0"/>
        <v/>
      </c>
    </row>
    <row r="39" spans="1:6" ht="14.1" customHeight="1">
      <c r="A39" s="357" t="s">
        <v>257</v>
      </c>
      <c r="B39" s="358">
        <v>20375860</v>
      </c>
      <c r="C39" s="358">
        <v>12872</v>
      </c>
      <c r="D39" s="358">
        <f>'- 3 -'!F39</f>
        <v>20687872</v>
      </c>
      <c r="E39" s="358">
        <f>ROUND(D39/'- 7 -'!F39,0)</f>
        <v>13343</v>
      </c>
      <c r="F39" s="1" t="str">
        <f t="shared" si="0"/>
        <v/>
      </c>
    </row>
    <row r="40" spans="1:6" ht="14.1" customHeight="1">
      <c r="A40" s="23" t="s">
        <v>258</v>
      </c>
      <c r="B40" s="38">
        <v>96191378</v>
      </c>
      <c r="C40" s="38">
        <v>12050</v>
      </c>
      <c r="D40" s="24">
        <f>'- 3 -'!F40</f>
        <v>98151406</v>
      </c>
      <c r="E40" s="24">
        <f>ROUND(D40/'- 7 -'!F40,0)</f>
        <v>12360</v>
      </c>
      <c r="F40" s="1" t="str">
        <f t="shared" si="0"/>
        <v/>
      </c>
    </row>
    <row r="41" spans="1:6" ht="14.1" customHeight="1">
      <c r="A41" s="357" t="s">
        <v>259</v>
      </c>
      <c r="B41" s="358">
        <v>56379474</v>
      </c>
      <c r="C41" s="358">
        <v>12678</v>
      </c>
      <c r="D41" s="358">
        <f>'- 3 -'!F41</f>
        <v>58135843</v>
      </c>
      <c r="E41" s="358">
        <f>ROUND(D41/'- 7 -'!F41,0)</f>
        <v>13255</v>
      </c>
      <c r="F41" s="1" t="str">
        <f t="shared" si="0"/>
        <v/>
      </c>
    </row>
    <row r="42" spans="1:6" ht="14.1" customHeight="1">
      <c r="A42" s="23" t="s">
        <v>260</v>
      </c>
      <c r="B42" s="24">
        <v>19950668</v>
      </c>
      <c r="C42" s="24">
        <v>14261</v>
      </c>
      <c r="D42" s="24">
        <f>'- 3 -'!F42</f>
        <v>20153868</v>
      </c>
      <c r="E42" s="24">
        <f>ROUND(D42/'- 7 -'!F42,0)</f>
        <v>14380</v>
      </c>
      <c r="F42" s="1" t="str">
        <f t="shared" si="0"/>
        <v/>
      </c>
    </row>
    <row r="43" spans="1:6" ht="14.1" customHeight="1">
      <c r="A43" s="357" t="s">
        <v>261</v>
      </c>
      <c r="B43" s="358">
        <v>11688761</v>
      </c>
      <c r="C43" s="358">
        <v>12106</v>
      </c>
      <c r="D43" s="358">
        <f>'- 3 -'!F43</f>
        <v>12211915</v>
      </c>
      <c r="E43" s="358">
        <f>ROUND(D43/'- 7 -'!F43,0)</f>
        <v>12721</v>
      </c>
      <c r="F43" s="1" t="str">
        <f t="shared" si="0"/>
        <v/>
      </c>
    </row>
    <row r="44" spans="1:6" ht="14.1" customHeight="1">
      <c r="A44" s="23" t="s">
        <v>262</v>
      </c>
      <c r="B44" s="38">
        <v>10528979</v>
      </c>
      <c r="C44" s="38">
        <v>13983</v>
      </c>
      <c r="D44" s="24">
        <f>'- 3 -'!F44</f>
        <v>10754567</v>
      </c>
      <c r="E44" s="24">
        <f>ROUND(D44/'- 7 -'!F44,0)</f>
        <v>15320</v>
      </c>
      <c r="F44" s="1" t="str">
        <f t="shared" si="0"/>
        <v/>
      </c>
    </row>
    <row r="45" spans="1:6" ht="14.1" customHeight="1">
      <c r="A45" s="357" t="s">
        <v>263</v>
      </c>
      <c r="B45" s="358">
        <v>16498865</v>
      </c>
      <c r="C45" s="358">
        <v>9792</v>
      </c>
      <c r="D45" s="358">
        <f>'- 3 -'!F45</f>
        <v>17120092</v>
      </c>
      <c r="E45" s="358">
        <f>ROUND(D45/'- 7 -'!F45,0)</f>
        <v>10184</v>
      </c>
      <c r="F45" s="1" t="str">
        <f t="shared" si="0"/>
        <v/>
      </c>
    </row>
    <row r="46" spans="1:6" ht="14.1" customHeight="1">
      <c r="A46" s="23" t="s">
        <v>264</v>
      </c>
      <c r="B46" s="24">
        <v>351261400</v>
      </c>
      <c r="C46" s="24">
        <v>11578</v>
      </c>
      <c r="D46" s="24">
        <f>'- 3 -'!F46</f>
        <v>359825700</v>
      </c>
      <c r="E46" s="24">
        <f>ROUND(D46/'- 7 -'!F46,0)</f>
        <v>11900</v>
      </c>
      <c r="F46" s="1" t="str">
        <f t="shared" si="0"/>
        <v/>
      </c>
    </row>
    <row r="47" spans="1:6" ht="5.0999999999999996" customHeight="1">
      <c r="A47"/>
      <c r="B47"/>
      <c r="C47"/>
      <c r="D47"/>
      <c r="E47"/>
    </row>
    <row r="48" spans="1:6" ht="14.1" customHeight="1">
      <c r="A48" s="360" t="s">
        <v>265</v>
      </c>
      <c r="B48" s="361">
        <v>2054952963</v>
      </c>
      <c r="C48" s="361">
        <v>11841</v>
      </c>
      <c r="D48" s="361">
        <f>SUM(D11:D46)</f>
        <v>2117071305</v>
      </c>
      <c r="E48" s="361">
        <f>ROUND(D48/'- 7 -'!F48,0)</f>
        <v>12248</v>
      </c>
      <c r="F48" s="1" t="str">
        <f t="shared" si="0"/>
        <v/>
      </c>
    </row>
    <row r="49" spans="1:6" ht="5.0999999999999996" customHeight="1">
      <c r="A49" s="25" t="s">
        <v>3</v>
      </c>
      <c r="B49" s="26"/>
      <c r="C49" s="26"/>
      <c r="D49" s="26"/>
      <c r="E49" s="26"/>
    </row>
    <row r="50" spans="1:6" ht="14.1" customHeight="1">
      <c r="A50" s="23" t="s">
        <v>266</v>
      </c>
      <c r="B50" s="24">
        <v>3251751</v>
      </c>
      <c r="C50" s="24">
        <v>19472</v>
      </c>
      <c r="D50" s="24">
        <f>'- 3 -'!F50</f>
        <v>3253752</v>
      </c>
      <c r="E50" s="24">
        <f>ROUND(D50/'- 7 -'!F50,0)</f>
        <v>18593</v>
      </c>
      <c r="F50" s="1" t="str">
        <f t="shared" si="0"/>
        <v/>
      </c>
    </row>
    <row r="51" spans="1:6" ht="14.1" customHeight="1">
      <c r="A51" s="511" t="s">
        <v>691</v>
      </c>
      <c r="B51" s="501">
        <v>10789492</v>
      </c>
      <c r="C51" s="501">
        <v>17374</v>
      </c>
      <c r="D51" s="358">
        <f>'- 3 -'!F51</f>
        <v>11348073</v>
      </c>
      <c r="E51" s="358">
        <f>ROUND(D51/'- 7 -'!F51,0)</f>
        <v>18274</v>
      </c>
      <c r="F51" s="1" t="str">
        <f t="shared" si="0"/>
        <v/>
      </c>
    </row>
    <row r="52" spans="1:6" ht="50.1" customHeight="1">
      <c r="A52" s="27"/>
      <c r="B52" s="27"/>
      <c r="C52" s="27"/>
      <c r="D52" s="27"/>
      <c r="E52" s="27"/>
    </row>
    <row r="53" spans="1:6" ht="15" customHeight="1">
      <c r="A53" s="2" t="s">
        <v>600</v>
      </c>
      <c r="B53" s="39"/>
      <c r="C53" s="39"/>
      <c r="D53" s="39"/>
      <c r="E53" s="39"/>
    </row>
    <row r="54" spans="1:6" ht="12" customHeight="1">
      <c r="A54" s="2" t="s">
        <v>650</v>
      </c>
      <c r="B54" s="39"/>
      <c r="C54" s="39"/>
      <c r="D54" s="39"/>
      <c r="E54" s="39"/>
    </row>
    <row r="55" spans="1:6" ht="12" customHeight="1">
      <c r="A55" s="2" t="s">
        <v>651</v>
      </c>
      <c r="B55" s="39"/>
      <c r="C55" s="39"/>
      <c r="D55" s="39"/>
      <c r="E55" s="39"/>
    </row>
    <row r="56" spans="1:6" ht="12" customHeight="1">
      <c r="A56" s="2"/>
      <c r="B56" s="39"/>
      <c r="C56" s="39"/>
      <c r="D56" s="39"/>
      <c r="E56" s="39"/>
    </row>
    <row r="57" spans="1:6" ht="12" customHeight="1"/>
    <row r="58" spans="1:6" ht="14.45" customHeight="1">
      <c r="A58" s="2"/>
    </row>
    <row r="59" spans="1:6" ht="14.45" customHeight="1">
      <c r="A59" s="2"/>
    </row>
  </sheetData>
  <mergeCells count="1">
    <mergeCell ref="A2:E3"/>
  </mergeCells>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30.xml><?xml version="1.0" encoding="utf-8"?>
<worksheet xmlns="http://schemas.openxmlformats.org/spreadsheetml/2006/main" xmlns:r="http://schemas.openxmlformats.org/officeDocument/2006/relationships">
  <sheetPr codeName="Sheet31">
    <pageSetUpPr fitToPage="1"/>
  </sheetPr>
  <dimension ref="A1:F59"/>
  <sheetViews>
    <sheetView showGridLines="0" showZeros="0" workbookViewId="0"/>
  </sheetViews>
  <sheetFormatPr defaultColWidth="15.83203125" defaultRowHeight="12"/>
  <cols>
    <col min="1" max="1" width="36.83203125" style="1" customWidth="1"/>
    <col min="2" max="2" width="18.83203125" style="1" customWidth="1"/>
    <col min="3" max="3" width="11.6640625" style="1" customWidth="1"/>
    <col min="4" max="4" width="18.83203125" style="1" customWidth="1"/>
    <col min="5" max="5" width="11.6640625" style="1" customWidth="1"/>
    <col min="6" max="6" width="26.83203125" style="1" customWidth="1"/>
    <col min="7" max="16384" width="15.83203125" style="1"/>
  </cols>
  <sheetData>
    <row r="1" spans="1:6" ht="6.95" customHeight="1">
      <c r="A1" s="3"/>
      <c r="B1" s="4"/>
      <c r="C1" s="4"/>
      <c r="D1" s="4"/>
      <c r="E1" s="4"/>
      <c r="F1" s="4"/>
    </row>
    <row r="2" spans="1:6" ht="15.95" customHeight="1">
      <c r="A2" s="159"/>
      <c r="B2" s="5" t="s">
        <v>474</v>
      </c>
      <c r="C2" s="6"/>
      <c r="D2" s="6"/>
      <c r="E2" s="6"/>
      <c r="F2" s="182" t="s">
        <v>439</v>
      </c>
    </row>
    <row r="3" spans="1:6" ht="15.95" customHeight="1">
      <c r="A3" s="162"/>
      <c r="B3" s="7" t="str">
        <f>OPYEAR</f>
        <v>OPERATING FUND 2014/2015 BUDGET</v>
      </c>
      <c r="C3" s="8"/>
      <c r="D3" s="8"/>
      <c r="E3" s="8"/>
      <c r="F3" s="101"/>
    </row>
    <row r="4" spans="1:6" ht="15.95" customHeight="1">
      <c r="B4" s="4"/>
      <c r="C4" s="4"/>
      <c r="D4" s="4"/>
      <c r="E4" s="4"/>
      <c r="F4" s="4"/>
    </row>
    <row r="5" spans="1:6" ht="15.95" customHeight="1">
      <c r="B5" s="4"/>
      <c r="C5" s="4"/>
      <c r="D5" s="4"/>
      <c r="E5" s="4"/>
      <c r="F5" s="4"/>
    </row>
    <row r="6" spans="1:6" ht="15.95" customHeight="1">
      <c r="B6" s="183" t="s">
        <v>21</v>
      </c>
      <c r="C6" s="184"/>
      <c r="D6" s="185"/>
      <c r="E6" s="186"/>
    </row>
    <row r="7" spans="1:6" ht="15.95" customHeight="1">
      <c r="B7" s="438"/>
      <c r="C7" s="353"/>
      <c r="D7" s="351" t="s">
        <v>48</v>
      </c>
      <c r="E7" s="353"/>
    </row>
    <row r="8" spans="1:6" ht="15.95" customHeight="1">
      <c r="A8" s="102"/>
      <c r="B8" s="355" t="s">
        <v>67</v>
      </c>
      <c r="C8" s="356"/>
      <c r="D8" s="354" t="s">
        <v>68</v>
      </c>
      <c r="E8" s="356"/>
    </row>
    <row r="9" spans="1:6" ht="15.95" customHeight="1">
      <c r="A9" s="35" t="s">
        <v>81</v>
      </c>
      <c r="B9" s="187" t="s">
        <v>82</v>
      </c>
      <c r="C9" s="187" t="s">
        <v>83</v>
      </c>
      <c r="D9" s="191" t="s">
        <v>82</v>
      </c>
      <c r="E9" s="187" t="s">
        <v>83</v>
      </c>
    </row>
    <row r="10" spans="1:6" ht="5.0999999999999996" customHeight="1">
      <c r="A10" s="37"/>
    </row>
    <row r="11" spans="1:6" ht="14.1" customHeight="1">
      <c r="A11" s="357" t="s">
        <v>230</v>
      </c>
      <c r="B11" s="358">
        <v>13000</v>
      </c>
      <c r="C11" s="359">
        <f>B11/'- 3 -'!$D11*100</f>
        <v>7.484015581950719E-2</v>
      </c>
      <c r="D11" s="358">
        <v>284000</v>
      </c>
      <c r="E11" s="359">
        <f>D11/'- 3 -'!$D11*100</f>
        <v>1.6349695579030801</v>
      </c>
    </row>
    <row r="12" spans="1:6" ht="14.1" customHeight="1">
      <c r="A12" s="23" t="s">
        <v>231</v>
      </c>
      <c r="B12" s="24">
        <v>20000</v>
      </c>
      <c r="C12" s="350">
        <f>B12/'- 3 -'!$D12*100</f>
        <v>6.3566436222443748E-2</v>
      </c>
      <c r="D12" s="24">
        <v>497668</v>
      </c>
      <c r="E12" s="350">
        <f>D12/'- 3 -'!$D12*100</f>
        <v>1.5817490590975567</v>
      </c>
    </row>
    <row r="13" spans="1:6" ht="14.1" customHeight="1">
      <c r="A13" s="357" t="s">
        <v>232</v>
      </c>
      <c r="B13" s="358">
        <v>30600</v>
      </c>
      <c r="C13" s="359">
        <f>B13/'- 3 -'!$D13*100</f>
        <v>3.4282295659032319E-2</v>
      </c>
      <c r="D13" s="358">
        <v>1537600</v>
      </c>
      <c r="E13" s="359">
        <f>D13/'- 3 -'!$D13*100</f>
        <v>1.7226293400434018</v>
      </c>
    </row>
    <row r="14" spans="1:6" ht="14.1" customHeight="1">
      <c r="A14" s="23" t="s">
        <v>566</v>
      </c>
      <c r="B14" s="24">
        <v>25000</v>
      </c>
      <c r="C14" s="350">
        <f>B14/'- 3 -'!$D14*100</f>
        <v>3.1286826158730137E-2</v>
      </c>
      <c r="D14" s="24">
        <v>1141080</v>
      </c>
      <c r="E14" s="350">
        <f>D14/'- 3 -'!$D14*100</f>
        <v>1.4280308637281514</v>
      </c>
    </row>
    <row r="15" spans="1:6" ht="14.1" customHeight="1">
      <c r="A15" s="357" t="s">
        <v>233</v>
      </c>
      <c r="B15" s="358">
        <v>12000</v>
      </c>
      <c r="C15" s="359">
        <f>B15/'- 3 -'!$D15*100</f>
        <v>6.0521690923592275E-2</v>
      </c>
      <c r="D15" s="358">
        <v>300000</v>
      </c>
      <c r="E15" s="359">
        <f>D15/'- 3 -'!$D15*100</f>
        <v>1.5130422730898068</v>
      </c>
    </row>
    <row r="16" spans="1:6" ht="14.1" customHeight="1">
      <c r="A16" s="23" t="s">
        <v>234</v>
      </c>
      <c r="B16" s="24">
        <v>17500</v>
      </c>
      <c r="C16" s="350">
        <f>B16/'- 3 -'!$D16*100</f>
        <v>0.12980670520615381</v>
      </c>
      <c r="D16" s="24">
        <v>196000</v>
      </c>
      <c r="E16" s="350">
        <f>D16/'- 3 -'!$D16*100</f>
        <v>1.4538350983089228</v>
      </c>
    </row>
    <row r="17" spans="1:5" ht="14.1" customHeight="1">
      <c r="A17" s="357" t="s">
        <v>235</v>
      </c>
      <c r="B17" s="358">
        <v>60000</v>
      </c>
      <c r="C17" s="359">
        <f>B17/'- 3 -'!$D17*100</f>
        <v>0.34959623964962067</v>
      </c>
      <c r="D17" s="358">
        <v>279000</v>
      </c>
      <c r="E17" s="359">
        <f>D17/'- 3 -'!$D17*100</f>
        <v>1.6256225143707361</v>
      </c>
    </row>
    <row r="18" spans="1:5" ht="14.1" customHeight="1">
      <c r="A18" s="23" t="s">
        <v>236</v>
      </c>
      <c r="B18" s="24">
        <v>350000</v>
      </c>
      <c r="C18" s="350">
        <f>B18/'- 3 -'!$D18*100</f>
        <v>0.28277035089530306</v>
      </c>
      <c r="D18" s="24">
        <v>1750000</v>
      </c>
      <c r="E18" s="350">
        <f>D18/'- 3 -'!$D18*100</f>
        <v>1.4138517544765152</v>
      </c>
    </row>
    <row r="19" spans="1:5" ht="14.1" customHeight="1">
      <c r="A19" s="357" t="s">
        <v>237</v>
      </c>
      <c r="B19" s="358">
        <v>25000</v>
      </c>
      <c r="C19" s="359">
        <f>B19/'- 3 -'!$D19*100</f>
        <v>5.7537770093800379E-2</v>
      </c>
      <c r="D19" s="358">
        <v>720000</v>
      </c>
      <c r="E19" s="359">
        <f>D19/'- 3 -'!$D19*100</f>
        <v>1.6570877787014506</v>
      </c>
    </row>
    <row r="20" spans="1:5" ht="14.1" customHeight="1">
      <c r="A20" s="23" t="s">
        <v>238</v>
      </c>
      <c r="B20" s="24">
        <v>80000</v>
      </c>
      <c r="C20" s="350">
        <f>B20/'- 3 -'!$D20*100</f>
        <v>0.10563901037375081</v>
      </c>
      <c r="D20" s="24">
        <v>1255300</v>
      </c>
      <c r="E20" s="350">
        <f>D20/'- 3 -'!$D20*100</f>
        <v>1.6576081215271175</v>
      </c>
    </row>
    <row r="21" spans="1:5" ht="14.1" customHeight="1">
      <c r="A21" s="357" t="s">
        <v>239</v>
      </c>
      <c r="B21" s="358">
        <v>28000</v>
      </c>
      <c r="C21" s="359">
        <f>B21/'- 3 -'!$D21*100</f>
        <v>8.1197773881831262E-2</v>
      </c>
      <c r="D21" s="358">
        <v>592000</v>
      </c>
      <c r="E21" s="359">
        <f>D21/'- 3 -'!$D21*100</f>
        <v>1.7167529335015752</v>
      </c>
    </row>
    <row r="22" spans="1:5" ht="14.1" customHeight="1">
      <c r="A22" s="23" t="s">
        <v>240</v>
      </c>
      <c r="B22" s="24">
        <v>30000</v>
      </c>
      <c r="C22" s="350">
        <f>B22/'- 3 -'!$D22*100</f>
        <v>0.15461089102823405</v>
      </c>
      <c r="D22" s="24">
        <v>333000</v>
      </c>
      <c r="E22" s="350">
        <f>D22/'- 3 -'!$D22*100</f>
        <v>1.7161808904133979</v>
      </c>
    </row>
    <row r="23" spans="1:5" ht="14.1" customHeight="1">
      <c r="A23" s="357" t="s">
        <v>241</v>
      </c>
      <c r="B23" s="358">
        <v>5000</v>
      </c>
      <c r="C23" s="359">
        <f>B23/'- 3 -'!$D23*100</f>
        <v>3.0686368133311406E-2</v>
      </c>
      <c r="D23" s="358">
        <v>250000</v>
      </c>
      <c r="E23" s="359">
        <f>D23/'- 3 -'!$D23*100</f>
        <v>1.5343184066655702</v>
      </c>
    </row>
    <row r="24" spans="1:5" ht="14.1" customHeight="1">
      <c r="A24" s="23" t="s">
        <v>242</v>
      </c>
      <c r="B24" s="24">
        <v>40000</v>
      </c>
      <c r="C24" s="350">
        <f>B24/'- 3 -'!$D24*100</f>
        <v>7.3623908863760926E-2</v>
      </c>
      <c r="D24" s="24">
        <v>894530</v>
      </c>
      <c r="E24" s="350">
        <f>D24/'- 3 -'!$D24*100</f>
        <v>1.6464698798975015</v>
      </c>
    </row>
    <row r="25" spans="1:5" ht="14.1" customHeight="1">
      <c r="A25" s="357" t="s">
        <v>243</v>
      </c>
      <c r="B25" s="358">
        <v>108000</v>
      </c>
      <c r="C25" s="359">
        <f>B25/'- 3 -'!$D25*100</f>
        <v>6.7922217664934906E-2</v>
      </c>
      <c r="D25" s="358">
        <v>2579281</v>
      </c>
      <c r="E25" s="359">
        <f>D25/'- 3 -'!$D25*100</f>
        <v>1.6221341250095462</v>
      </c>
    </row>
    <row r="26" spans="1:5" ht="14.1" customHeight="1">
      <c r="A26" s="23" t="s">
        <v>244</v>
      </c>
      <c r="B26" s="24">
        <v>120000</v>
      </c>
      <c r="C26" s="350">
        <f>B26/'- 3 -'!$D26*100</f>
        <v>0.30833468743650233</v>
      </c>
      <c r="D26" s="24">
        <v>583605</v>
      </c>
      <c r="E26" s="350">
        <f>D26/'- 3 -'!$D26*100</f>
        <v>1.4995472105114993</v>
      </c>
    </row>
    <row r="27" spans="1:5" ht="14.1" customHeight="1">
      <c r="A27" s="357" t="s">
        <v>245</v>
      </c>
      <c r="B27" s="358">
        <v>1500</v>
      </c>
      <c r="C27" s="359">
        <f>B27/'- 3 -'!$D27*100</f>
        <v>3.837171225093913E-3</v>
      </c>
      <c r="D27" s="358">
        <v>692059</v>
      </c>
      <c r="E27" s="359">
        <f>D27/'- 3 -'!$D27*100</f>
        <v>1.7703659205781788</v>
      </c>
    </row>
    <row r="28" spans="1:5" ht="14.1" customHeight="1">
      <c r="A28" s="23" t="s">
        <v>246</v>
      </c>
      <c r="B28" s="24">
        <v>39000</v>
      </c>
      <c r="C28" s="350">
        <f>B28/'- 3 -'!$D28*100</f>
        <v>0.1425965567904133</v>
      </c>
      <c r="D28" s="24">
        <v>420000</v>
      </c>
      <c r="E28" s="350">
        <f>D28/'- 3 -'!$D28*100</f>
        <v>1.5356552269736816</v>
      </c>
    </row>
    <row r="29" spans="1:5" ht="14.1" customHeight="1">
      <c r="A29" s="357" t="s">
        <v>247</v>
      </c>
      <c r="B29" s="358">
        <v>100000</v>
      </c>
      <c r="C29" s="359">
        <f>B29/'- 3 -'!$D29*100</f>
        <v>6.7989863635994019E-2</v>
      </c>
      <c r="D29" s="358">
        <v>2465000</v>
      </c>
      <c r="E29" s="359">
        <f>D29/'- 3 -'!$D29*100</f>
        <v>1.6759501386272524</v>
      </c>
    </row>
    <row r="30" spans="1:5" ht="14.1" customHeight="1">
      <c r="A30" s="23" t="s">
        <v>248</v>
      </c>
      <c r="B30" s="24">
        <v>4000</v>
      </c>
      <c r="C30" s="350">
        <f>B30/'- 3 -'!$D30*100</f>
        <v>2.9849844090533088E-2</v>
      </c>
      <c r="D30" s="24">
        <v>216131</v>
      </c>
      <c r="E30" s="350">
        <f>D30/'- 3 -'!$D30*100</f>
        <v>1.6128691632827517</v>
      </c>
    </row>
    <row r="31" spans="1:5" ht="14.1" customHeight="1">
      <c r="A31" s="357" t="s">
        <v>249</v>
      </c>
      <c r="B31" s="358">
        <v>35000</v>
      </c>
      <c r="C31" s="359">
        <f>B31/'- 3 -'!$D31*100</f>
        <v>0.10006960841961669</v>
      </c>
      <c r="D31" s="358">
        <v>594071</v>
      </c>
      <c r="E31" s="359">
        <f>D31/'- 3 -'!$D31*100</f>
        <v>1.6985272098128601</v>
      </c>
    </row>
    <row r="32" spans="1:5" ht="14.1" customHeight="1">
      <c r="A32" s="23" t="s">
        <v>250</v>
      </c>
      <c r="B32" s="24">
        <v>21500</v>
      </c>
      <c r="C32" s="350">
        <f>B32/'- 3 -'!$D32*100</f>
        <v>8.0773386769499578E-2</v>
      </c>
      <c r="D32" s="24">
        <v>432875</v>
      </c>
      <c r="E32" s="350">
        <f>D32/'- 3 -'!$D32*100</f>
        <v>1.6262688278068433</v>
      </c>
    </row>
    <row r="33" spans="1:5" ht="14.1" customHeight="1">
      <c r="A33" s="357" t="s">
        <v>251</v>
      </c>
      <c r="B33" s="358">
        <v>15000</v>
      </c>
      <c r="C33" s="359">
        <f>B33/'- 3 -'!$D33*100</f>
        <v>5.5349074807005155E-2</v>
      </c>
      <c r="D33" s="358">
        <v>400000</v>
      </c>
      <c r="E33" s="359">
        <f>D33/'- 3 -'!$D33*100</f>
        <v>1.4759753281868042</v>
      </c>
    </row>
    <row r="34" spans="1:5" ht="14.1" customHeight="1">
      <c r="A34" s="23" t="s">
        <v>252</v>
      </c>
      <c r="B34" s="24">
        <v>40000</v>
      </c>
      <c r="C34" s="350">
        <f>B34/'- 3 -'!$D34*100</f>
        <v>0.15190025894816894</v>
      </c>
      <c r="D34" s="24">
        <v>425291</v>
      </c>
      <c r="E34" s="350">
        <f>D34/'- 3 -'!$D34*100</f>
        <v>1.6150453257081427</v>
      </c>
    </row>
    <row r="35" spans="1:5" ht="14.1" customHeight="1">
      <c r="A35" s="357" t="s">
        <v>253</v>
      </c>
      <c r="B35" s="358">
        <v>31000</v>
      </c>
      <c r="C35" s="359">
        <f>B35/'- 3 -'!$D35*100</f>
        <v>1.8186757939942514E-2</v>
      </c>
      <c r="D35" s="358">
        <v>3000000</v>
      </c>
      <c r="E35" s="359">
        <f>D35/'- 3 -'!$D35*100</f>
        <v>1.7600088328976626</v>
      </c>
    </row>
    <row r="36" spans="1:5" ht="14.1" customHeight="1">
      <c r="A36" s="23" t="s">
        <v>254</v>
      </c>
      <c r="B36" s="24">
        <v>50000</v>
      </c>
      <c r="C36" s="350">
        <f>B36/'- 3 -'!$D36*100</f>
        <v>0.22602879832919509</v>
      </c>
      <c r="D36" s="24">
        <v>355000</v>
      </c>
      <c r="E36" s="350">
        <f>D36/'- 3 -'!$D36*100</f>
        <v>1.6048044681372855</v>
      </c>
    </row>
    <row r="37" spans="1:5" ht="14.1" customHeight="1">
      <c r="A37" s="357" t="s">
        <v>255</v>
      </c>
      <c r="B37" s="358">
        <v>35000</v>
      </c>
      <c r="C37" s="359">
        <f>B37/'- 3 -'!$D37*100</f>
        <v>7.829548492308587E-2</v>
      </c>
      <c r="D37" s="358">
        <v>720000</v>
      </c>
      <c r="E37" s="359">
        <f>D37/'- 3 -'!$D37*100</f>
        <v>1.6106499755606236</v>
      </c>
    </row>
    <row r="38" spans="1:5" ht="14.1" customHeight="1">
      <c r="A38" s="23" t="s">
        <v>256</v>
      </c>
      <c r="B38" s="24">
        <v>250000</v>
      </c>
      <c r="C38" s="350">
        <f>B38/'- 3 -'!$D38*100</f>
        <v>0.20447279327951909</v>
      </c>
      <c r="D38" s="24">
        <v>1987590</v>
      </c>
      <c r="E38" s="350">
        <f>D38/'- 3 -'!$D38*100</f>
        <v>1.6256323167777573</v>
      </c>
    </row>
    <row r="39" spans="1:5" ht="14.1" customHeight="1">
      <c r="A39" s="357" t="s">
        <v>257</v>
      </c>
      <c r="B39" s="358">
        <v>125000</v>
      </c>
      <c r="C39" s="359">
        <f>B39/'- 3 -'!$D39*100</f>
        <v>0.59928837142761804</v>
      </c>
      <c r="D39" s="358">
        <v>310000</v>
      </c>
      <c r="E39" s="359">
        <f>D39/'- 3 -'!$D39*100</f>
        <v>1.4862351611404927</v>
      </c>
    </row>
    <row r="40" spans="1:5" ht="14.1" customHeight="1">
      <c r="A40" s="23" t="s">
        <v>258</v>
      </c>
      <c r="B40" s="24">
        <v>24300</v>
      </c>
      <c r="C40" s="350">
        <f>B40/'- 3 -'!$D40*100</f>
        <v>2.4479569145076634E-2</v>
      </c>
      <c r="D40" s="24">
        <v>1637974</v>
      </c>
      <c r="E40" s="350">
        <f>D40/'- 3 -'!$D40*100</f>
        <v>1.6500780983883849</v>
      </c>
    </row>
    <row r="41" spans="1:5" ht="14.1" customHeight="1">
      <c r="A41" s="357" t="s">
        <v>259</v>
      </c>
      <c r="B41" s="358">
        <v>123000</v>
      </c>
      <c r="C41" s="359">
        <f>B41/'- 3 -'!$D41*100</f>
        <v>0.20712770554671495</v>
      </c>
      <c r="D41" s="358">
        <v>980000</v>
      </c>
      <c r="E41" s="359">
        <f>D41/'- 3 -'!$D41*100</f>
        <v>1.6502857840307368</v>
      </c>
    </row>
    <row r="42" spans="1:5" ht="14.1" customHeight="1">
      <c r="A42" s="23" t="s">
        <v>260</v>
      </c>
      <c r="B42" s="24">
        <v>2000</v>
      </c>
      <c r="C42" s="350">
        <f>B42/'- 3 -'!$D42*100</f>
        <v>9.8221580420588747E-3</v>
      </c>
      <c r="D42" s="24">
        <v>319000</v>
      </c>
      <c r="E42" s="350">
        <f>D42/'- 3 -'!$D42*100</f>
        <v>1.5666342077083906</v>
      </c>
    </row>
    <row r="43" spans="1:5" ht="14.1" customHeight="1">
      <c r="A43" s="357" t="s">
        <v>261</v>
      </c>
      <c r="B43" s="358">
        <v>26000</v>
      </c>
      <c r="C43" s="359">
        <f>B43/'- 3 -'!$D43*100</f>
        <v>0.20893863592804313</v>
      </c>
      <c r="D43" s="358">
        <v>200000</v>
      </c>
      <c r="E43" s="359">
        <f>D43/'- 3 -'!$D43*100</f>
        <v>1.6072202763695624</v>
      </c>
    </row>
    <row r="44" spans="1:5" ht="14.1" customHeight="1">
      <c r="A44" s="23" t="s">
        <v>262</v>
      </c>
      <c r="B44" s="24">
        <v>2000</v>
      </c>
      <c r="C44" s="350">
        <f>B44/'- 3 -'!$D44*100</f>
        <v>1.8579550621982972E-2</v>
      </c>
      <c r="D44" s="24">
        <v>165909</v>
      </c>
      <c r="E44" s="350">
        <f>D44/'- 3 -'!$D44*100</f>
        <v>1.5412573320712863</v>
      </c>
    </row>
    <row r="45" spans="1:5" ht="14.1" customHeight="1">
      <c r="A45" s="357" t="s">
        <v>263</v>
      </c>
      <c r="B45" s="358">
        <v>23000</v>
      </c>
      <c r="C45" s="359">
        <f>B45/'- 3 -'!$D45*100</f>
        <v>0.13099801463965466</v>
      </c>
      <c r="D45" s="358">
        <v>291208</v>
      </c>
      <c r="E45" s="359">
        <f>D45/'- 3 -'!$D45*100</f>
        <v>1.6585943411819368</v>
      </c>
    </row>
    <row r="46" spans="1:5" ht="14.1" customHeight="1">
      <c r="A46" s="23" t="s">
        <v>264</v>
      </c>
      <c r="B46" s="24">
        <v>652600</v>
      </c>
      <c r="C46" s="350">
        <f>B46/'- 3 -'!$D46*100</f>
        <v>0.17651486730685539</v>
      </c>
      <c r="D46" s="24">
        <v>6289500</v>
      </c>
      <c r="E46" s="350">
        <f>D46/'- 3 -'!$D46*100</f>
        <v>1.7011802910304428</v>
      </c>
    </row>
    <row r="47" spans="1:5" ht="5.0999999999999996" customHeight="1">
      <c r="A47"/>
      <c r="B47"/>
      <c r="C47"/>
      <c r="D47"/>
      <c r="E47"/>
    </row>
    <row r="48" spans="1:5" ht="14.1" customHeight="1">
      <c r="A48" s="360" t="s">
        <v>265</v>
      </c>
      <c r="B48" s="361">
        <f>SUM(B11:B46)</f>
        <v>2564000</v>
      </c>
      <c r="C48" s="362">
        <f>B48/'- 3 -'!$D48*100</f>
        <v>0.11949465653824241</v>
      </c>
      <c r="D48" s="361">
        <f>SUM(D11:D46)</f>
        <v>35094672</v>
      </c>
      <c r="E48" s="362">
        <f>D48/'- 3 -'!$D48*100</f>
        <v>1.6355794761943341</v>
      </c>
    </row>
    <row r="49" spans="1:5" ht="5.0999999999999996" customHeight="1">
      <c r="A49" s="25" t="s">
        <v>3</v>
      </c>
      <c r="B49" s="26"/>
      <c r="C49" s="349"/>
      <c r="D49" s="26"/>
      <c r="E49" s="349"/>
    </row>
    <row r="50" spans="1:5" ht="14.1" customHeight="1">
      <c r="A50" s="23" t="s">
        <v>266</v>
      </c>
      <c r="B50" s="24">
        <v>5357</v>
      </c>
      <c r="C50" s="350">
        <f>B50/'- 3 -'!$D50*100</f>
        <v>0.15927013427807252</v>
      </c>
      <c r="D50" s="24">
        <v>45316</v>
      </c>
      <c r="E50" s="350">
        <f>D50/'- 3 -'!$D50*100</f>
        <v>1.347299870252965</v>
      </c>
    </row>
    <row r="51" spans="1:5" ht="14.1" customHeight="1">
      <c r="A51" s="511" t="s">
        <v>691</v>
      </c>
      <c r="B51" s="358">
        <v>41000</v>
      </c>
      <c r="C51" s="359">
        <f>B51/'- 3 -'!$D51*100</f>
        <v>0.18212264565391847</v>
      </c>
      <c r="D51" s="358">
        <v>124115</v>
      </c>
      <c r="E51" s="359">
        <f>D51/'- 3 -'!$D51*100</f>
        <v>0.55132078452039246</v>
      </c>
    </row>
    <row r="52" spans="1:5" ht="50.1" customHeight="1"/>
    <row r="53" spans="1:5" ht="15" customHeight="1">
      <c r="C53" s="115"/>
    </row>
    <row r="54" spans="1:5" ht="14.45" customHeight="1">
      <c r="C54" s="115"/>
    </row>
    <row r="55" spans="1:5" ht="14.45" customHeight="1"/>
    <row r="56" spans="1:5" ht="14.45" customHeight="1"/>
    <row r="57" spans="1:5" ht="14.45" customHeight="1"/>
    <row r="58" spans="1:5" ht="14.45" customHeight="1"/>
    <row r="59" spans="1:5" ht="14.45" customHeight="1"/>
  </sheetData>
  <phoneticPr fontId="0" type="noConversion"/>
  <printOptions horizontalCentered="1"/>
  <pageMargins left="0.51181102362204722" right="0.51181102362204722" top="0.59055118110236227" bottom="0" header="0.31496062992125984" footer="0"/>
  <pageSetup scale="90" orientation="portrait" r:id="rId1"/>
  <headerFooter alignWithMargins="0">
    <oddHeader>&amp;C&amp;"Arial,Bold"&amp;10&amp;A</oddHeader>
  </headerFooter>
</worksheet>
</file>

<file path=xl/worksheets/sheet31.xml><?xml version="1.0" encoding="utf-8"?>
<worksheet xmlns="http://schemas.openxmlformats.org/spreadsheetml/2006/main" xmlns:r="http://schemas.openxmlformats.org/officeDocument/2006/relationships">
  <sheetPr codeName="Sheet32">
    <pageSetUpPr fitToPage="1"/>
  </sheetPr>
  <dimension ref="A1:H59"/>
  <sheetViews>
    <sheetView showGridLines="0" showZeros="0" workbookViewId="0"/>
  </sheetViews>
  <sheetFormatPr defaultColWidth="15.83203125" defaultRowHeight="12"/>
  <cols>
    <col min="1" max="1" width="30.83203125" style="1" customWidth="1"/>
    <col min="2" max="2" width="16.83203125" style="1" customWidth="1"/>
    <col min="3" max="3" width="19.83203125" style="1" customWidth="1"/>
    <col min="4" max="4" width="10.83203125" style="1" customWidth="1"/>
    <col min="5" max="5" width="16.83203125" style="1" customWidth="1"/>
    <col min="6" max="6" width="11.83203125" style="1" customWidth="1"/>
    <col min="7" max="7" width="14.83203125" style="1" customWidth="1"/>
    <col min="8" max="8" width="11.83203125" style="1" customWidth="1"/>
    <col min="9" max="16384" width="15.83203125" style="1"/>
  </cols>
  <sheetData>
    <row r="1" spans="1:8" ht="6.95" customHeight="1">
      <c r="A1" s="3"/>
      <c r="B1" s="4"/>
      <c r="C1" s="4"/>
      <c r="D1" s="4"/>
      <c r="E1" s="4"/>
      <c r="F1" s="4"/>
      <c r="G1" s="4"/>
      <c r="H1" s="4"/>
    </row>
    <row r="2" spans="1:8" ht="15.95" customHeight="1">
      <c r="A2" s="159"/>
      <c r="B2" s="5" t="s">
        <v>475</v>
      </c>
      <c r="C2" s="6"/>
      <c r="D2" s="6"/>
      <c r="E2" s="6"/>
      <c r="F2" s="106"/>
      <c r="G2" s="106"/>
      <c r="H2" s="106"/>
    </row>
    <row r="3" spans="1:8" ht="15.95" customHeight="1">
      <c r="A3" s="162"/>
      <c r="B3" s="7" t="str">
        <f>OPYEAR</f>
        <v>OPERATING FUND 2014/2015 BUDGET</v>
      </c>
      <c r="C3" s="8"/>
      <c r="D3" s="8"/>
      <c r="E3" s="8"/>
      <c r="F3" s="108"/>
      <c r="G3" s="108"/>
      <c r="H3" s="108"/>
    </row>
    <row r="4" spans="1:8" ht="15.95" customHeight="1">
      <c r="B4" s="4"/>
      <c r="C4" s="4"/>
      <c r="D4" s="4"/>
      <c r="E4" s="4"/>
      <c r="F4" s="4"/>
      <c r="G4" s="4"/>
      <c r="H4" s="4"/>
    </row>
    <row r="5" spans="1:8" ht="15.95" customHeight="1">
      <c r="B5" s="4"/>
      <c r="C5" s="4"/>
      <c r="D5" s="4"/>
      <c r="E5" s="4"/>
      <c r="F5" s="4"/>
      <c r="G5" s="4"/>
      <c r="H5" s="4"/>
    </row>
    <row r="6" spans="1:8" ht="15.95" customHeight="1">
      <c r="B6" s="351" t="s">
        <v>25</v>
      </c>
      <c r="C6" s="352"/>
      <c r="D6" s="366"/>
      <c r="E6" s="366"/>
      <c r="F6" s="366"/>
      <c r="G6" s="366"/>
      <c r="H6" s="365"/>
    </row>
    <row r="7" spans="1:8" ht="15.95" customHeight="1">
      <c r="B7" s="354" t="s">
        <v>55</v>
      </c>
      <c r="C7" s="355"/>
      <c r="D7" s="377"/>
      <c r="E7" s="377"/>
      <c r="F7" s="377"/>
      <c r="G7" s="377"/>
      <c r="H7" s="367"/>
    </row>
    <row r="8" spans="1:8" ht="15.95" customHeight="1">
      <c r="A8" s="102"/>
      <c r="B8" s="30"/>
      <c r="C8" s="111" t="s">
        <v>193</v>
      </c>
      <c r="D8" s="112" t="s">
        <v>60</v>
      </c>
      <c r="E8" s="180" t="s">
        <v>73</v>
      </c>
      <c r="F8" s="180" t="s">
        <v>74</v>
      </c>
      <c r="G8" s="180" t="s">
        <v>75</v>
      </c>
      <c r="H8" s="180" t="s">
        <v>74</v>
      </c>
    </row>
    <row r="9" spans="1:8" ht="15.95" customHeight="1">
      <c r="A9" s="35" t="s">
        <v>81</v>
      </c>
      <c r="B9" s="113" t="s">
        <v>82</v>
      </c>
      <c r="C9" s="113" t="s">
        <v>88</v>
      </c>
      <c r="D9" s="113" t="s">
        <v>84</v>
      </c>
      <c r="E9" s="113" t="s">
        <v>89</v>
      </c>
      <c r="F9" s="113" t="s">
        <v>90</v>
      </c>
      <c r="G9" s="113" t="s">
        <v>91</v>
      </c>
      <c r="H9" s="113" t="s">
        <v>90</v>
      </c>
    </row>
    <row r="10" spans="1:8" ht="5.0999999999999996" customHeight="1">
      <c r="A10" s="37"/>
    </row>
    <row r="11" spans="1:8" ht="14.1" customHeight="1">
      <c r="A11" s="357" t="s">
        <v>230</v>
      </c>
      <c r="B11" s="414">
        <f>'- 30 -'!$D11</f>
        <v>1032000</v>
      </c>
      <c r="C11" s="414">
        <v>665</v>
      </c>
      <c r="D11" s="414">
        <f ca="1">IF(AND(CELL("type",C11)="v",C11&gt;0),B11/C11,"")</f>
        <v>1551.8796992481202</v>
      </c>
      <c r="E11" s="414">
        <v>630000</v>
      </c>
      <c r="F11" s="415">
        <f ca="1">IF(AND(CELL("type",E11)="v",E11&gt;0),B11/E11,"")</f>
        <v>1.638095238095238</v>
      </c>
      <c r="G11" s="414">
        <v>404000</v>
      </c>
      <c r="H11" s="415">
        <f ca="1">IF(AND(CELL("type",G11)="v",G11&gt;0),B11/G11,"")</f>
        <v>2.5544554455445545</v>
      </c>
    </row>
    <row r="12" spans="1:8" ht="14.1" customHeight="1">
      <c r="A12" s="23" t="s">
        <v>231</v>
      </c>
      <c r="B12" s="169">
        <f>'- 30 -'!$D12</f>
        <v>2167861</v>
      </c>
      <c r="C12" s="169">
        <v>1455</v>
      </c>
      <c r="D12" s="169">
        <f t="shared" ref="D12:D46" ca="1" si="0">IF(AND(CELL("type",C12)="v",C12&gt;0),B12/C12,"")</f>
        <v>1489.9388316151203</v>
      </c>
      <c r="E12" s="169">
        <v>1163495</v>
      </c>
      <c r="F12" s="176">
        <f t="shared" ref="F12:F46" ca="1" si="1">IF(AND(CELL("type",E12)="v",E12&gt;0),B12/E12,"")</f>
        <v>1.8632319004379048</v>
      </c>
      <c r="G12" s="169">
        <v>827495</v>
      </c>
      <c r="H12" s="176">
        <f t="shared" ref="H12:H46" ca="1" si="2">IF(AND(CELL("type",G12)="v",G12&gt;0),B12/G12,"")</f>
        <v>2.6197874307397626</v>
      </c>
    </row>
    <row r="13" spans="1:8" ht="14.1" customHeight="1">
      <c r="A13" s="357" t="s">
        <v>232</v>
      </c>
      <c r="B13" s="414">
        <f>'- 30 -'!$D13</f>
        <v>1892500</v>
      </c>
      <c r="C13" s="414">
        <v>3000</v>
      </c>
      <c r="D13" s="414">
        <f t="shared" ca="1" si="0"/>
        <v>630.83333333333337</v>
      </c>
      <c r="E13" s="414">
        <v>820000</v>
      </c>
      <c r="F13" s="415">
        <f t="shared" ca="1" si="1"/>
        <v>2.3079268292682928</v>
      </c>
      <c r="G13" s="414">
        <v>510000</v>
      </c>
      <c r="H13" s="415">
        <f t="shared" ca="1" si="2"/>
        <v>3.7107843137254903</v>
      </c>
    </row>
    <row r="14" spans="1:8" ht="14.1" customHeight="1">
      <c r="A14" s="23" t="s">
        <v>566</v>
      </c>
      <c r="B14" s="169">
        <f>'- 30 -'!$D14</f>
        <v>7795405</v>
      </c>
      <c r="C14" s="169">
        <v>4214</v>
      </c>
      <c r="D14" s="169">
        <f t="shared" ca="1" si="0"/>
        <v>1849.8825344091124</v>
      </c>
      <c r="E14" s="169">
        <v>2974422</v>
      </c>
      <c r="F14" s="176">
        <f t="shared" ca="1" si="1"/>
        <v>2.6208133882818241</v>
      </c>
      <c r="G14" s="169">
        <v>1550978</v>
      </c>
      <c r="H14" s="176">
        <f t="shared" ca="1" si="2"/>
        <v>5.0261222273945858</v>
      </c>
    </row>
    <row r="15" spans="1:8" ht="14.1" customHeight="1">
      <c r="A15" s="357" t="s">
        <v>233</v>
      </c>
      <c r="B15" s="414">
        <f>'- 30 -'!$D15</f>
        <v>1242450</v>
      </c>
      <c r="C15" s="414">
        <v>980</v>
      </c>
      <c r="D15" s="414">
        <f t="shared" ca="1" si="0"/>
        <v>1267.8061224489795</v>
      </c>
      <c r="E15" s="414">
        <v>725000</v>
      </c>
      <c r="F15" s="415">
        <f t="shared" ca="1" si="1"/>
        <v>1.7137241379310344</v>
      </c>
      <c r="G15" s="414">
        <v>475000</v>
      </c>
      <c r="H15" s="415">
        <f t="shared" ca="1" si="2"/>
        <v>2.6156842105263158</v>
      </c>
    </row>
    <row r="16" spans="1:8" ht="14.1" customHeight="1">
      <c r="A16" s="23" t="s">
        <v>234</v>
      </c>
      <c r="B16" s="169">
        <f>'- 30 -'!$D16</f>
        <v>296394</v>
      </c>
      <c r="C16" s="169">
        <v>197</v>
      </c>
      <c r="D16" s="169">
        <f t="shared" ca="1" si="0"/>
        <v>1504.5380710659899</v>
      </c>
      <c r="E16" s="169">
        <v>59396</v>
      </c>
      <c r="F16" s="176">
        <f t="shared" ca="1" si="1"/>
        <v>4.9901340157586374</v>
      </c>
      <c r="G16" s="169">
        <v>38632</v>
      </c>
      <c r="H16" s="176">
        <f t="shared" ca="1" si="2"/>
        <v>7.6722406295299237</v>
      </c>
    </row>
    <row r="17" spans="1:8" ht="14.1" customHeight="1">
      <c r="A17" s="357" t="s">
        <v>235</v>
      </c>
      <c r="B17" s="414">
        <f>'- 30 -'!$D17</f>
        <v>1301450</v>
      </c>
      <c r="C17" s="414">
        <v>665</v>
      </c>
      <c r="D17" s="414">
        <f t="shared" ca="1" si="0"/>
        <v>1957.0676691729323</v>
      </c>
      <c r="E17" s="414">
        <v>945100</v>
      </c>
      <c r="F17" s="415">
        <f t="shared" ca="1" si="1"/>
        <v>1.3770500476140091</v>
      </c>
      <c r="G17" s="414">
        <v>624206</v>
      </c>
      <c r="H17" s="415">
        <f t="shared" ca="1" si="2"/>
        <v>2.0849687442927496</v>
      </c>
    </row>
    <row r="18" spans="1:8" ht="14.1" customHeight="1">
      <c r="A18" s="23" t="s">
        <v>236</v>
      </c>
      <c r="B18" s="169">
        <f>'- 30 -'!$D18</f>
        <v>6714600</v>
      </c>
      <c r="C18" s="169">
        <v>5150</v>
      </c>
      <c r="D18" s="169">
        <f t="shared" ca="1" si="0"/>
        <v>1303.8058252427184</v>
      </c>
      <c r="E18" s="169">
        <v>1623900</v>
      </c>
      <c r="F18" s="176">
        <f t="shared" ca="1" si="1"/>
        <v>4.13486052096804</v>
      </c>
      <c r="G18" s="169">
        <v>1043450</v>
      </c>
      <c r="H18" s="176">
        <f t="shared" ca="1" si="2"/>
        <v>6.4349992812305334</v>
      </c>
    </row>
    <row r="19" spans="1:8" ht="14.1" customHeight="1">
      <c r="A19" s="357" t="s">
        <v>237</v>
      </c>
      <c r="B19" s="414">
        <f>'- 30 -'!$D19</f>
        <v>2424000</v>
      </c>
      <c r="C19" s="414">
        <v>2530</v>
      </c>
      <c r="D19" s="414">
        <f t="shared" ca="1" si="0"/>
        <v>958.102766798419</v>
      </c>
      <c r="E19" s="414">
        <v>787000</v>
      </c>
      <c r="F19" s="415">
        <f t="shared" ca="1" si="1"/>
        <v>3.0800508259212198</v>
      </c>
      <c r="G19" s="414">
        <v>460000</v>
      </c>
      <c r="H19" s="415">
        <f t="shared" ca="1" si="2"/>
        <v>5.2695652173913041</v>
      </c>
    </row>
    <row r="20" spans="1:8" ht="14.1" customHeight="1">
      <c r="A20" s="23" t="s">
        <v>238</v>
      </c>
      <c r="B20" s="169">
        <f>'- 30 -'!$D20</f>
        <v>3429600</v>
      </c>
      <c r="C20" s="169">
        <v>5020</v>
      </c>
      <c r="D20" s="169">
        <f t="shared" ca="1" si="0"/>
        <v>683.18725099601591</v>
      </c>
      <c r="E20" s="169">
        <v>1479039</v>
      </c>
      <c r="F20" s="176">
        <f t="shared" ca="1" si="1"/>
        <v>2.3188029524576432</v>
      </c>
      <c r="G20" s="169">
        <v>884660</v>
      </c>
      <c r="H20" s="176">
        <f t="shared" ca="1" si="2"/>
        <v>3.8767436077136979</v>
      </c>
    </row>
    <row r="21" spans="1:8" ht="14.1" customHeight="1">
      <c r="A21" s="357" t="s">
        <v>239</v>
      </c>
      <c r="B21" s="414">
        <f>'- 30 -'!$D21</f>
        <v>1781000</v>
      </c>
      <c r="C21" s="414">
        <v>1472</v>
      </c>
      <c r="D21" s="414">
        <f t="shared" ca="1" si="0"/>
        <v>1209.9184782608695</v>
      </c>
      <c r="E21" s="414">
        <v>910000</v>
      </c>
      <c r="F21" s="415">
        <f t="shared" ca="1" si="1"/>
        <v>1.9571428571428571</v>
      </c>
      <c r="G21" s="414">
        <v>629376</v>
      </c>
      <c r="H21" s="415">
        <f t="shared" ca="1" si="2"/>
        <v>2.8297869635956885</v>
      </c>
    </row>
    <row r="22" spans="1:8" ht="14.1" customHeight="1">
      <c r="A22" s="23" t="s">
        <v>240</v>
      </c>
      <c r="B22" s="169">
        <f>'- 30 -'!$D22</f>
        <v>462675</v>
      </c>
      <c r="C22" s="169">
        <v>464</v>
      </c>
      <c r="D22" s="169">
        <f t="shared" ca="1" si="0"/>
        <v>997.14439655172418</v>
      </c>
      <c r="E22" s="169">
        <v>163184</v>
      </c>
      <c r="F22" s="176">
        <f t="shared" ca="1" si="1"/>
        <v>2.8352963525835868</v>
      </c>
      <c r="G22" s="169">
        <v>80360</v>
      </c>
      <c r="H22" s="176">
        <f t="shared" ca="1" si="2"/>
        <v>5.7575286212045791</v>
      </c>
    </row>
    <row r="23" spans="1:8" ht="14.1" customHeight="1">
      <c r="A23" s="357" t="s">
        <v>241</v>
      </c>
      <c r="B23" s="414">
        <f>'- 30 -'!$D23</f>
        <v>1528390</v>
      </c>
      <c r="C23" s="414">
        <v>798</v>
      </c>
      <c r="D23" s="414">
        <f t="shared" ca="1" si="0"/>
        <v>1915.2756892230577</v>
      </c>
      <c r="E23" s="414">
        <v>1022700</v>
      </c>
      <c r="F23" s="415">
        <f t="shared" ca="1" si="1"/>
        <v>1.4944656301945829</v>
      </c>
      <c r="G23" s="414">
        <v>612500</v>
      </c>
      <c r="H23" s="415">
        <f t="shared" ca="1" si="2"/>
        <v>2.4953306122448979</v>
      </c>
    </row>
    <row r="24" spans="1:8" ht="14.1" customHeight="1">
      <c r="A24" s="23" t="s">
        <v>242</v>
      </c>
      <c r="B24" s="169">
        <f>'- 30 -'!$D24</f>
        <v>2301215</v>
      </c>
      <c r="C24" s="169">
        <v>2901</v>
      </c>
      <c r="D24" s="169">
        <f t="shared" ca="1" si="0"/>
        <v>793.24887969665633</v>
      </c>
      <c r="E24" s="169">
        <v>1056924</v>
      </c>
      <c r="F24" s="176">
        <f t="shared" ca="1" si="1"/>
        <v>2.1772757549265607</v>
      </c>
      <c r="G24" s="169">
        <v>660858</v>
      </c>
      <c r="H24" s="176">
        <f t="shared" ca="1" si="2"/>
        <v>3.4821625825820375</v>
      </c>
    </row>
    <row r="25" spans="1:8" ht="14.1" customHeight="1">
      <c r="A25" s="357" t="s">
        <v>243</v>
      </c>
      <c r="B25" s="414">
        <f>'- 30 -'!$D25</f>
        <v>3415829</v>
      </c>
      <c r="C25" s="414">
        <v>2524</v>
      </c>
      <c r="D25" s="414">
        <f t="shared" ca="1" si="0"/>
        <v>1353.3395404120445</v>
      </c>
      <c r="E25" s="414">
        <v>919354</v>
      </c>
      <c r="F25" s="415">
        <f t="shared" ca="1" si="1"/>
        <v>3.7154665123554147</v>
      </c>
      <c r="G25" s="414">
        <v>662036</v>
      </c>
      <c r="H25" s="415">
        <f t="shared" ca="1" si="2"/>
        <v>5.159581956268239</v>
      </c>
    </row>
    <row r="26" spans="1:8" ht="14.1" customHeight="1">
      <c r="A26" s="23" t="s">
        <v>244</v>
      </c>
      <c r="B26" s="169">
        <f>'- 30 -'!$D26</f>
        <v>2668206</v>
      </c>
      <c r="C26" s="169">
        <v>1297</v>
      </c>
      <c r="D26" s="169">
        <f t="shared" ca="1" si="0"/>
        <v>2057.213569776407</v>
      </c>
      <c r="E26" s="169">
        <v>1347519</v>
      </c>
      <c r="F26" s="176">
        <f t="shared" ca="1" si="1"/>
        <v>1.9800878503382884</v>
      </c>
      <c r="G26" s="169">
        <v>1072744</v>
      </c>
      <c r="H26" s="176">
        <f t="shared" ca="1" si="2"/>
        <v>2.4872718933874252</v>
      </c>
    </row>
    <row r="27" spans="1:8" ht="14.1" customHeight="1">
      <c r="A27" s="357" t="s">
        <v>245</v>
      </c>
      <c r="B27" s="414">
        <f>'- 30 -'!$D27</f>
        <v>0</v>
      </c>
      <c r="C27" s="418" t="s">
        <v>184</v>
      </c>
      <c r="D27" s="418" t="str">
        <f ca="1">IF(AND(CELL("type",C27)="v",C27&gt;0),B27/C27,"")</f>
        <v/>
      </c>
      <c r="E27" s="418" t="s">
        <v>184</v>
      </c>
      <c r="F27" s="419" t="str">
        <f ca="1">IF(AND(CELL("type",E27)="v",E27&gt;0),B27/E27,"")</f>
        <v/>
      </c>
      <c r="G27" s="418" t="s">
        <v>184</v>
      </c>
      <c r="H27" s="415" t="str">
        <f t="shared" ca="1" si="2"/>
        <v/>
      </c>
    </row>
    <row r="28" spans="1:8" ht="14.1" customHeight="1">
      <c r="A28" s="23" t="s">
        <v>246</v>
      </c>
      <c r="B28" s="169">
        <f>'- 30 -'!$D28</f>
        <v>1966711</v>
      </c>
      <c r="C28" s="169">
        <v>846</v>
      </c>
      <c r="D28" s="169">
        <f t="shared" ca="1" si="0"/>
        <v>2324.7174940898344</v>
      </c>
      <c r="E28" s="169">
        <v>1226912</v>
      </c>
      <c r="F28" s="176">
        <f t="shared" ca="1" si="1"/>
        <v>1.6029764155864479</v>
      </c>
      <c r="G28" s="169">
        <v>804264</v>
      </c>
      <c r="H28" s="176">
        <f t="shared" ca="1" si="2"/>
        <v>2.4453550078083812</v>
      </c>
    </row>
    <row r="29" spans="1:8" ht="14.1" customHeight="1">
      <c r="A29" s="357" t="s">
        <v>247</v>
      </c>
      <c r="B29" s="414">
        <f>'- 30 -'!$D29</f>
        <v>2303740</v>
      </c>
      <c r="C29" s="414">
        <v>2220</v>
      </c>
      <c r="D29" s="414">
        <f t="shared" ca="1" si="0"/>
        <v>1037.7207207207207</v>
      </c>
      <c r="E29" s="414">
        <v>492000</v>
      </c>
      <c r="F29" s="415">
        <f t="shared" ca="1" si="1"/>
        <v>4.68239837398374</v>
      </c>
      <c r="G29" s="414">
        <v>296000</v>
      </c>
      <c r="H29" s="415">
        <f t="shared" ca="1" si="2"/>
        <v>7.7829054054054057</v>
      </c>
    </row>
    <row r="30" spans="1:8" ht="14.1" customHeight="1">
      <c r="A30" s="23" t="s">
        <v>248</v>
      </c>
      <c r="B30" s="169">
        <f>'- 30 -'!$D30</f>
        <v>1078250</v>
      </c>
      <c r="C30" s="169">
        <v>680</v>
      </c>
      <c r="D30" s="169">
        <f t="shared" ca="1" si="0"/>
        <v>1585.6617647058824</v>
      </c>
      <c r="E30" s="169">
        <v>725000</v>
      </c>
      <c r="F30" s="176">
        <f t="shared" ca="1" si="1"/>
        <v>1.4872413793103447</v>
      </c>
      <c r="G30" s="169">
        <v>450000</v>
      </c>
      <c r="H30" s="176">
        <f t="shared" ca="1" si="2"/>
        <v>2.3961111111111113</v>
      </c>
    </row>
    <row r="31" spans="1:8" ht="14.1" customHeight="1">
      <c r="A31" s="357" t="s">
        <v>249</v>
      </c>
      <c r="B31" s="414">
        <f>'- 30 -'!$D31</f>
        <v>969375</v>
      </c>
      <c r="C31" s="414">
        <v>1131</v>
      </c>
      <c r="D31" s="414">
        <f t="shared" ca="1" si="0"/>
        <v>857.09549071618039</v>
      </c>
      <c r="E31" s="414">
        <v>608600</v>
      </c>
      <c r="F31" s="415">
        <f t="shared" ca="1" si="1"/>
        <v>1.5927949392047323</v>
      </c>
      <c r="G31" s="414">
        <v>391473</v>
      </c>
      <c r="H31" s="415">
        <f t="shared" ca="1" si="2"/>
        <v>2.4762244139442569</v>
      </c>
    </row>
    <row r="32" spans="1:8" ht="14.1" customHeight="1">
      <c r="A32" s="23" t="s">
        <v>250</v>
      </c>
      <c r="B32" s="169">
        <f>'- 30 -'!$D32</f>
        <v>1866350</v>
      </c>
      <c r="C32" s="169">
        <v>1425</v>
      </c>
      <c r="D32" s="169">
        <f t="shared" ca="1" si="0"/>
        <v>1309.719298245614</v>
      </c>
      <c r="E32" s="169">
        <v>1050000</v>
      </c>
      <c r="F32" s="176">
        <f t="shared" ca="1" si="1"/>
        <v>1.7774761904761904</v>
      </c>
      <c r="G32" s="169">
        <v>732000</v>
      </c>
      <c r="H32" s="176">
        <f t="shared" ca="1" si="2"/>
        <v>2.5496584699453551</v>
      </c>
    </row>
    <row r="33" spans="1:8" ht="14.1" customHeight="1">
      <c r="A33" s="357" t="s">
        <v>251</v>
      </c>
      <c r="B33" s="414">
        <f>'- 30 -'!$D33</f>
        <v>2300800</v>
      </c>
      <c r="C33" s="414">
        <v>1120</v>
      </c>
      <c r="D33" s="414">
        <f t="shared" ca="1" si="0"/>
        <v>2054.2857142857142</v>
      </c>
      <c r="E33" s="414">
        <v>1425000</v>
      </c>
      <c r="F33" s="415">
        <f t="shared" ca="1" si="1"/>
        <v>1.6145964912280701</v>
      </c>
      <c r="G33" s="414">
        <v>900000</v>
      </c>
      <c r="H33" s="415">
        <f t="shared" ca="1" si="2"/>
        <v>2.5564444444444443</v>
      </c>
    </row>
    <row r="34" spans="1:8" ht="14.1" customHeight="1">
      <c r="A34" s="23" t="s">
        <v>252</v>
      </c>
      <c r="B34" s="169">
        <f>'- 30 -'!$D34</f>
        <v>2323923</v>
      </c>
      <c r="C34" s="169">
        <v>1372</v>
      </c>
      <c r="D34" s="169">
        <f t="shared" ca="1" si="0"/>
        <v>1693.8214285714287</v>
      </c>
      <c r="E34" s="169">
        <v>1300753</v>
      </c>
      <c r="F34" s="176">
        <f t="shared" ca="1" si="1"/>
        <v>1.7865982242593328</v>
      </c>
      <c r="G34" s="169">
        <v>857470</v>
      </c>
      <c r="H34" s="176">
        <f t="shared" ca="1" si="2"/>
        <v>2.7102091035254876</v>
      </c>
    </row>
    <row r="35" spans="1:8" ht="14.1" customHeight="1">
      <c r="A35" s="357" t="s">
        <v>253</v>
      </c>
      <c r="B35" s="414">
        <f>'- 30 -'!$D35</f>
        <v>3129000</v>
      </c>
      <c r="C35" s="414">
        <v>3360</v>
      </c>
      <c r="D35" s="414">
        <f t="shared" ca="1" si="0"/>
        <v>931.25</v>
      </c>
      <c r="E35" s="414">
        <v>960000</v>
      </c>
      <c r="F35" s="415">
        <f t="shared" ca="1" si="1"/>
        <v>3.2593749999999999</v>
      </c>
      <c r="G35" s="414">
        <v>457000</v>
      </c>
      <c r="H35" s="415">
        <f t="shared" ca="1" si="2"/>
        <v>6.8468271334792119</v>
      </c>
    </row>
    <row r="36" spans="1:8" ht="14.1" customHeight="1">
      <c r="A36" s="23" t="s">
        <v>254</v>
      </c>
      <c r="B36" s="169">
        <f>'- 30 -'!$D36</f>
        <v>1470150</v>
      </c>
      <c r="C36" s="169">
        <v>867</v>
      </c>
      <c r="D36" s="169">
        <f t="shared" ca="1" si="0"/>
        <v>1695.6747404844291</v>
      </c>
      <c r="E36" s="169">
        <v>824670</v>
      </c>
      <c r="F36" s="176">
        <f t="shared" ca="1" si="1"/>
        <v>1.7827130852340936</v>
      </c>
      <c r="G36" s="169">
        <v>549593</v>
      </c>
      <c r="H36" s="176">
        <f t="shared" ca="1" si="2"/>
        <v>2.674979484818766</v>
      </c>
    </row>
    <row r="37" spans="1:8" ht="14.1" customHeight="1">
      <c r="A37" s="357" t="s">
        <v>255</v>
      </c>
      <c r="B37" s="414">
        <f>'- 30 -'!$D37</f>
        <v>2622439</v>
      </c>
      <c r="C37" s="414">
        <v>2748</v>
      </c>
      <c r="D37" s="414">
        <f t="shared" ca="1" si="0"/>
        <v>954.3082241630276</v>
      </c>
      <c r="E37" s="414">
        <v>1388456</v>
      </c>
      <c r="F37" s="415">
        <f t="shared" ca="1" si="1"/>
        <v>1.8887447639680335</v>
      </c>
      <c r="G37" s="414">
        <v>864830</v>
      </c>
      <c r="H37" s="415">
        <f t="shared" ca="1" si="2"/>
        <v>3.0323173340425287</v>
      </c>
    </row>
    <row r="38" spans="1:8" ht="14.1" customHeight="1">
      <c r="A38" s="23" t="s">
        <v>256</v>
      </c>
      <c r="B38" s="169">
        <f>'- 30 -'!$D38</f>
        <v>2626750</v>
      </c>
      <c r="C38" s="169">
        <v>2899</v>
      </c>
      <c r="D38" s="169">
        <f t="shared" ca="1" si="0"/>
        <v>906.08830631252158</v>
      </c>
      <c r="E38" s="169">
        <v>621338</v>
      </c>
      <c r="F38" s="176">
        <f t="shared" ca="1" si="1"/>
        <v>4.2275701791939335</v>
      </c>
      <c r="G38" s="169">
        <v>444826</v>
      </c>
      <c r="H38" s="176">
        <f t="shared" ca="1" si="2"/>
        <v>5.905117956234573</v>
      </c>
    </row>
    <row r="39" spans="1:8" ht="14.1" customHeight="1">
      <c r="A39" s="357" t="s">
        <v>257</v>
      </c>
      <c r="B39" s="414">
        <f>'- 30 -'!$D39</f>
        <v>1767130</v>
      </c>
      <c r="C39" s="414">
        <v>876</v>
      </c>
      <c r="D39" s="414">
        <f t="shared" ca="1" si="0"/>
        <v>2017.2716894977168</v>
      </c>
      <c r="E39" s="414">
        <v>1237800</v>
      </c>
      <c r="F39" s="415">
        <f t="shared" ca="1" si="1"/>
        <v>1.4276377443851995</v>
      </c>
      <c r="G39" s="414">
        <v>747000</v>
      </c>
      <c r="H39" s="415">
        <f t="shared" ca="1" si="2"/>
        <v>2.3656358768406962</v>
      </c>
    </row>
    <row r="40" spans="1:8" ht="14.1" customHeight="1">
      <c r="A40" s="23" t="s">
        <v>258</v>
      </c>
      <c r="B40" s="169">
        <f>'- 30 -'!$D40</f>
        <v>1703275</v>
      </c>
      <c r="C40" s="169">
        <v>1909</v>
      </c>
      <c r="D40" s="169">
        <f t="shared" ca="1" si="0"/>
        <v>892.2341540073337</v>
      </c>
      <c r="E40" s="169">
        <v>422000</v>
      </c>
      <c r="F40" s="176">
        <f t="shared" ca="1" si="1"/>
        <v>4.0361966824644551</v>
      </c>
      <c r="G40" s="169">
        <v>273768</v>
      </c>
      <c r="H40" s="176">
        <f t="shared" ca="1" si="2"/>
        <v>6.2216000409105519</v>
      </c>
    </row>
    <row r="41" spans="1:8" ht="14.1" customHeight="1">
      <c r="A41" s="357" t="s">
        <v>259</v>
      </c>
      <c r="B41" s="414">
        <f>'- 30 -'!$D41</f>
        <v>4541094</v>
      </c>
      <c r="C41" s="414">
        <v>3425</v>
      </c>
      <c r="D41" s="414">
        <f t="shared" ca="1" si="0"/>
        <v>1325.8668613138686</v>
      </c>
      <c r="E41" s="414">
        <v>2459424</v>
      </c>
      <c r="F41" s="415">
        <f t="shared" ca="1" si="1"/>
        <v>1.8464054998243491</v>
      </c>
      <c r="G41" s="414">
        <v>1518627</v>
      </c>
      <c r="H41" s="415">
        <f t="shared" ca="1" si="2"/>
        <v>2.9902629151200393</v>
      </c>
    </row>
    <row r="42" spans="1:8" ht="14.1" customHeight="1">
      <c r="A42" s="23" t="s">
        <v>260</v>
      </c>
      <c r="B42" s="169">
        <f>'- 30 -'!$D42</f>
        <v>1591695</v>
      </c>
      <c r="C42" s="169">
        <v>1320</v>
      </c>
      <c r="D42" s="169">
        <f t="shared" ca="1" si="0"/>
        <v>1205.8295454545455</v>
      </c>
      <c r="E42" s="169">
        <v>795300</v>
      </c>
      <c r="F42" s="176">
        <f t="shared" ca="1" si="1"/>
        <v>2.0013768389287061</v>
      </c>
      <c r="G42" s="169">
        <v>679060</v>
      </c>
      <c r="H42" s="176">
        <f t="shared" ca="1" si="2"/>
        <v>2.3439681324183428</v>
      </c>
    </row>
    <row r="43" spans="1:8" ht="14.1" customHeight="1">
      <c r="A43" s="357" t="s">
        <v>261</v>
      </c>
      <c r="B43" s="414">
        <f>'- 30 -'!$D43</f>
        <v>1000879</v>
      </c>
      <c r="C43" s="414">
        <v>553</v>
      </c>
      <c r="D43" s="414">
        <f t="shared" ca="1" si="0"/>
        <v>1809.9077757685352</v>
      </c>
      <c r="E43" s="414">
        <v>687524</v>
      </c>
      <c r="F43" s="415">
        <f t="shared" ca="1" si="1"/>
        <v>1.4557731802817064</v>
      </c>
      <c r="G43" s="414">
        <v>428380</v>
      </c>
      <c r="H43" s="415">
        <f t="shared" ca="1" si="2"/>
        <v>2.3364279378122226</v>
      </c>
    </row>
    <row r="44" spans="1:8" ht="14.1" customHeight="1">
      <c r="A44" s="23" t="s">
        <v>262</v>
      </c>
      <c r="B44" s="169">
        <f>'- 30 -'!$D44</f>
        <v>1059591</v>
      </c>
      <c r="C44" s="169">
        <v>479</v>
      </c>
      <c r="D44" s="169">
        <f t="shared" ca="1" si="0"/>
        <v>2212.0897703549062</v>
      </c>
      <c r="E44" s="169">
        <v>744022</v>
      </c>
      <c r="F44" s="176">
        <f t="shared" ca="1" si="1"/>
        <v>1.4241393399657536</v>
      </c>
      <c r="G44" s="169">
        <v>523664</v>
      </c>
      <c r="H44" s="176">
        <f t="shared" ca="1" si="2"/>
        <v>2.0234176876775947</v>
      </c>
    </row>
    <row r="45" spans="1:8" ht="14.1" customHeight="1">
      <c r="A45" s="357" t="s">
        <v>263</v>
      </c>
      <c r="B45" s="414">
        <f>'- 30 -'!$D45</f>
        <v>658648</v>
      </c>
      <c r="C45" s="414">
        <v>980</v>
      </c>
      <c r="D45" s="414">
        <f t="shared" ca="1" si="0"/>
        <v>672.08979591836737</v>
      </c>
      <c r="E45" s="414">
        <v>257000</v>
      </c>
      <c r="F45" s="415">
        <f t="shared" ca="1" si="1"/>
        <v>2.5628326848249028</v>
      </c>
      <c r="G45" s="414">
        <v>160000</v>
      </c>
      <c r="H45" s="415">
        <f t="shared" ca="1" si="2"/>
        <v>4.1165500000000002</v>
      </c>
    </row>
    <row r="46" spans="1:8" ht="14.1" customHeight="1">
      <c r="A46" s="23" t="s">
        <v>264</v>
      </c>
      <c r="B46" s="169">
        <f>'- 30 -'!$D46</f>
        <v>4390300</v>
      </c>
      <c r="C46" s="169">
        <v>2327</v>
      </c>
      <c r="D46" s="169">
        <f t="shared" ca="1" si="0"/>
        <v>1886.6781263429309</v>
      </c>
      <c r="E46" s="169">
        <v>1055615</v>
      </c>
      <c r="F46" s="176">
        <f t="shared" ca="1" si="1"/>
        <v>4.1589973617275238</v>
      </c>
      <c r="G46" s="169">
        <v>664411</v>
      </c>
      <c r="H46" s="176">
        <f t="shared" ca="1" si="2"/>
        <v>6.6078075167328656</v>
      </c>
    </row>
    <row r="47" spans="1:8" ht="5.0999999999999996" customHeight="1">
      <c r="A47"/>
      <c r="B47"/>
      <c r="C47"/>
      <c r="D47"/>
      <c r="E47"/>
      <c r="F47"/>
      <c r="G47"/>
      <c r="H47"/>
    </row>
    <row r="48" spans="1:8" ht="14.1" customHeight="1">
      <c r="A48" s="360" t="s">
        <v>265</v>
      </c>
      <c r="B48" s="416">
        <f>SUM(B11:B46)</f>
        <v>79823675</v>
      </c>
      <c r="C48" s="416">
        <f>SUM(C11:C46)</f>
        <v>63869</v>
      </c>
      <c r="D48" s="416">
        <f>B48/C48</f>
        <v>1249.8031126211465</v>
      </c>
      <c r="E48" s="416">
        <f>SUM(E11:E46)</f>
        <v>34908447</v>
      </c>
      <c r="F48" s="417">
        <f>B48/E48</f>
        <v>2.2866578682231267</v>
      </c>
      <c r="G48" s="416">
        <f>SUM(G11:G46)</f>
        <v>22278661</v>
      </c>
      <c r="H48" s="417">
        <f>B48/G48</f>
        <v>3.5829655561436122</v>
      </c>
    </row>
    <row r="49" spans="1:8" ht="5.0999999999999996" customHeight="1">
      <c r="A49" s="25" t="s">
        <v>3</v>
      </c>
      <c r="B49" s="170"/>
      <c r="C49" s="170"/>
      <c r="D49" s="170"/>
      <c r="E49" s="170"/>
      <c r="F49" s="99"/>
      <c r="G49" s="170"/>
      <c r="H49" s="99"/>
    </row>
    <row r="50" spans="1:8" ht="14.1" customHeight="1">
      <c r="A50" s="23" t="s">
        <v>266</v>
      </c>
      <c r="B50" s="169">
        <f>'- 30 -'!$D50</f>
        <v>0</v>
      </c>
      <c r="C50" s="512" t="s">
        <v>184</v>
      </c>
      <c r="D50" s="169" t="str">
        <f ca="1">IF(AND(CELL("type",C50)="v",C50&gt;0),B50/C50,"")</f>
        <v/>
      </c>
      <c r="E50" s="512" t="s">
        <v>184</v>
      </c>
      <c r="F50" s="176" t="str">
        <f ca="1">IF(AND(CELL("type",E50)="v",E50&gt;0),B50/E50,"")</f>
        <v/>
      </c>
      <c r="G50" s="512" t="s">
        <v>184</v>
      </c>
      <c r="H50" s="176" t="str">
        <f ca="1">IF(AND(CELL("type",G50)="v",G50&gt;0),B50/G50,"")</f>
        <v/>
      </c>
    </row>
    <row r="51" spans="1:8" ht="14.1" customHeight="1">
      <c r="A51" s="511" t="s">
        <v>691</v>
      </c>
      <c r="B51" s="414">
        <f>'- 30 -'!$D51</f>
        <v>0</v>
      </c>
      <c r="C51" s="414">
        <v>0</v>
      </c>
      <c r="D51" s="414" t="str">
        <f ca="1">IF(AND(CELL("type",C51)="v",C51&gt;0),B51/C51,"")</f>
        <v/>
      </c>
      <c r="E51" s="414">
        <v>0</v>
      </c>
      <c r="F51" s="415" t="str">
        <f ca="1">IF(AND(CELL("type",E51)="v",E51&gt;0),B51/E51,"")</f>
        <v/>
      </c>
      <c r="G51" s="414">
        <v>0</v>
      </c>
      <c r="H51" s="415" t="str">
        <f ca="1">IF(AND(CELL("type",G51)="v",G51&gt;0),B51/G51,"")</f>
        <v/>
      </c>
    </row>
    <row r="52" spans="1:8" ht="50.1" customHeight="1"/>
    <row r="53" spans="1:8" ht="15" customHeight="1"/>
    <row r="54" spans="1:8" ht="14.45" customHeight="1"/>
    <row r="55" spans="1:8" ht="14.45" customHeight="1"/>
    <row r="56" spans="1:8" ht="14.45" customHeight="1"/>
    <row r="57" spans="1:8" ht="14.45" customHeight="1"/>
    <row r="58" spans="1:8" ht="14.45" customHeight="1"/>
    <row r="59" spans="1:8" ht="14.45" customHeight="1"/>
  </sheetData>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32.xml><?xml version="1.0" encoding="utf-8"?>
<worksheet xmlns="http://schemas.openxmlformats.org/spreadsheetml/2006/main" xmlns:r="http://schemas.openxmlformats.org/officeDocument/2006/relationships">
  <sheetPr codeName="Sheet33">
    <pageSetUpPr fitToPage="1"/>
  </sheetPr>
  <dimension ref="A1:E59"/>
  <sheetViews>
    <sheetView showGridLines="0" showZeros="0" workbookViewId="0"/>
  </sheetViews>
  <sheetFormatPr defaultColWidth="15.83203125" defaultRowHeight="12"/>
  <cols>
    <col min="1" max="1" width="35.83203125" style="1" customWidth="1"/>
    <col min="2" max="2" width="22.83203125" style="1" customWidth="1"/>
    <col min="3" max="3" width="19.83203125" style="1" customWidth="1"/>
    <col min="4" max="4" width="15.83203125" style="1"/>
    <col min="5" max="5" width="38.83203125" style="1" customWidth="1"/>
    <col min="6" max="16384" width="15.83203125" style="1"/>
  </cols>
  <sheetData>
    <row r="1" spans="1:5" ht="6.95" customHeight="1">
      <c r="A1" s="3"/>
      <c r="B1" s="4"/>
      <c r="C1" s="4"/>
      <c r="D1" s="4"/>
      <c r="E1" s="4"/>
    </row>
    <row r="2" spans="1:5" ht="15.95" customHeight="1">
      <c r="A2" s="159"/>
      <c r="B2" s="5" t="s">
        <v>476</v>
      </c>
      <c r="C2" s="6"/>
      <c r="D2" s="6"/>
      <c r="E2" s="177"/>
    </row>
    <row r="3" spans="1:5" ht="15.95" customHeight="1">
      <c r="A3" s="162"/>
      <c r="B3" s="7" t="str">
        <f>OPYEAR</f>
        <v>OPERATING FUND 2014/2015 BUDGET</v>
      </c>
      <c r="C3" s="8"/>
      <c r="D3" s="8"/>
      <c r="E3" s="178"/>
    </row>
    <row r="4" spans="1:5" ht="15.95" customHeight="1">
      <c r="B4" s="4"/>
      <c r="C4" s="4"/>
      <c r="D4" s="4"/>
      <c r="E4" s="4"/>
    </row>
    <row r="5" spans="1:5" ht="15.95" customHeight="1">
      <c r="B5" s="4"/>
      <c r="C5" s="4"/>
      <c r="D5" s="4"/>
      <c r="E5" s="4"/>
    </row>
    <row r="6" spans="1:5" ht="15.95" customHeight="1">
      <c r="B6" s="351" t="s">
        <v>26</v>
      </c>
      <c r="C6" s="366"/>
      <c r="D6" s="365"/>
    </row>
    <row r="7" spans="1:5" ht="15.95" customHeight="1">
      <c r="B7" s="354" t="s">
        <v>56</v>
      </c>
      <c r="C7" s="355"/>
      <c r="D7" s="367"/>
    </row>
    <row r="8" spans="1:5" ht="15.95" customHeight="1">
      <c r="A8" s="102"/>
      <c r="B8" s="179"/>
      <c r="C8" s="180" t="s">
        <v>73</v>
      </c>
      <c r="D8" s="112" t="s">
        <v>74</v>
      </c>
    </row>
    <row r="9" spans="1:5" ht="15.95" customHeight="1">
      <c r="A9" s="35" t="s">
        <v>81</v>
      </c>
      <c r="B9" s="113" t="s">
        <v>82</v>
      </c>
      <c r="C9" s="113" t="s">
        <v>92</v>
      </c>
      <c r="D9" s="113" t="s">
        <v>90</v>
      </c>
    </row>
    <row r="10" spans="1:5" ht="5.0999999999999996" customHeight="1">
      <c r="A10" s="37"/>
    </row>
    <row r="11" spans="1:5" ht="14.1" customHeight="1">
      <c r="A11" s="357" t="s">
        <v>230</v>
      </c>
      <c r="B11" s="414">
        <f>SUM('- 30 -'!$B11,'- 30 -'!$D11,'- 31 -'!$D11)</f>
        <v>1221450</v>
      </c>
      <c r="C11" s="414">
        <v>640000</v>
      </c>
      <c r="D11" s="415">
        <f ca="1">IF(AND(CELL("type",C11)="v",C11&gt;0),B11/C11,"")</f>
        <v>1.9085156249999999</v>
      </c>
      <c r="E11" s="181"/>
    </row>
    <row r="12" spans="1:5" ht="14.1" customHeight="1">
      <c r="A12" s="23" t="s">
        <v>231</v>
      </c>
      <c r="B12" s="169">
        <f>SUM('- 30 -'!$B12,'- 30 -'!$D12,'- 31 -'!$D12)</f>
        <v>2439924</v>
      </c>
      <c r="C12" s="169">
        <v>1243495</v>
      </c>
      <c r="D12" s="176">
        <f t="shared" ref="D12:D46" ca="1" si="0">IF(AND(CELL("type",C12)="v",C12&gt;0),B12/C12,"")</f>
        <v>1.9621502297958577</v>
      </c>
      <c r="E12" s="181"/>
    </row>
    <row r="13" spans="1:5" ht="14.1" customHeight="1">
      <c r="A13" s="357" t="s">
        <v>232</v>
      </c>
      <c r="B13" s="414">
        <f>SUM('- 30 -'!$B13,'- 30 -'!$D13,'- 31 -'!$D13)</f>
        <v>2151300</v>
      </c>
      <c r="C13" s="414">
        <v>835000</v>
      </c>
      <c r="D13" s="415">
        <f t="shared" ca="1" si="0"/>
        <v>2.5764071856287427</v>
      </c>
      <c r="E13" s="181"/>
    </row>
    <row r="14" spans="1:5" ht="14.1" customHeight="1">
      <c r="A14" s="23" t="s">
        <v>566</v>
      </c>
      <c r="B14" s="169">
        <f>SUM('- 30 -'!$B14,'- 30 -'!$D14,'- 31 -'!$D14)</f>
        <v>8288759</v>
      </c>
      <c r="C14" s="512" t="s">
        <v>184</v>
      </c>
      <c r="D14" s="176" t="str">
        <f t="shared" ca="1" si="0"/>
        <v/>
      </c>
      <c r="E14" s="181"/>
    </row>
    <row r="15" spans="1:5" ht="14.1" customHeight="1">
      <c r="A15" s="357" t="s">
        <v>233</v>
      </c>
      <c r="B15" s="414">
        <f>SUM('- 30 -'!$B15,'- 30 -'!$D15,'- 31 -'!$D15)</f>
        <v>1329700</v>
      </c>
      <c r="C15" s="414">
        <v>775000</v>
      </c>
      <c r="D15" s="415">
        <f t="shared" ca="1" si="0"/>
        <v>1.715741935483871</v>
      </c>
      <c r="E15" s="181"/>
    </row>
    <row r="16" spans="1:5" ht="14.1" customHeight="1">
      <c r="A16" s="23" t="s">
        <v>234</v>
      </c>
      <c r="B16" s="169">
        <f>SUM('- 30 -'!$B16,'- 30 -'!$D16,'- 31 -'!$D16)</f>
        <v>453734</v>
      </c>
      <c r="C16" s="169">
        <v>59396</v>
      </c>
      <c r="D16" s="176">
        <f t="shared" ca="1" si="0"/>
        <v>7.6391339484140346</v>
      </c>
      <c r="E16" s="181"/>
    </row>
    <row r="17" spans="1:5" ht="14.1" customHeight="1">
      <c r="A17" s="357" t="s">
        <v>235</v>
      </c>
      <c r="B17" s="414">
        <f>SUM('- 30 -'!$B17,'- 30 -'!$D17,'- 31 -'!$D17)</f>
        <v>1365893</v>
      </c>
      <c r="C17" s="414">
        <v>900210</v>
      </c>
      <c r="D17" s="415">
        <f t="shared" ca="1" si="0"/>
        <v>1.5173048510903011</v>
      </c>
      <c r="E17" s="181"/>
    </row>
    <row r="18" spans="1:5" ht="14.1" customHeight="1">
      <c r="A18" s="23" t="s">
        <v>236</v>
      </c>
      <c r="B18" s="169">
        <f>SUM('- 30 -'!$B18,'- 30 -'!$D18,'- 31 -'!$D18)</f>
        <v>7645968</v>
      </c>
      <c r="C18" s="169">
        <v>1804200</v>
      </c>
      <c r="D18" s="176">
        <f t="shared" ca="1" si="0"/>
        <v>4.2378716328566677</v>
      </c>
      <c r="E18" s="181"/>
    </row>
    <row r="19" spans="1:5" ht="14.1" customHeight="1">
      <c r="A19" s="357" t="s">
        <v>237</v>
      </c>
      <c r="B19" s="414">
        <f>SUM('- 30 -'!$B19,'- 30 -'!$D19,'- 31 -'!$D19)</f>
        <v>2731400</v>
      </c>
      <c r="C19" s="414">
        <v>913000</v>
      </c>
      <c r="D19" s="415">
        <f t="shared" ca="1" si="0"/>
        <v>2.9916757940854328</v>
      </c>
      <c r="E19" s="181"/>
    </row>
    <row r="20" spans="1:5" ht="14.1" customHeight="1">
      <c r="A20" s="23" t="s">
        <v>238</v>
      </c>
      <c r="B20" s="169">
        <f>SUM('- 30 -'!$B20,'- 30 -'!$D20,'- 31 -'!$D20)</f>
        <v>3856600</v>
      </c>
      <c r="C20" s="169">
        <v>1699942</v>
      </c>
      <c r="D20" s="176">
        <f t="shared" ca="1" si="0"/>
        <v>2.2686656368276092</v>
      </c>
      <c r="E20" s="181"/>
    </row>
    <row r="21" spans="1:5" ht="14.1" customHeight="1">
      <c r="A21" s="357" t="s">
        <v>239</v>
      </c>
      <c r="B21" s="414">
        <f>SUM('- 30 -'!$B21,'- 30 -'!$D21,'- 31 -'!$D21)</f>
        <v>2079000</v>
      </c>
      <c r="C21" s="414">
        <v>920000</v>
      </c>
      <c r="D21" s="415">
        <f t="shared" ca="1" si="0"/>
        <v>2.2597826086956521</v>
      </c>
      <c r="E21" s="181"/>
    </row>
    <row r="22" spans="1:5" ht="14.1" customHeight="1">
      <c r="A22" s="23" t="s">
        <v>240</v>
      </c>
      <c r="B22" s="169">
        <f>SUM('- 30 -'!$B22,'- 30 -'!$D22,'- 31 -'!$D22)</f>
        <v>580265</v>
      </c>
      <c r="C22" s="169">
        <v>196452</v>
      </c>
      <c r="D22" s="176">
        <f t="shared" ca="1" si="0"/>
        <v>2.9537240649115306</v>
      </c>
      <c r="E22" s="181"/>
    </row>
    <row r="23" spans="1:5" ht="14.1" customHeight="1">
      <c r="A23" s="357" t="s">
        <v>241</v>
      </c>
      <c r="B23" s="414">
        <f>SUM('- 30 -'!$B23,'- 30 -'!$D23,'- 31 -'!$D23)</f>
        <v>1616090</v>
      </c>
      <c r="C23" s="414">
        <v>930000</v>
      </c>
      <c r="D23" s="415">
        <f t="shared" ca="1" si="0"/>
        <v>1.7377311827956989</v>
      </c>
      <c r="E23" s="181"/>
    </row>
    <row r="24" spans="1:5" ht="14.1" customHeight="1">
      <c r="A24" s="23" t="s">
        <v>242</v>
      </c>
      <c r="B24" s="169">
        <f>SUM('- 30 -'!$B24,'- 30 -'!$D24,'- 31 -'!$D24)</f>
        <v>2557490</v>
      </c>
      <c r="C24" s="169">
        <v>1106924</v>
      </c>
      <c r="D24" s="176">
        <f t="shared" ca="1" si="0"/>
        <v>2.3104476910790623</v>
      </c>
      <c r="E24" s="181"/>
    </row>
    <row r="25" spans="1:5" ht="14.1" customHeight="1">
      <c r="A25" s="357" t="s">
        <v>243</v>
      </c>
      <c r="B25" s="414">
        <f>SUM('- 30 -'!$B25,'- 30 -'!$D25,'- 31 -'!$D25)</f>
        <v>3710008</v>
      </c>
      <c r="C25" s="414">
        <v>990000</v>
      </c>
      <c r="D25" s="415">
        <f t="shared" ca="1" si="0"/>
        <v>3.7474828282828283</v>
      </c>
      <c r="E25" s="181"/>
    </row>
    <row r="26" spans="1:5" ht="14.1" customHeight="1">
      <c r="A26" s="23" t="s">
        <v>244</v>
      </c>
      <c r="B26" s="169">
        <f>SUM('- 30 -'!$B26,'- 30 -'!$D26,'- 31 -'!$D26)</f>
        <v>3043840</v>
      </c>
      <c r="C26" s="169">
        <v>1387519</v>
      </c>
      <c r="D26" s="176">
        <f t="shared" ca="1" si="0"/>
        <v>2.1937285183121817</v>
      </c>
      <c r="E26" s="181"/>
    </row>
    <row r="27" spans="1:5" ht="14.1" customHeight="1">
      <c r="A27" s="357" t="s">
        <v>245</v>
      </c>
      <c r="B27" s="414">
        <f>SUM('- 30 -'!$B27,'- 30 -'!$D27,'- 31 -'!$D27)</f>
        <v>90000</v>
      </c>
      <c r="C27" s="418" t="s">
        <v>184</v>
      </c>
      <c r="D27" s="415" t="str">
        <f t="shared" ca="1" si="0"/>
        <v/>
      </c>
      <c r="E27" s="181"/>
    </row>
    <row r="28" spans="1:5" ht="14.1" customHeight="1">
      <c r="A28" s="23" t="s">
        <v>246</v>
      </c>
      <c r="B28" s="169">
        <f>SUM('- 30 -'!$B28,'- 30 -'!$D28,'- 31 -'!$D28)</f>
        <v>2153974</v>
      </c>
      <c r="C28" s="169">
        <v>1200000</v>
      </c>
      <c r="D28" s="176">
        <f t="shared" ca="1" si="0"/>
        <v>1.7949783333333333</v>
      </c>
      <c r="E28" s="181"/>
    </row>
    <row r="29" spans="1:5" ht="14.1" customHeight="1">
      <c r="A29" s="357" t="s">
        <v>247</v>
      </c>
      <c r="B29" s="414">
        <f>SUM('- 30 -'!$B29,'- 30 -'!$D29,'- 31 -'!$D29)</f>
        <v>2561839</v>
      </c>
      <c r="C29" s="414">
        <v>637000</v>
      </c>
      <c r="D29" s="415">
        <f t="shared" ca="1" si="0"/>
        <v>4.0217252747252745</v>
      </c>
      <c r="E29" s="181"/>
    </row>
    <row r="30" spans="1:5" ht="14.1" customHeight="1">
      <c r="A30" s="23" t="s">
        <v>248</v>
      </c>
      <c r="B30" s="169">
        <f>SUM('- 30 -'!$B30,'- 30 -'!$D30,'- 31 -'!$D30)</f>
        <v>1187615</v>
      </c>
      <c r="C30" s="169">
        <v>715000</v>
      </c>
      <c r="D30" s="176">
        <f t="shared" ca="1" si="0"/>
        <v>1.661</v>
      </c>
      <c r="E30" s="181"/>
    </row>
    <row r="31" spans="1:5" ht="14.1" customHeight="1">
      <c r="A31" s="357" t="s">
        <v>249</v>
      </c>
      <c r="B31" s="414">
        <f>SUM('- 30 -'!$B31,'- 30 -'!$D31,'- 31 -'!$D31)</f>
        <v>1093825</v>
      </c>
      <c r="C31" s="414">
        <v>593703</v>
      </c>
      <c r="D31" s="415">
        <f t="shared" ca="1" si="0"/>
        <v>1.8423774176650616</v>
      </c>
      <c r="E31" s="181"/>
    </row>
    <row r="32" spans="1:5" ht="14.1" customHeight="1">
      <c r="A32" s="23" t="s">
        <v>250</v>
      </c>
      <c r="B32" s="169">
        <f>SUM('- 30 -'!$B32,'- 30 -'!$D32,'- 31 -'!$D32)</f>
        <v>2013385</v>
      </c>
      <c r="C32" s="169">
        <v>1115000</v>
      </c>
      <c r="D32" s="176">
        <f t="shared" ca="1" si="0"/>
        <v>1.8057264573991032</v>
      </c>
      <c r="E32" s="181"/>
    </row>
    <row r="33" spans="1:5" ht="14.1" customHeight="1">
      <c r="A33" s="357" t="s">
        <v>251</v>
      </c>
      <c r="B33" s="414">
        <f>SUM('- 30 -'!$B33,'- 30 -'!$D33,'- 31 -'!$D33)</f>
        <v>2478900</v>
      </c>
      <c r="C33" s="414">
        <v>1450000</v>
      </c>
      <c r="D33" s="415">
        <f t="shared" ca="1" si="0"/>
        <v>1.7095862068965517</v>
      </c>
      <c r="E33" s="181"/>
    </row>
    <row r="34" spans="1:5" ht="14.1" customHeight="1">
      <c r="A34" s="23" t="s">
        <v>252</v>
      </c>
      <c r="B34" s="169">
        <f>SUM('- 30 -'!$B34,'- 30 -'!$D34,'- 31 -'!$D34)</f>
        <v>2561552</v>
      </c>
      <c r="C34" s="169">
        <v>1337107</v>
      </c>
      <c r="D34" s="176">
        <f t="shared" ca="1" si="0"/>
        <v>1.9157419712857684</v>
      </c>
      <c r="E34" s="181"/>
    </row>
    <row r="35" spans="1:5" ht="14.1" customHeight="1">
      <c r="A35" s="357" t="s">
        <v>253</v>
      </c>
      <c r="B35" s="414">
        <f>SUM('- 30 -'!$B35,'- 30 -'!$D35,'- 31 -'!$D35)</f>
        <v>3641600</v>
      </c>
      <c r="C35" s="414">
        <v>1127000</v>
      </c>
      <c r="D35" s="415">
        <f t="shared" ca="1" si="0"/>
        <v>3.2312333629103813</v>
      </c>
      <c r="E35" s="181"/>
    </row>
    <row r="36" spans="1:5" ht="14.1" customHeight="1">
      <c r="A36" s="23" t="s">
        <v>254</v>
      </c>
      <c r="B36" s="169">
        <f>SUM('- 30 -'!$B36,'- 30 -'!$D36,'- 31 -'!$D36)</f>
        <v>1623775</v>
      </c>
      <c r="C36" s="169">
        <v>865903</v>
      </c>
      <c r="D36" s="176">
        <f t="shared" ca="1" si="0"/>
        <v>1.8752389124416937</v>
      </c>
      <c r="E36" s="181"/>
    </row>
    <row r="37" spans="1:5" ht="14.1" customHeight="1">
      <c r="A37" s="357" t="s">
        <v>255</v>
      </c>
      <c r="B37" s="414">
        <f>SUM('- 30 -'!$B37,'- 30 -'!$D37,'- 31 -'!$D37)</f>
        <v>2865160</v>
      </c>
      <c r="C37" s="414">
        <v>1400000</v>
      </c>
      <c r="D37" s="415">
        <f t="shared" ca="1" si="0"/>
        <v>2.0465428571428572</v>
      </c>
      <c r="E37" s="181"/>
    </row>
    <row r="38" spans="1:5" ht="14.1" customHeight="1">
      <c r="A38" s="23" t="s">
        <v>256</v>
      </c>
      <c r="B38" s="169">
        <f>SUM('- 30 -'!$B38,'- 30 -'!$D38,'- 31 -'!$D38)</f>
        <v>3270860</v>
      </c>
      <c r="C38" s="169">
        <v>855464</v>
      </c>
      <c r="D38" s="176">
        <f t="shared" ca="1" si="0"/>
        <v>3.8234922802128435</v>
      </c>
      <c r="E38" s="181"/>
    </row>
    <row r="39" spans="1:5" ht="14.1" customHeight="1">
      <c r="A39" s="357" t="s">
        <v>257</v>
      </c>
      <c r="B39" s="414">
        <f>SUM('- 30 -'!$B39,'- 30 -'!$D39,'- 31 -'!$D39)</f>
        <v>1891230</v>
      </c>
      <c r="C39" s="414">
        <v>1237800</v>
      </c>
      <c r="D39" s="415">
        <f t="shared" ca="1" si="0"/>
        <v>1.5278962675714978</v>
      </c>
      <c r="E39" s="181"/>
    </row>
    <row r="40" spans="1:5" ht="14.1" customHeight="1">
      <c r="A40" s="23" t="s">
        <v>258</v>
      </c>
      <c r="B40" s="169">
        <f>SUM('- 30 -'!$B40,'- 30 -'!$D40,'- 31 -'!$D40)</f>
        <v>1900739</v>
      </c>
      <c r="C40" s="169">
        <v>452166</v>
      </c>
      <c r="D40" s="176">
        <f t="shared" ca="1" si="0"/>
        <v>4.203630967388083</v>
      </c>
      <c r="E40" s="181"/>
    </row>
    <row r="41" spans="1:5" ht="14.1" customHeight="1">
      <c r="A41" s="357" t="s">
        <v>259</v>
      </c>
      <c r="B41" s="414">
        <f>SUM('- 30 -'!$B41,'- 30 -'!$D41,'- 31 -'!$D41)</f>
        <v>4983509</v>
      </c>
      <c r="C41" s="414">
        <v>2459424</v>
      </c>
      <c r="D41" s="415">
        <f t="shared" ca="1" si="0"/>
        <v>2.0262911153180583</v>
      </c>
      <c r="E41" s="181"/>
    </row>
    <row r="42" spans="1:5" ht="14.1" customHeight="1">
      <c r="A42" s="23" t="s">
        <v>260</v>
      </c>
      <c r="B42" s="169">
        <f>SUM('- 30 -'!$B42,'- 30 -'!$D42,'- 31 -'!$D42)</f>
        <v>1739424</v>
      </c>
      <c r="C42" s="169">
        <v>723400</v>
      </c>
      <c r="D42" s="176">
        <f t="shared" ca="1" si="0"/>
        <v>2.4045120265413327</v>
      </c>
      <c r="E42" s="181"/>
    </row>
    <row r="43" spans="1:5" ht="14.1" customHeight="1">
      <c r="A43" s="357" t="s">
        <v>261</v>
      </c>
      <c r="B43" s="414">
        <f>SUM('- 30 -'!$B43,'- 30 -'!$D43,'- 31 -'!$D43)</f>
        <v>1017157</v>
      </c>
      <c r="C43" s="414">
        <v>582500</v>
      </c>
      <c r="D43" s="415">
        <f t="shared" ca="1" si="0"/>
        <v>1.7461922746781116</v>
      </c>
      <c r="E43" s="181"/>
    </row>
    <row r="44" spans="1:5" ht="14.1" customHeight="1">
      <c r="A44" s="23" t="s">
        <v>262</v>
      </c>
      <c r="B44" s="169">
        <f>SUM('- 30 -'!$B44,'- 30 -'!$D44,'- 31 -'!$D44)</f>
        <v>1134610</v>
      </c>
      <c r="C44" s="169">
        <v>753528</v>
      </c>
      <c r="D44" s="176">
        <f t="shared" ca="1" si="0"/>
        <v>1.5057303776369293</v>
      </c>
      <c r="E44" s="181"/>
    </row>
    <row r="45" spans="1:5" ht="14.1" customHeight="1">
      <c r="A45" s="357" t="s">
        <v>263</v>
      </c>
      <c r="B45" s="414">
        <f>SUM('- 30 -'!$B45,'- 30 -'!$D45,'- 31 -'!$D45)</f>
        <v>741333</v>
      </c>
      <c r="C45" s="414">
        <v>301000</v>
      </c>
      <c r="D45" s="415">
        <f t="shared" ca="1" si="0"/>
        <v>2.4629003322259138</v>
      </c>
      <c r="E45" s="181"/>
    </row>
    <row r="46" spans="1:5" ht="14.1" customHeight="1">
      <c r="A46" s="23" t="s">
        <v>264</v>
      </c>
      <c r="B46" s="169">
        <f>SUM('- 30 -'!$B46,'- 30 -'!$D46,'- 31 -'!$D46)</f>
        <v>5047100</v>
      </c>
      <c r="C46" s="169">
        <v>1150021</v>
      </c>
      <c r="D46" s="176">
        <f t="shared" ca="1" si="0"/>
        <v>4.3887024671723385</v>
      </c>
      <c r="E46" s="181"/>
    </row>
    <row r="47" spans="1:5" ht="5.0999999999999996" customHeight="1">
      <c r="A47"/>
      <c r="B47"/>
      <c r="C47"/>
      <c r="D47"/>
      <c r="E47"/>
    </row>
    <row r="48" spans="1:5" ht="14.1" customHeight="1">
      <c r="A48" s="360" t="s">
        <v>265</v>
      </c>
      <c r="B48" s="416">
        <f>SUM(B11:B46)</f>
        <v>89069008</v>
      </c>
      <c r="C48" s="416">
        <f>SUM(C11:C46)</f>
        <v>33357154</v>
      </c>
      <c r="D48" s="417">
        <f>B48/C48</f>
        <v>2.6701620887681243</v>
      </c>
      <c r="E48" s="181"/>
    </row>
    <row r="49" spans="1:5" ht="5.0999999999999996" customHeight="1">
      <c r="A49" s="25" t="s">
        <v>3</v>
      </c>
      <c r="B49" s="170"/>
      <c r="C49" s="170"/>
      <c r="D49" s="99"/>
    </row>
    <row r="50" spans="1:5" ht="14.1" customHeight="1">
      <c r="A50" s="23" t="s">
        <v>266</v>
      </c>
      <c r="B50" s="169">
        <f>SUM('- 30 -'!$B50,'- 30 -'!$D50,'- 31 -'!$D50)</f>
        <v>37706</v>
      </c>
      <c r="C50" s="512" t="s">
        <v>184</v>
      </c>
      <c r="D50" s="176" t="str">
        <f ca="1">IF(AND(CELL("type",C50)="v",C50&gt;0),B50/C50,"")</f>
        <v/>
      </c>
      <c r="E50" s="181"/>
    </row>
    <row r="51" spans="1:5" ht="14.1" customHeight="1">
      <c r="A51" s="511" t="s">
        <v>691</v>
      </c>
      <c r="B51" s="414">
        <f>SUM('- 30 -'!$B51,'- 30 -'!$D51,'- 31 -'!$D51)</f>
        <v>0</v>
      </c>
      <c r="C51" s="414">
        <v>0</v>
      </c>
      <c r="D51" s="415" t="str">
        <f ca="1">IF(AND(CELL("type",C51)="v",C51&gt;0),B51/C51,"")</f>
        <v/>
      </c>
      <c r="E51" s="181"/>
    </row>
    <row r="52" spans="1:5" ht="50.1" customHeight="1"/>
    <row r="53" spans="1:5" ht="15" customHeight="1"/>
    <row r="54" spans="1:5" ht="14.45" customHeight="1"/>
    <row r="55" spans="1:5" ht="14.45" customHeight="1"/>
    <row r="56" spans="1:5" ht="14.45" customHeight="1"/>
    <row r="57" spans="1:5" ht="14.45" customHeight="1"/>
    <row r="58" spans="1:5" ht="14.45" customHeight="1"/>
    <row r="59" spans="1:5" ht="14.45" customHeight="1"/>
  </sheetData>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33.xml><?xml version="1.0" encoding="utf-8"?>
<worksheet xmlns="http://schemas.openxmlformats.org/spreadsheetml/2006/main" xmlns:r="http://schemas.openxmlformats.org/officeDocument/2006/relationships">
  <sheetPr codeName="Sheet34">
    <pageSetUpPr fitToPage="1"/>
  </sheetPr>
  <dimension ref="A1:L59"/>
  <sheetViews>
    <sheetView showGridLines="0" showZeros="0" workbookViewId="0">
      <selection activeCell="Q12" sqref="Q12"/>
    </sheetView>
  </sheetViews>
  <sheetFormatPr defaultColWidth="15.83203125" defaultRowHeight="12"/>
  <cols>
    <col min="1" max="1" width="33.83203125" style="1" customWidth="1"/>
    <col min="2" max="2" width="17.83203125" style="1" customWidth="1"/>
    <col min="3" max="3" width="15.83203125" style="1"/>
    <col min="4" max="4" width="15.83203125" style="1" customWidth="1"/>
    <col min="5" max="5" width="15.83203125" style="1"/>
    <col min="6" max="6" width="17.83203125" style="1" customWidth="1"/>
    <col min="7" max="8" width="15.83203125" style="1"/>
    <col min="9" max="9" width="0" style="1" hidden="1" customWidth="1"/>
    <col min="10" max="10" width="2.33203125" style="1" hidden="1" customWidth="1"/>
    <col min="11" max="13" width="0" style="1" hidden="1" customWidth="1"/>
    <col min="14" max="16384" width="15.83203125" style="1"/>
  </cols>
  <sheetData>
    <row r="1" spans="1:10" ht="6.95" customHeight="1">
      <c r="A1" s="3"/>
      <c r="B1" s="4"/>
      <c r="C1" s="4"/>
      <c r="D1" s="4"/>
      <c r="E1" s="4"/>
      <c r="F1" s="4"/>
    </row>
    <row r="2" spans="1:10" ht="15.95" customHeight="1">
      <c r="A2" s="5" t="s">
        <v>477</v>
      </c>
      <c r="B2" s="173"/>
      <c r="C2" s="160"/>
      <c r="D2" s="6"/>
      <c r="E2" s="6"/>
      <c r="F2" s="6"/>
      <c r="G2" s="6"/>
    </row>
    <row r="3" spans="1:10" ht="15.95" customHeight="1">
      <c r="A3" s="7" t="str">
        <f>OPYEAR</f>
        <v>OPERATING FUND 2014/2015 BUDGET</v>
      </c>
      <c r="B3" s="174"/>
      <c r="C3" s="175"/>
      <c r="D3" s="8"/>
      <c r="E3" s="8"/>
      <c r="F3" s="8"/>
      <c r="G3" s="8"/>
    </row>
    <row r="4" spans="1:10" ht="15.95" customHeight="1">
      <c r="B4" s="4"/>
      <c r="C4" s="4"/>
      <c r="D4" s="105"/>
      <c r="E4" s="4"/>
      <c r="F4" s="4"/>
    </row>
    <row r="5" spans="1:10" ht="15.95" customHeight="1">
      <c r="B5" s="4"/>
      <c r="C5" s="4"/>
      <c r="D5" s="4"/>
      <c r="E5" s="4"/>
      <c r="F5" s="4"/>
      <c r="I5"/>
    </row>
    <row r="6" spans="1:10" ht="15.95" customHeight="1">
      <c r="B6" s="363"/>
      <c r="C6" s="420"/>
      <c r="D6" s="366"/>
      <c r="E6" s="365"/>
      <c r="F6" s="352" t="s">
        <v>27</v>
      </c>
      <c r="G6" s="353"/>
      <c r="I6"/>
    </row>
    <row r="7" spans="1:10" ht="15.95" customHeight="1">
      <c r="B7" s="354" t="s">
        <v>52</v>
      </c>
      <c r="C7" s="355"/>
      <c r="D7" s="355"/>
      <c r="E7" s="356"/>
      <c r="F7" s="355" t="s">
        <v>57</v>
      </c>
      <c r="G7" s="356"/>
      <c r="I7" s="537" t="s">
        <v>54</v>
      </c>
    </row>
    <row r="8" spans="1:10" ht="15.95" customHeight="1">
      <c r="A8" s="102"/>
      <c r="B8" s="112" t="s">
        <v>3</v>
      </c>
      <c r="C8" s="16" t="s">
        <v>76</v>
      </c>
      <c r="D8" s="111" t="s">
        <v>76</v>
      </c>
      <c r="E8" s="111" t="s">
        <v>217</v>
      </c>
      <c r="F8" s="112" t="s">
        <v>3</v>
      </c>
      <c r="G8" s="112" t="s">
        <v>76</v>
      </c>
      <c r="I8" s="537" t="s">
        <v>80</v>
      </c>
    </row>
    <row r="9" spans="1:10" ht="15.95" customHeight="1">
      <c r="A9" s="35" t="s">
        <v>81</v>
      </c>
      <c r="B9" s="113" t="s">
        <v>82</v>
      </c>
      <c r="C9" s="113" t="s">
        <v>84</v>
      </c>
      <c r="D9" s="113" t="s">
        <v>392</v>
      </c>
      <c r="E9" s="113" t="s">
        <v>393</v>
      </c>
      <c r="F9" s="113" t="s">
        <v>82</v>
      </c>
      <c r="G9" s="113" t="s">
        <v>392</v>
      </c>
      <c r="I9" s="510" t="s">
        <v>672</v>
      </c>
      <c r="J9" s="510"/>
    </row>
    <row r="10" spans="1:10" ht="5.0999999999999996" customHeight="1">
      <c r="A10" s="37"/>
    </row>
    <row r="11" spans="1:10" ht="14.1" customHeight="1">
      <c r="A11" s="357" t="s">
        <v>230</v>
      </c>
      <c r="B11" s="414">
        <f>'- 32 -'!D11</f>
        <v>1455350</v>
      </c>
      <c r="C11" s="414">
        <f>B11/'- 7 -'!F11</f>
        <v>941.06045910119622</v>
      </c>
      <c r="D11" s="415">
        <f t="shared" ref="D11:D42" si="0">B11/I11</f>
        <v>5.6080906635222671</v>
      </c>
      <c r="E11" s="414">
        <f>I11/'- 7 -'!F11</f>
        <v>167.80407371483997</v>
      </c>
      <c r="F11" s="414">
        <f>'- 32 -'!F11</f>
        <v>260000</v>
      </c>
      <c r="G11" s="415">
        <f t="shared" ref="G11:G42" si="1">F11/I11</f>
        <v>1.001892034572982</v>
      </c>
      <c r="I11" s="1">
        <v>259509</v>
      </c>
    </row>
    <row r="12" spans="1:10" ht="14.1" customHeight="1">
      <c r="A12" s="23" t="s">
        <v>231</v>
      </c>
      <c r="B12" s="169">
        <f>'- 32 -'!D12</f>
        <v>2419455</v>
      </c>
      <c r="C12" s="169">
        <f>B12/'- 7 -'!F12</f>
        <v>1106.4513326138256</v>
      </c>
      <c r="D12" s="176">
        <f t="shared" si="0"/>
        <v>6.2286613857002004</v>
      </c>
      <c r="E12" s="169">
        <f>I12/'- 7 -'!F12</f>
        <v>177.63870342254012</v>
      </c>
      <c r="F12" s="169">
        <f>'- 32 -'!F12</f>
        <v>553350</v>
      </c>
      <c r="G12" s="176">
        <f t="shared" si="1"/>
        <v>1.4245479985274394</v>
      </c>
      <c r="I12" s="1">
        <v>388439</v>
      </c>
    </row>
    <row r="13" spans="1:10" ht="14.1" customHeight="1">
      <c r="A13" s="357" t="s">
        <v>232</v>
      </c>
      <c r="B13" s="414">
        <f>'- 32 -'!D13</f>
        <v>6224800</v>
      </c>
      <c r="C13" s="414">
        <f>B13/'- 7 -'!F13</f>
        <v>766.55095172359438</v>
      </c>
      <c r="D13" s="415">
        <f t="shared" si="0"/>
        <v>5.9472024320778996</v>
      </c>
      <c r="E13" s="414">
        <f>I13/'- 7 -'!F13</f>
        <v>128.89269542751521</v>
      </c>
      <c r="F13" s="414">
        <f>'- 32 -'!F13</f>
        <v>708200</v>
      </c>
      <c r="G13" s="415">
        <f t="shared" si="1"/>
        <v>0.67661752383973284</v>
      </c>
      <c r="I13" s="1">
        <v>1046677</v>
      </c>
    </row>
    <row r="14" spans="1:10" ht="14.1" customHeight="1">
      <c r="A14" s="23" t="s">
        <v>566</v>
      </c>
      <c r="B14" s="169">
        <f>'- 32 -'!D14</f>
        <v>6652615</v>
      </c>
      <c r="C14" s="169">
        <f>B14/'- 7 -'!F14</f>
        <v>1251.6679209783631</v>
      </c>
      <c r="D14" s="176">
        <f t="shared" si="0"/>
        <v>7.3785294880980636</v>
      </c>
      <c r="E14" s="169">
        <f>I14/'- 7 -'!F14</f>
        <v>169.63650047036688</v>
      </c>
      <c r="F14" s="169">
        <f>'- 32 -'!F14</f>
        <v>640000</v>
      </c>
      <c r="G14" s="176">
        <f t="shared" si="1"/>
        <v>0.70983498554820335</v>
      </c>
      <c r="I14" s="1">
        <v>901618</v>
      </c>
    </row>
    <row r="15" spans="1:10" ht="14.1" customHeight="1">
      <c r="A15" s="357" t="s">
        <v>233</v>
      </c>
      <c r="B15" s="414">
        <f>'- 32 -'!D15</f>
        <v>2023650</v>
      </c>
      <c r="C15" s="414">
        <f>B15/'- 7 -'!F15</f>
        <v>1393.2185886402754</v>
      </c>
      <c r="D15" s="415">
        <f t="shared" si="0"/>
        <v>7.0021522193464447</v>
      </c>
      <c r="E15" s="414">
        <f>I15/'- 7 -'!F15</f>
        <v>198.97005163511187</v>
      </c>
      <c r="F15" s="414">
        <f>'- 32 -'!F15</f>
        <v>244000</v>
      </c>
      <c r="G15" s="415">
        <f t="shared" si="1"/>
        <v>0.84427897191734369</v>
      </c>
      <c r="I15" s="1">
        <v>289004</v>
      </c>
    </row>
    <row r="16" spans="1:10" ht="14.1" customHeight="1">
      <c r="A16" s="23" t="s">
        <v>234</v>
      </c>
      <c r="B16" s="169">
        <f>'- 32 -'!D16</f>
        <v>1764466</v>
      </c>
      <c r="C16" s="169">
        <f>B16/'- 7 -'!F16</f>
        <v>1834.1642411642413</v>
      </c>
      <c r="D16" s="176">
        <f t="shared" si="0"/>
        <v>8.9666482028244605</v>
      </c>
      <c r="E16" s="169">
        <f>I16/'- 7 -'!F16</f>
        <v>204.55405405405406</v>
      </c>
      <c r="F16" s="169">
        <f>'- 32 -'!F16</f>
        <v>100000</v>
      </c>
      <c r="G16" s="176">
        <f t="shared" si="1"/>
        <v>0.50817914331160019</v>
      </c>
      <c r="I16" s="1">
        <v>196781</v>
      </c>
    </row>
    <row r="17" spans="1:12" ht="14.1" customHeight="1">
      <c r="A17" s="357" t="s">
        <v>235</v>
      </c>
      <c r="B17" s="414">
        <f>'- 32 -'!D17</f>
        <v>1506240</v>
      </c>
      <c r="C17" s="414">
        <f>B17/'- 7 -'!F17</f>
        <v>1126.1607476635513</v>
      </c>
      <c r="D17" s="415">
        <f t="shared" si="0"/>
        <v>5.7932530509732727</v>
      </c>
      <c r="E17" s="414">
        <f>I17/'- 7 -'!F17</f>
        <v>194.39177570093457</v>
      </c>
      <c r="F17" s="414">
        <f>'- 32 -'!F17</f>
        <v>135530</v>
      </c>
      <c r="G17" s="415">
        <f t="shared" si="1"/>
        <v>0.52127123565859868</v>
      </c>
      <c r="I17" s="1">
        <v>259999</v>
      </c>
    </row>
    <row r="18" spans="1:12" ht="14.1" customHeight="1">
      <c r="A18" s="23" t="s">
        <v>236</v>
      </c>
      <c r="B18" s="169">
        <f>'- 32 -'!D18</f>
        <v>15784694</v>
      </c>
      <c r="C18" s="169">
        <f>B18/'- 7 -'!F18</f>
        <v>2558.0070332377204</v>
      </c>
      <c r="D18" s="176">
        <f t="shared" si="0"/>
        <v>11.546941182684272</v>
      </c>
      <c r="E18" s="169">
        <f>I18/'- 7 -'!F18</f>
        <v>221.53113909280955</v>
      </c>
      <c r="F18" s="169">
        <f>'- 32 -'!F18</f>
        <v>1530811</v>
      </c>
      <c r="G18" s="176">
        <f t="shared" si="1"/>
        <v>1.1198306776682583</v>
      </c>
      <c r="I18" s="1">
        <v>1367002.2</v>
      </c>
    </row>
    <row r="19" spans="1:12" ht="14.1" customHeight="1">
      <c r="A19" s="357" t="s">
        <v>237</v>
      </c>
      <c r="B19" s="414">
        <f>'- 32 -'!D19</f>
        <v>3582725</v>
      </c>
      <c r="C19" s="414">
        <f>B19/'- 7 -'!F19</f>
        <v>878.22649834538549</v>
      </c>
      <c r="D19" s="415">
        <f t="shared" si="0"/>
        <v>5.6792206680531603</v>
      </c>
      <c r="E19" s="414">
        <f>I19/'- 7 -'!F19</f>
        <v>154.63855864689299</v>
      </c>
      <c r="F19" s="414">
        <f>'- 32 -'!F19</f>
        <v>99200</v>
      </c>
      <c r="G19" s="415">
        <f t="shared" si="1"/>
        <v>0.15724865577761996</v>
      </c>
      <c r="I19" s="1">
        <v>630848</v>
      </c>
    </row>
    <row r="20" spans="1:12" ht="14.1" customHeight="1">
      <c r="A20" s="23" t="s">
        <v>238</v>
      </c>
      <c r="B20" s="169">
        <f>'- 32 -'!D20</f>
        <v>7485700</v>
      </c>
      <c r="C20" s="169">
        <f>B20/'- 7 -'!F20</f>
        <v>990.30295012567797</v>
      </c>
      <c r="D20" s="176">
        <f t="shared" si="0"/>
        <v>7.8476575072048069</v>
      </c>
      <c r="E20" s="169">
        <f>I20/'- 7 -'!F20</f>
        <v>126.19089826696653</v>
      </c>
      <c r="F20" s="169">
        <f>'- 32 -'!F20</f>
        <v>559500</v>
      </c>
      <c r="G20" s="176">
        <f t="shared" si="1"/>
        <v>0.58655361225818425</v>
      </c>
      <c r="I20" s="1">
        <v>953877</v>
      </c>
    </row>
    <row r="21" spans="1:12" ht="14.1" customHeight="1">
      <c r="A21" s="357" t="s">
        <v>239</v>
      </c>
      <c r="B21" s="414">
        <f>'- 32 -'!D21</f>
        <v>2824000</v>
      </c>
      <c r="C21" s="414">
        <f>B21/'- 7 -'!F21</f>
        <v>1062.0534035351636</v>
      </c>
      <c r="D21" s="415">
        <f t="shared" si="0"/>
        <v>6.2347387988855187</v>
      </c>
      <c r="E21" s="414">
        <f>I21/'- 7 -'!F21</f>
        <v>170.34449040992854</v>
      </c>
      <c r="F21" s="414">
        <f>'- 32 -'!F21</f>
        <v>250000</v>
      </c>
      <c r="G21" s="415">
        <f t="shared" si="1"/>
        <v>0.55194217412230151</v>
      </c>
      <c r="I21" s="1">
        <v>452946</v>
      </c>
    </row>
    <row r="22" spans="1:12" ht="14.1" customHeight="1">
      <c r="A22" s="23" t="s">
        <v>240</v>
      </c>
      <c r="B22" s="169">
        <f>'- 32 -'!D22</f>
        <v>2199540</v>
      </c>
      <c r="C22" s="169">
        <f>B22/'- 7 -'!F22</f>
        <v>1409.0582959641256</v>
      </c>
      <c r="D22" s="176">
        <f t="shared" si="0"/>
        <v>6.4999571504138682</v>
      </c>
      <c r="E22" s="169">
        <f>I22/'- 7 -'!F22</f>
        <v>216.77962844330557</v>
      </c>
      <c r="F22" s="169">
        <f>'- 32 -'!F22</f>
        <v>277000</v>
      </c>
      <c r="G22" s="176">
        <f t="shared" si="1"/>
        <v>0.81857485231668503</v>
      </c>
      <c r="I22" s="1">
        <v>338393</v>
      </c>
    </row>
    <row r="23" spans="1:12" ht="14.1" customHeight="1">
      <c r="A23" s="357" t="s">
        <v>241</v>
      </c>
      <c r="B23" s="414">
        <f>'- 32 -'!D23</f>
        <v>1163000</v>
      </c>
      <c r="C23" s="414">
        <f>B23/'- 7 -'!F23</f>
        <v>1013.5076252723312</v>
      </c>
      <c r="D23" s="415">
        <f t="shared" si="0"/>
        <v>4.9859381966594647</v>
      </c>
      <c r="E23" s="414">
        <f>I23/'- 7 -'!F23</f>
        <v>203.27320261437907</v>
      </c>
      <c r="F23" s="414">
        <f>'- 32 -'!F23</f>
        <v>130382</v>
      </c>
      <c r="G23" s="415">
        <f t="shared" si="1"/>
        <v>0.55896525705662448</v>
      </c>
      <c r="I23" s="1">
        <v>233256</v>
      </c>
    </row>
    <row r="24" spans="1:12" ht="14.1" customHeight="1">
      <c r="A24" s="23" t="s">
        <v>242</v>
      </c>
      <c r="B24" s="169">
        <f>'- 32 -'!D24</f>
        <v>4916310</v>
      </c>
      <c r="C24" s="169">
        <f>B24/'- 7 -'!F24</f>
        <v>1214.2035070387751</v>
      </c>
      <c r="D24" s="176">
        <f t="shared" si="0"/>
        <v>6.970493532566854</v>
      </c>
      <c r="E24" s="169">
        <f>I24/'- 7 -'!F24</f>
        <v>174.19189923437887</v>
      </c>
      <c r="F24" s="169">
        <f>'- 32 -'!F24</f>
        <v>367850</v>
      </c>
      <c r="G24" s="176">
        <f t="shared" si="1"/>
        <v>0.5215488945885669</v>
      </c>
      <c r="I24" s="1">
        <v>705303</v>
      </c>
    </row>
    <row r="25" spans="1:12" ht="14.1" customHeight="1">
      <c r="A25" s="357" t="s">
        <v>243</v>
      </c>
      <c r="B25" s="414">
        <f>'- 32 -'!D25</f>
        <v>15109287</v>
      </c>
      <c r="C25" s="414">
        <f>B25/'- 7 -'!F25</f>
        <v>1099.2569661695161</v>
      </c>
      <c r="D25" s="415">
        <f t="shared" si="0"/>
        <v>6.7602105920631113</v>
      </c>
      <c r="E25" s="414">
        <f>I25/'- 7 -'!F25</f>
        <v>162.6069116042197</v>
      </c>
      <c r="F25" s="414">
        <f>'- 32 -'!F25</f>
        <v>499420</v>
      </c>
      <c r="G25" s="415">
        <f t="shared" si="1"/>
        <v>0.22345093940489444</v>
      </c>
      <c r="I25" s="1">
        <v>2235032</v>
      </c>
    </row>
    <row r="26" spans="1:12" ht="14.1" customHeight="1">
      <c r="A26" s="23" t="s">
        <v>244</v>
      </c>
      <c r="B26" s="169">
        <f>'- 32 -'!D26</f>
        <v>4216190</v>
      </c>
      <c r="C26" s="169">
        <f>B26/'- 7 -'!F26</f>
        <v>1365.3465025906735</v>
      </c>
      <c r="D26" s="176">
        <f t="shared" si="0"/>
        <v>5.4769726800233309</v>
      </c>
      <c r="E26" s="169">
        <f>I26/'- 7 -'!F26</f>
        <v>249.28853626943004</v>
      </c>
      <c r="F26" s="169">
        <f>'- 32 -'!F26</f>
        <v>220901</v>
      </c>
      <c r="G26" s="176">
        <f t="shared" si="1"/>
        <v>0.28695783206872405</v>
      </c>
      <c r="I26" s="1">
        <v>769803</v>
      </c>
    </row>
    <row r="27" spans="1:12" ht="14.1" customHeight="1">
      <c r="A27" s="357" t="s">
        <v>245</v>
      </c>
      <c r="B27" s="414">
        <f>'- 32 -'!D27</f>
        <v>4035402</v>
      </c>
      <c r="C27" s="497">
        <f>B27/'- 7 -'!F27</f>
        <v>1396.3328719723183</v>
      </c>
      <c r="D27" s="415">
        <f t="shared" si="0"/>
        <v>8.7289682024659321</v>
      </c>
      <c r="E27" s="497">
        <f>I27/'- 7 -'!F27</f>
        <v>159.96539792387543</v>
      </c>
      <c r="F27" s="418">
        <f>'- 32 -'!F27</f>
        <v>439000</v>
      </c>
      <c r="G27" s="415">
        <f t="shared" si="1"/>
        <v>0.94959982695219558</v>
      </c>
      <c r="I27" s="1">
        <v>462300</v>
      </c>
      <c r="L27" s="537" t="s">
        <v>80</v>
      </c>
    </row>
    <row r="28" spans="1:12" ht="14.1" customHeight="1">
      <c r="A28" s="23" t="s">
        <v>246</v>
      </c>
      <c r="B28" s="169">
        <f>'- 32 -'!D28</f>
        <v>2597495</v>
      </c>
      <c r="C28" s="169">
        <f>B28/'- 7 -'!F28</f>
        <v>1310.2118537200504</v>
      </c>
      <c r="D28" s="176">
        <f t="shared" si="0"/>
        <v>5.8957466560440883</v>
      </c>
      <c r="E28" s="169">
        <f>I28/'- 7 -'!F28</f>
        <v>222.23001261034048</v>
      </c>
      <c r="F28" s="169">
        <f>'- 32 -'!F28</f>
        <v>187126</v>
      </c>
      <c r="G28" s="176">
        <f t="shared" si="1"/>
        <v>0.4247351732183916</v>
      </c>
      <c r="I28" s="1">
        <f>390571+50000</f>
        <v>440571</v>
      </c>
      <c r="J28" s="270" t="s">
        <v>677</v>
      </c>
      <c r="K28" s="1">
        <v>50000</v>
      </c>
      <c r="L28" s="155" t="s">
        <v>676</v>
      </c>
    </row>
    <row r="29" spans="1:12" ht="14.1" customHeight="1">
      <c r="A29" s="357" t="s">
        <v>247</v>
      </c>
      <c r="B29" s="414">
        <f>'- 32 -'!D29</f>
        <v>13290427</v>
      </c>
      <c r="C29" s="414">
        <f>B29/'- 7 -'!F29</f>
        <v>1101.9797686663073</v>
      </c>
      <c r="D29" s="415">
        <f t="shared" si="0"/>
        <v>7.7947981218013913</v>
      </c>
      <c r="E29" s="414">
        <f>I29/'- 7 -'!F29</f>
        <v>141.37374072385057</v>
      </c>
      <c r="F29" s="414">
        <f>'- 32 -'!F29</f>
        <v>2261700</v>
      </c>
      <c r="G29" s="415">
        <f t="shared" si="1"/>
        <v>1.3264807001368883</v>
      </c>
      <c r="I29" s="1">
        <v>1705038</v>
      </c>
    </row>
    <row r="30" spans="1:12" ht="14.1" customHeight="1">
      <c r="A30" s="23" t="s">
        <v>248</v>
      </c>
      <c r="B30" s="169">
        <f>'- 32 -'!D30</f>
        <v>1081400</v>
      </c>
      <c r="C30" s="169">
        <f>B30/'- 7 -'!F30</f>
        <v>1054.5099951243296</v>
      </c>
      <c r="D30" s="176">
        <f t="shared" si="0"/>
        <v>5.1562760758135653</v>
      </c>
      <c r="E30" s="169">
        <f>I30/'- 7 -'!F30</f>
        <v>204.50999512432961</v>
      </c>
      <c r="F30" s="169">
        <f>'- 32 -'!F30</f>
        <v>254000</v>
      </c>
      <c r="G30" s="176">
        <f t="shared" si="1"/>
        <v>1.2111097866253426</v>
      </c>
      <c r="I30" s="1">
        <v>209725</v>
      </c>
    </row>
    <row r="31" spans="1:12" ht="14.1" customHeight="1">
      <c r="A31" s="357" t="s">
        <v>249</v>
      </c>
      <c r="B31" s="414">
        <f>'- 32 -'!D31</f>
        <v>3621931</v>
      </c>
      <c r="C31" s="414">
        <f>B31/'- 7 -'!F31</f>
        <v>1135.0457536822312</v>
      </c>
      <c r="D31" s="415">
        <f t="shared" si="0"/>
        <v>6.0923576628584497</v>
      </c>
      <c r="E31" s="414">
        <f>I31/'- 7 -'!F31</f>
        <v>186.30648699467253</v>
      </c>
      <c r="F31" s="414">
        <f>'- 32 -'!F31</f>
        <v>128280</v>
      </c>
      <c r="G31" s="415">
        <f t="shared" si="1"/>
        <v>0.21577651285777724</v>
      </c>
      <c r="I31" s="1">
        <v>594504</v>
      </c>
    </row>
    <row r="32" spans="1:12" ht="14.1" customHeight="1">
      <c r="A32" s="23" t="s">
        <v>250</v>
      </c>
      <c r="B32" s="169">
        <f>'- 32 -'!D32</f>
        <v>2054025</v>
      </c>
      <c r="C32" s="169">
        <f>B32/'- 7 -'!F32</f>
        <v>976.47967672926075</v>
      </c>
      <c r="D32" s="176">
        <f t="shared" si="0"/>
        <v>5.359994676603673</v>
      </c>
      <c r="E32" s="169">
        <f>I32/'- 7 -'!F32</f>
        <v>182.1792251010221</v>
      </c>
      <c r="F32" s="169">
        <f>'- 32 -'!F32</f>
        <v>405000</v>
      </c>
      <c r="G32" s="176">
        <f t="shared" si="1"/>
        <v>1.0568507413612238</v>
      </c>
      <c r="I32" s="1">
        <v>383214</v>
      </c>
    </row>
    <row r="33" spans="1:9" ht="14.1" customHeight="1">
      <c r="A33" s="357" t="s">
        <v>251</v>
      </c>
      <c r="B33" s="414">
        <f>'- 32 -'!D33</f>
        <v>2668700</v>
      </c>
      <c r="C33" s="414">
        <f>B33/'- 7 -'!F33</f>
        <v>1338.7007775269626</v>
      </c>
      <c r="D33" s="415">
        <f t="shared" si="0"/>
        <v>5.3984565435070646</v>
      </c>
      <c r="E33" s="414">
        <f>I33/'- 7 -'!F33</f>
        <v>247.9784298971658</v>
      </c>
      <c r="F33" s="414">
        <f>'- 32 -'!F33</f>
        <v>395300</v>
      </c>
      <c r="G33" s="415">
        <f t="shared" si="1"/>
        <v>0.79964397333845794</v>
      </c>
      <c r="I33" s="1">
        <v>494345</v>
      </c>
    </row>
    <row r="34" spans="1:9" ht="14.1" customHeight="1">
      <c r="A34" s="23" t="s">
        <v>252</v>
      </c>
      <c r="B34" s="169">
        <f>'- 32 -'!D34</f>
        <v>2103487</v>
      </c>
      <c r="C34" s="169">
        <f>B34/'- 7 -'!F34</f>
        <v>1059.4243263661547</v>
      </c>
      <c r="D34" s="176">
        <f t="shared" si="0"/>
        <v>5.5099000694144307</v>
      </c>
      <c r="E34" s="169">
        <f>I34/'- 7 -'!F34</f>
        <v>192.27650465877613</v>
      </c>
      <c r="F34" s="169">
        <f>'- 32 -'!F34</f>
        <v>482052</v>
      </c>
      <c r="G34" s="176">
        <f t="shared" si="1"/>
        <v>1.2626930179560725</v>
      </c>
      <c r="I34" s="1">
        <v>381765</v>
      </c>
    </row>
    <row r="35" spans="1:9" ht="14.1" customHeight="1">
      <c r="A35" s="357" t="s">
        <v>253</v>
      </c>
      <c r="B35" s="414">
        <f>'- 32 -'!D35</f>
        <v>18068225</v>
      </c>
      <c r="C35" s="414">
        <f>B35/'- 7 -'!F35</f>
        <v>1165.9175969542491</v>
      </c>
      <c r="D35" s="415">
        <f t="shared" si="0"/>
        <v>7.3920801646955248</v>
      </c>
      <c r="E35" s="414">
        <f>I35/'- 7 -'!F35</f>
        <v>157.72523714267277</v>
      </c>
      <c r="F35" s="414">
        <f>'- 32 -'!F35</f>
        <v>647500</v>
      </c>
      <c r="G35" s="415">
        <f t="shared" si="1"/>
        <v>0.26490548499591698</v>
      </c>
      <c r="I35" s="1">
        <v>2444268</v>
      </c>
    </row>
    <row r="36" spans="1:9" ht="14.1" customHeight="1">
      <c r="A36" s="23" t="s">
        <v>254</v>
      </c>
      <c r="B36" s="169">
        <f>'- 32 -'!D36</f>
        <v>2158225</v>
      </c>
      <c r="C36" s="169">
        <f>B36/'- 7 -'!F36</f>
        <v>1309.2053381862299</v>
      </c>
      <c r="D36" s="176">
        <f t="shared" si="0"/>
        <v>6.7097511308700319</v>
      </c>
      <c r="E36" s="169">
        <f>I36/'- 7 -'!F36</f>
        <v>195.11980588413709</v>
      </c>
      <c r="F36" s="169">
        <f>'- 32 -'!F36</f>
        <v>155000</v>
      </c>
      <c r="G36" s="176">
        <f t="shared" si="1"/>
        <v>0.48188276258724411</v>
      </c>
      <c r="I36" s="1">
        <v>321655</v>
      </c>
    </row>
    <row r="37" spans="1:9" ht="14.1" customHeight="1">
      <c r="A37" s="357" t="s">
        <v>255</v>
      </c>
      <c r="B37" s="414">
        <f>'- 32 -'!D37</f>
        <v>3786097</v>
      </c>
      <c r="C37" s="414">
        <f>B37/'- 7 -'!F37</f>
        <v>967.44525360930118</v>
      </c>
      <c r="D37" s="415">
        <f t="shared" si="0"/>
        <v>6.5510775433223456</v>
      </c>
      <c r="E37" s="414">
        <f>I37/'- 7 -'!F37</f>
        <v>147.67727098505173</v>
      </c>
      <c r="F37" s="414">
        <f>'- 32 -'!F37</f>
        <v>420000</v>
      </c>
      <c r="G37" s="415">
        <f t="shared" si="1"/>
        <v>0.72672532378208621</v>
      </c>
      <c r="I37" s="1">
        <v>577935</v>
      </c>
    </row>
    <row r="38" spans="1:9" ht="14.1" customHeight="1">
      <c r="A38" s="23" t="s">
        <v>256</v>
      </c>
      <c r="B38" s="169">
        <f>'- 32 -'!D38</f>
        <v>10318850</v>
      </c>
      <c r="C38" s="169">
        <f>B38/'- 7 -'!F38</f>
        <v>962.08568365111182</v>
      </c>
      <c r="D38" s="176">
        <f t="shared" si="0"/>
        <v>8.5319873560376731</v>
      </c>
      <c r="E38" s="169">
        <f>I38/'- 7 -'!F38</f>
        <v>112.76220222833435</v>
      </c>
      <c r="F38" s="169">
        <f>'- 32 -'!F38</f>
        <v>815160</v>
      </c>
      <c r="G38" s="176">
        <f t="shared" si="1"/>
        <v>0.67400289888385534</v>
      </c>
      <c r="I38" s="1">
        <v>1209431</v>
      </c>
    </row>
    <row r="39" spans="1:9" ht="14.1" customHeight="1">
      <c r="A39" s="357" t="s">
        <v>257</v>
      </c>
      <c r="B39" s="414">
        <f>'- 32 -'!D39</f>
        <v>2007030</v>
      </c>
      <c r="C39" s="414">
        <f>B39/'- 7 -'!F39</f>
        <v>1294.4405030635278</v>
      </c>
      <c r="D39" s="415">
        <f t="shared" si="0"/>
        <v>6.4189424734467</v>
      </c>
      <c r="E39" s="414">
        <f>I39/'- 7 -'!F39</f>
        <v>201.65946468881006</v>
      </c>
      <c r="F39" s="414">
        <f>'- 32 -'!F39</f>
        <v>160200</v>
      </c>
      <c r="G39" s="415">
        <f t="shared" si="1"/>
        <v>0.51235635951937009</v>
      </c>
      <c r="I39" s="1">
        <v>312673</v>
      </c>
    </row>
    <row r="40" spans="1:9" ht="14.1" customHeight="1">
      <c r="A40" s="23" t="s">
        <v>258</v>
      </c>
      <c r="B40" s="169">
        <f>'- 32 -'!D40</f>
        <v>8177559</v>
      </c>
      <c r="C40" s="169">
        <f>B40/'- 7 -'!F40</f>
        <v>1029.8038381088265</v>
      </c>
      <c r="D40" s="176">
        <f t="shared" si="0"/>
        <v>5.758418567641125</v>
      </c>
      <c r="E40" s="169">
        <f>I40/'- 7 -'!F40</f>
        <v>178.83448832561589</v>
      </c>
      <c r="F40" s="169">
        <f>'- 32 -'!F40</f>
        <v>697183</v>
      </c>
      <c r="G40" s="176">
        <f t="shared" si="1"/>
        <v>0.49093764193492734</v>
      </c>
      <c r="I40" s="1">
        <v>1420105</v>
      </c>
    </row>
    <row r="41" spans="1:9" ht="14.1" customHeight="1">
      <c r="A41" s="357" t="s">
        <v>259</v>
      </c>
      <c r="B41" s="414">
        <f>'- 32 -'!D41</f>
        <v>4501648</v>
      </c>
      <c r="C41" s="414">
        <f>B41/'- 7 -'!F41</f>
        <v>1026.3675330597355</v>
      </c>
      <c r="D41" s="415">
        <f t="shared" si="0"/>
        <v>6.1717137373183437</v>
      </c>
      <c r="E41" s="414">
        <f>I41/'- 7 -'!F41</f>
        <v>166.30186958504331</v>
      </c>
      <c r="F41" s="414">
        <f>'- 32 -'!F41</f>
        <v>425540</v>
      </c>
      <c r="G41" s="415">
        <f t="shared" si="1"/>
        <v>0.5834110227584316</v>
      </c>
      <c r="I41" s="1">
        <v>729400</v>
      </c>
    </row>
    <row r="42" spans="1:9" ht="14.1" customHeight="1">
      <c r="A42" s="23" t="s">
        <v>260</v>
      </c>
      <c r="B42" s="169">
        <f>'- 32 -'!D42</f>
        <v>1878260</v>
      </c>
      <c r="C42" s="169">
        <f>B42/'- 7 -'!F42</f>
        <v>1340.1783803068142</v>
      </c>
      <c r="D42" s="176">
        <f t="shared" si="0"/>
        <v>5.8218776831018442</v>
      </c>
      <c r="E42" s="169">
        <f>I42/'- 7 -'!F42</f>
        <v>230.19693185872279</v>
      </c>
      <c r="F42" s="169">
        <f>'- 32 -'!F42</f>
        <v>96979</v>
      </c>
      <c r="G42" s="176">
        <f t="shared" si="1"/>
        <v>0.30059729527836065</v>
      </c>
      <c r="I42" s="1">
        <v>322621</v>
      </c>
    </row>
    <row r="43" spans="1:9" ht="14.1" customHeight="1">
      <c r="A43" s="357" t="s">
        <v>261</v>
      </c>
      <c r="B43" s="414">
        <f>'- 32 -'!D43</f>
        <v>844513</v>
      </c>
      <c r="C43" s="414">
        <f>B43/'- 7 -'!F43</f>
        <v>879.7010416666667</v>
      </c>
      <c r="D43" s="415">
        <f>B43/I43</f>
        <v>4.6249849395940812</v>
      </c>
      <c r="E43" s="414">
        <f>I43/'- 7 -'!F43</f>
        <v>190.20625000000001</v>
      </c>
      <c r="F43" s="414">
        <f>'- 32 -'!F43</f>
        <v>125783</v>
      </c>
      <c r="G43" s="415">
        <f>F43/I43</f>
        <v>0.68885201371318416</v>
      </c>
      <c r="I43" s="1">
        <v>182598</v>
      </c>
    </row>
    <row r="44" spans="1:9" ht="14.1" customHeight="1">
      <c r="A44" s="23" t="s">
        <v>262</v>
      </c>
      <c r="B44" s="169">
        <f>'- 32 -'!D44</f>
        <v>999781</v>
      </c>
      <c r="C44" s="169">
        <f>B44/'- 7 -'!F44</f>
        <v>1424.1894586894587</v>
      </c>
      <c r="D44" s="176">
        <f>B44/I44</f>
        <v>5.5820319697164269</v>
      </c>
      <c r="E44" s="169">
        <f>I44/'- 7 -'!F44</f>
        <v>255.13817663817665</v>
      </c>
      <c r="F44" s="169">
        <f>'- 32 -'!F44</f>
        <v>53940</v>
      </c>
      <c r="G44" s="176">
        <f>F44/I44</f>
        <v>0.30116075865264896</v>
      </c>
      <c r="I44" s="1">
        <v>179107</v>
      </c>
    </row>
    <row r="45" spans="1:9" ht="14.1" customHeight="1">
      <c r="A45" s="357" t="s">
        <v>263</v>
      </c>
      <c r="B45" s="414">
        <f>'- 32 -'!D45</f>
        <v>1426871</v>
      </c>
      <c r="C45" s="414">
        <f>B45/'- 7 -'!F45</f>
        <v>848.82272456870908</v>
      </c>
      <c r="D45" s="415">
        <f>B45/I45</f>
        <v>6.8922975113996445</v>
      </c>
      <c r="E45" s="414">
        <f>I45/'- 7 -'!F45</f>
        <v>123.15526472337893</v>
      </c>
      <c r="F45" s="414">
        <f>'- 32 -'!F45</f>
        <v>138700</v>
      </c>
      <c r="G45" s="415">
        <f>F45/I45</f>
        <v>0.66997063142437596</v>
      </c>
      <c r="I45" s="1">
        <v>207024</v>
      </c>
    </row>
    <row r="46" spans="1:9" ht="14.1" customHeight="1">
      <c r="A46" s="23" t="s">
        <v>264</v>
      </c>
      <c r="B46" s="169">
        <f>'- 32 -'!D46</f>
        <v>37736900</v>
      </c>
      <c r="C46" s="169">
        <f>B46/'- 7 -'!F46</f>
        <v>1247.9958991996825</v>
      </c>
      <c r="D46" s="176">
        <f>B46/I46</f>
        <v>7.5759869266349735</v>
      </c>
      <c r="E46" s="169">
        <f>I46/'- 7 -'!F46</f>
        <v>164.73047159203651</v>
      </c>
      <c r="F46" s="169">
        <f>'- 32 -'!F46</f>
        <v>4783100</v>
      </c>
      <c r="G46" s="176">
        <f>F46/I46</f>
        <v>0.96024588847488113</v>
      </c>
      <c r="I46" s="1">
        <v>4981120</v>
      </c>
    </row>
    <row r="47" spans="1:9" ht="5.0999999999999996" customHeight="1">
      <c r="A47"/>
      <c r="B47"/>
      <c r="C47"/>
      <c r="D47"/>
      <c r="E47"/>
      <c r="F47"/>
      <c r="G47"/>
      <c r="H47"/>
      <c r="I47"/>
    </row>
    <row r="48" spans="1:9" ht="14.1" customHeight="1">
      <c r="A48" s="360" t="s">
        <v>265</v>
      </c>
      <c r="B48" s="416">
        <f>SUM(B11:B46)</f>
        <v>202684848</v>
      </c>
      <c r="C48" s="416">
        <f>B48/'- 7 -'!F48</f>
        <v>1172.5660810918696</v>
      </c>
      <c r="D48" s="417">
        <f>B48/I48</f>
        <v>7.0898857852596322</v>
      </c>
      <c r="E48" s="416">
        <f>I48/'- 7 -'!F48</f>
        <v>165.38575043475541</v>
      </c>
      <c r="F48" s="416">
        <f>SUM(F11:F46)</f>
        <v>19647687</v>
      </c>
      <c r="G48" s="417">
        <f>F48/I48</f>
        <v>0.68727316397390725</v>
      </c>
      <c r="I48" s="1">
        <f>SUM(I11:I46)</f>
        <v>28587886.199999999</v>
      </c>
    </row>
    <row r="49" spans="1:9" ht="5.0999999999999996" customHeight="1">
      <c r="A49" s="25" t="s">
        <v>3</v>
      </c>
      <c r="B49" s="170"/>
      <c r="C49" s="170"/>
      <c r="D49" s="99"/>
      <c r="E49" s="170"/>
      <c r="F49" s="170"/>
      <c r="G49" s="99"/>
    </row>
    <row r="50" spans="1:9" ht="14.1" customHeight="1">
      <c r="A50" s="23" t="s">
        <v>266</v>
      </c>
      <c r="B50" s="169">
        <f>'- 32 -'!D50</f>
        <v>394485</v>
      </c>
      <c r="C50" s="169">
        <f>B50/'- 7 -'!F50</f>
        <v>2254.1999999999998</v>
      </c>
      <c r="D50" s="176">
        <f>B50/I50</f>
        <v>5.4388468379037924</v>
      </c>
      <c r="E50" s="169">
        <f>I50/'- 7 -'!F50</f>
        <v>414.46285714285716</v>
      </c>
      <c r="F50" s="169">
        <f>'- 32 -'!F50</f>
        <v>25000</v>
      </c>
      <c r="G50" s="329" t="s">
        <v>184</v>
      </c>
      <c r="I50" s="156">
        <v>72531</v>
      </c>
    </row>
    <row r="51" spans="1:9" ht="14.1" customHeight="1">
      <c r="A51" s="511" t="s">
        <v>691</v>
      </c>
      <c r="B51" s="414">
        <f>'- 32 -'!D51</f>
        <v>1948232</v>
      </c>
      <c r="C51" s="414">
        <f>B51/'- 7 -'!F51</f>
        <v>3137.2495974235103</v>
      </c>
      <c r="D51" s="419" t="s">
        <v>184</v>
      </c>
      <c r="E51" s="418" t="s">
        <v>184</v>
      </c>
      <c r="F51" s="414">
        <f>'- 32 -'!F51</f>
        <v>45000</v>
      </c>
      <c r="G51" s="419" t="s">
        <v>184</v>
      </c>
    </row>
    <row r="52" spans="1:9" ht="50.1" customHeight="1">
      <c r="A52" s="27"/>
      <c r="B52" s="27"/>
      <c r="C52" s="27"/>
      <c r="D52" s="27"/>
      <c r="E52" s="27"/>
      <c r="F52" s="27"/>
      <c r="G52" s="27"/>
    </row>
    <row r="53" spans="1:9" ht="15" customHeight="1">
      <c r="A53" s="158" t="s">
        <v>658</v>
      </c>
    </row>
    <row r="54" spans="1:9" ht="12" customHeight="1">
      <c r="A54" s="1" t="s">
        <v>593</v>
      </c>
    </row>
    <row r="55" spans="1:9" ht="14.45" customHeight="1"/>
    <row r="56" spans="1:9" ht="14.45" customHeight="1"/>
    <row r="57" spans="1:9" ht="14.45" customHeight="1"/>
    <row r="58" spans="1:9" ht="14.45" customHeight="1"/>
    <row r="59" spans="1:9" ht="14.45" customHeight="1"/>
  </sheetData>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34.xml><?xml version="1.0" encoding="utf-8"?>
<worksheet xmlns="http://schemas.openxmlformats.org/spreadsheetml/2006/main" xmlns:r="http://schemas.openxmlformats.org/officeDocument/2006/relationships">
  <sheetPr codeName="Sheet52">
    <pageSetUpPr fitToPage="1"/>
  </sheetPr>
  <dimension ref="A1:J59"/>
  <sheetViews>
    <sheetView showGridLines="0" showZeros="0" workbookViewId="0"/>
  </sheetViews>
  <sheetFormatPr defaultColWidth="15.83203125" defaultRowHeight="12"/>
  <cols>
    <col min="1" max="1" width="29.83203125" style="1" customWidth="1"/>
    <col min="2" max="2" width="15.83203125" style="1"/>
    <col min="3" max="3" width="8.83203125" style="1" customWidth="1"/>
    <col min="4" max="4" width="9.83203125" style="1" customWidth="1"/>
    <col min="5" max="5" width="15.83203125" style="1"/>
    <col min="6" max="6" width="8.83203125" style="1" customWidth="1"/>
    <col min="7" max="7" width="9.83203125" style="1" customWidth="1"/>
    <col min="8" max="8" width="15.83203125" style="1"/>
    <col min="9" max="9" width="8.83203125" style="1" customWidth="1"/>
    <col min="10" max="10" width="9.83203125" style="1" customWidth="1"/>
    <col min="11" max="16384" width="15.83203125" style="1"/>
  </cols>
  <sheetData>
    <row r="1" spans="1:10" ht="6.95" customHeight="1">
      <c r="A1" s="3"/>
      <c r="B1" s="4"/>
      <c r="C1" s="4"/>
      <c r="D1" s="4"/>
      <c r="E1" s="4"/>
      <c r="F1" s="4"/>
      <c r="G1" s="4"/>
      <c r="H1" s="4"/>
      <c r="I1" s="4"/>
      <c r="J1" s="4"/>
    </row>
    <row r="2" spans="1:10" ht="15.95" customHeight="1">
      <c r="A2" s="159"/>
      <c r="B2" s="5" t="s">
        <v>547</v>
      </c>
      <c r="C2" s="6"/>
      <c r="D2" s="6"/>
      <c r="E2" s="6"/>
      <c r="F2" s="6"/>
      <c r="G2" s="6"/>
      <c r="H2" s="106"/>
      <c r="I2" s="171"/>
      <c r="J2" s="117"/>
    </row>
    <row r="3" spans="1:10" ht="15.95" customHeight="1">
      <c r="A3" s="162"/>
      <c r="B3" s="7" t="str">
        <f>OPYEAR</f>
        <v>OPERATING FUND 2014/2015 BUDGET</v>
      </c>
      <c r="C3" s="8"/>
      <c r="D3" s="8"/>
      <c r="E3" s="8"/>
      <c r="F3" s="8"/>
      <c r="G3" s="8"/>
      <c r="H3" s="108"/>
      <c r="I3" s="108"/>
      <c r="J3" s="101"/>
    </row>
    <row r="4" spans="1:10" ht="15.95" customHeight="1">
      <c r="B4" s="4"/>
      <c r="C4" s="4"/>
      <c r="D4" s="4"/>
      <c r="E4" s="4"/>
      <c r="F4" s="4"/>
      <c r="G4" s="4"/>
      <c r="H4" s="4"/>
      <c r="I4" s="4"/>
      <c r="J4" s="4"/>
    </row>
    <row r="5" spans="1:10" ht="14.1" customHeight="1"/>
    <row r="6" spans="1:10" ht="18" customHeight="1">
      <c r="B6" s="164" t="s">
        <v>473</v>
      </c>
      <c r="C6" s="172"/>
      <c r="D6" s="165"/>
      <c r="E6" s="165"/>
      <c r="F6" s="165"/>
      <c r="G6" s="165"/>
      <c r="H6" s="165"/>
      <c r="I6" s="165"/>
      <c r="J6" s="166"/>
    </row>
    <row r="7" spans="1:10" ht="15.95" customHeight="1">
      <c r="B7" s="354" t="s">
        <v>152</v>
      </c>
      <c r="C7" s="355"/>
      <c r="D7" s="356"/>
      <c r="E7" s="354" t="s">
        <v>139</v>
      </c>
      <c r="F7" s="355"/>
      <c r="G7" s="356"/>
      <c r="H7" s="354" t="s">
        <v>144</v>
      </c>
      <c r="I7" s="355"/>
      <c r="J7" s="356"/>
    </row>
    <row r="8" spans="1:10" ht="15.95" customHeight="1">
      <c r="A8" s="102"/>
      <c r="B8" s="167"/>
      <c r="C8" s="104"/>
      <c r="D8" s="16" t="s">
        <v>60</v>
      </c>
      <c r="E8" s="167"/>
      <c r="F8" s="168"/>
      <c r="G8" s="16" t="s">
        <v>60</v>
      </c>
      <c r="H8" s="167"/>
      <c r="I8" s="168"/>
      <c r="J8" s="16" t="s">
        <v>60</v>
      </c>
    </row>
    <row r="9" spans="1:10" ht="15.95" customHeight="1">
      <c r="A9" s="35" t="s">
        <v>81</v>
      </c>
      <c r="B9" s="113" t="s">
        <v>82</v>
      </c>
      <c r="C9" s="113" t="s">
        <v>83</v>
      </c>
      <c r="D9" s="113" t="s">
        <v>84</v>
      </c>
      <c r="E9" s="113" t="s">
        <v>82</v>
      </c>
      <c r="F9" s="113" t="s">
        <v>83</v>
      </c>
      <c r="G9" s="113" t="s">
        <v>84</v>
      </c>
      <c r="H9" s="113" t="s">
        <v>82</v>
      </c>
      <c r="I9" s="113" t="s">
        <v>83</v>
      </c>
      <c r="J9" s="113" t="s">
        <v>84</v>
      </c>
    </row>
    <row r="10" spans="1:10" ht="5.0999999999999996" customHeight="1">
      <c r="A10" s="37"/>
    </row>
    <row r="11" spans="1:10" ht="14.1" customHeight="1">
      <c r="A11" s="357" t="s">
        <v>230</v>
      </c>
      <c r="B11" s="358">
        <v>136300</v>
      </c>
      <c r="C11" s="359">
        <f>B11/'- 3 -'!$D11*100</f>
        <v>0.78467024909221772</v>
      </c>
      <c r="D11" s="358">
        <f>B11/'- 7 -'!$F11</f>
        <v>88.134497251859031</v>
      </c>
      <c r="E11" s="358">
        <v>154160</v>
      </c>
      <c r="F11" s="359">
        <f>E11/'- 3 -'!$D11*100</f>
        <v>0.88748910931809455</v>
      </c>
      <c r="G11" s="358">
        <f>E11/'- 7 -'!$F11</f>
        <v>99.683155512447456</v>
      </c>
      <c r="H11" s="358">
        <v>224151</v>
      </c>
      <c r="I11" s="359">
        <f>H11/'- 3 -'!$D11*100</f>
        <v>1.2904227513152582</v>
      </c>
      <c r="J11" s="358">
        <f>H11/'- 7 -'!$F11</f>
        <v>144.94083414161008</v>
      </c>
    </row>
    <row r="12" spans="1:10" ht="14.1" customHeight="1">
      <c r="A12" s="23" t="s">
        <v>231</v>
      </c>
      <c r="B12" s="24">
        <v>287471</v>
      </c>
      <c r="C12" s="350">
        <f>B12/'- 3 -'!$D12*100</f>
        <v>0.91367534936510642</v>
      </c>
      <c r="D12" s="24">
        <f>B12/'- 7 -'!$F12</f>
        <v>131.46459472808093</v>
      </c>
      <c r="E12" s="24">
        <v>96718</v>
      </c>
      <c r="F12" s="350">
        <f>E12/'- 3 -'!$D12*100</f>
        <v>0.30740092892811577</v>
      </c>
      <c r="G12" s="24">
        <f>E12/'- 7 -'!$F12</f>
        <v>44.230522984615952</v>
      </c>
      <c r="H12" s="24">
        <v>432798</v>
      </c>
      <c r="I12" s="350">
        <f>H12/'- 3 -'!$D12*100</f>
        <v>1.3755713232100606</v>
      </c>
      <c r="J12" s="24">
        <f>H12/'- 7 -'!$F12</f>
        <v>197.92470777617211</v>
      </c>
    </row>
    <row r="13" spans="1:10" ht="14.1" customHeight="1">
      <c r="A13" s="357" t="s">
        <v>232</v>
      </c>
      <c r="B13" s="358">
        <v>374000</v>
      </c>
      <c r="C13" s="359">
        <f>B13/'- 3 -'!$D13*100</f>
        <v>0.41900583583261725</v>
      </c>
      <c r="D13" s="358">
        <f>B13/'- 7 -'!$F13</f>
        <v>46.056107175270583</v>
      </c>
      <c r="E13" s="358">
        <v>286800</v>
      </c>
      <c r="F13" s="359">
        <f>E13/'- 3 -'!$D13*100</f>
        <v>0.3213124965689696</v>
      </c>
      <c r="G13" s="358">
        <f>E13/'- 7 -'!$F13</f>
        <v>35.317891812480219</v>
      </c>
      <c r="H13" s="358">
        <v>801800</v>
      </c>
      <c r="I13" s="359">
        <f>H13/'- 3 -'!$D13*100</f>
        <v>0.89828577318340241</v>
      </c>
      <c r="J13" s="358">
        <f>H13/'- 7 -'!$F13</f>
        <v>98.737397682170993</v>
      </c>
    </row>
    <row r="14" spans="1:10" ht="14.1" customHeight="1">
      <c r="A14" s="23" t="s">
        <v>566</v>
      </c>
      <c r="B14" s="24">
        <v>384528</v>
      </c>
      <c r="C14" s="350">
        <f>B14/'- 3 -'!$D14*100</f>
        <v>0.48122642756656725</v>
      </c>
      <c r="D14" s="24">
        <f>B14/'- 7 -'!$F14</f>
        <v>72.347695202257768</v>
      </c>
      <c r="E14" s="24">
        <v>496124</v>
      </c>
      <c r="F14" s="350">
        <f>E14/'- 3 -'!$D14*100</f>
        <v>0.62088581364695317</v>
      </c>
      <c r="G14" s="24">
        <f>E14/'- 7 -'!$F14</f>
        <v>93.344120413922866</v>
      </c>
      <c r="H14" s="24">
        <v>647495</v>
      </c>
      <c r="I14" s="350">
        <f>H14/'- 3 -'!$D14*100</f>
        <v>0.81032254014587868</v>
      </c>
      <c r="J14" s="24">
        <f>H14/'- 7 -'!$F14</f>
        <v>121.82408278457197</v>
      </c>
    </row>
    <row r="15" spans="1:10" ht="14.1" customHeight="1">
      <c r="A15" s="357" t="s">
        <v>233</v>
      </c>
      <c r="B15" s="358">
        <v>120000</v>
      </c>
      <c r="C15" s="359">
        <f>B15/'- 3 -'!$D15*100</f>
        <v>0.60521690923592275</v>
      </c>
      <c r="D15" s="358">
        <f>B15/'- 7 -'!$F15</f>
        <v>82.616179001721164</v>
      </c>
      <c r="E15" s="358">
        <v>72250</v>
      </c>
      <c r="F15" s="359">
        <f>E15/'- 3 -'!$D15*100</f>
        <v>0.36439101410246177</v>
      </c>
      <c r="G15" s="358">
        <f>E15/'- 7 -'!$F15</f>
        <v>49.741824440619624</v>
      </c>
      <c r="H15" s="358">
        <v>240972</v>
      </c>
      <c r="I15" s="359">
        <f>H15/'- 3 -'!$D15*100</f>
        <v>1.2153360754366564</v>
      </c>
      <c r="J15" s="358">
        <f>H15/'- 7 -'!$F15</f>
        <v>165.90154905335629</v>
      </c>
    </row>
    <row r="16" spans="1:10" ht="14.1" customHeight="1">
      <c r="A16" s="23" t="s">
        <v>234</v>
      </c>
      <c r="B16" s="24">
        <v>112555</v>
      </c>
      <c r="C16" s="350">
        <f>B16/'- 3 -'!$D16*100</f>
        <v>0.83487964025592243</v>
      </c>
      <c r="D16" s="24">
        <f>B16/'- 7 -'!$F16</f>
        <v>117.0010395010395</v>
      </c>
      <c r="E16" s="24">
        <v>60860</v>
      </c>
      <c r="F16" s="350">
        <f>E16/'- 3 -'!$D16*100</f>
        <v>0.45143063307694403</v>
      </c>
      <c r="G16" s="24">
        <f>E16/'- 7 -'!$F16</f>
        <v>63.264033264033266</v>
      </c>
      <c r="H16" s="24">
        <v>107765</v>
      </c>
      <c r="I16" s="350">
        <f>H16/'- 3 -'!$D16*100</f>
        <v>0.79934969065949524</v>
      </c>
      <c r="J16" s="24">
        <f>H16/'- 7 -'!$F16</f>
        <v>112.02182952182952</v>
      </c>
    </row>
    <row r="17" spans="1:10" ht="14.1" customHeight="1">
      <c r="A17" s="357" t="s">
        <v>235</v>
      </c>
      <c r="B17" s="358">
        <v>150400</v>
      </c>
      <c r="C17" s="359">
        <f>B17/'- 3 -'!$D17*100</f>
        <v>0.87632124072171591</v>
      </c>
      <c r="D17" s="358">
        <f>B17/'- 7 -'!$F17</f>
        <v>112.44859813084112</v>
      </c>
      <c r="E17" s="358">
        <v>134653</v>
      </c>
      <c r="F17" s="359">
        <f>E17/'- 3 -'!$D17*100</f>
        <v>0.78456970762567291</v>
      </c>
      <c r="G17" s="358">
        <f>E17/'- 7 -'!$F17</f>
        <v>100.67514018691588</v>
      </c>
      <c r="H17" s="358">
        <v>254799</v>
      </c>
      <c r="I17" s="359">
        <f>H17/'- 3 -'!$D17*100</f>
        <v>1.4846128711080617</v>
      </c>
      <c r="J17" s="358">
        <f>H17/'- 7 -'!$F17</f>
        <v>190.50392523364485</v>
      </c>
    </row>
    <row r="18" spans="1:10" ht="14.1" customHeight="1">
      <c r="A18" s="23" t="s">
        <v>236</v>
      </c>
      <c r="B18" s="24">
        <v>338949</v>
      </c>
      <c r="C18" s="350">
        <f>B18/'- 3 -'!$D18*100</f>
        <v>0.27384207904460589</v>
      </c>
      <c r="D18" s="24">
        <f>B18/'- 7 -'!$F18</f>
        <v>54.928776313870387</v>
      </c>
      <c r="E18" s="24">
        <v>0</v>
      </c>
      <c r="F18" s="350">
        <f>E18/'- 3 -'!$D18*100</f>
        <v>0</v>
      </c>
      <c r="G18" s="24">
        <f>E18/'- 7 -'!$F18</f>
        <v>0</v>
      </c>
      <c r="H18" s="24">
        <v>1040582</v>
      </c>
      <c r="I18" s="350">
        <f>H18/'- 3 -'!$D18*100</f>
        <v>0.84070210650096056</v>
      </c>
      <c r="J18" s="24">
        <f>H18/'- 7 -'!$F18</f>
        <v>168.63273210494759</v>
      </c>
    </row>
    <row r="19" spans="1:10" ht="14.1" customHeight="1">
      <c r="A19" s="357" t="s">
        <v>237</v>
      </c>
      <c r="B19" s="358">
        <v>445000</v>
      </c>
      <c r="C19" s="359">
        <f>B19/'- 3 -'!$D19*100</f>
        <v>1.0241723076696467</v>
      </c>
      <c r="D19" s="358">
        <f>B19/'- 7 -'!$F19</f>
        <v>109.08199534256649</v>
      </c>
      <c r="E19" s="358">
        <v>268000</v>
      </c>
      <c r="F19" s="359">
        <f>E19/'- 3 -'!$D19*100</f>
        <v>0.61680489540554007</v>
      </c>
      <c r="G19" s="358">
        <f>E19/'- 7 -'!$F19</f>
        <v>65.694325284961394</v>
      </c>
      <c r="H19" s="358">
        <v>565500</v>
      </c>
      <c r="I19" s="359">
        <f>H19/'- 3 -'!$D19*100</f>
        <v>1.3015043595217646</v>
      </c>
      <c r="J19" s="358">
        <f>H19/'- 7 -'!$F19</f>
        <v>138.61992891285698</v>
      </c>
    </row>
    <row r="20" spans="1:10" ht="14.1" customHeight="1">
      <c r="A20" s="23" t="s">
        <v>238</v>
      </c>
      <c r="B20" s="24">
        <v>591700</v>
      </c>
      <c r="C20" s="350">
        <f>B20/'- 3 -'!$D20*100</f>
        <v>0.78133253047685447</v>
      </c>
      <c r="D20" s="24">
        <f>B20/'- 7 -'!$F20</f>
        <v>78.277549940468319</v>
      </c>
      <c r="E20" s="24">
        <v>136300</v>
      </c>
      <c r="F20" s="350">
        <f>E20/'- 3 -'!$D20*100</f>
        <v>0.17998246392427797</v>
      </c>
      <c r="G20" s="24">
        <f>E20/'- 7 -'!$F20</f>
        <v>18.031485646249504</v>
      </c>
      <c r="H20" s="24">
        <v>1428650</v>
      </c>
      <c r="I20" s="350">
        <f>H20/'- 3 -'!$D20*100</f>
        <v>1.886514652130739</v>
      </c>
      <c r="J20" s="24">
        <f>H20/'- 7 -'!$F20</f>
        <v>188.99986770736871</v>
      </c>
    </row>
    <row r="21" spans="1:10" ht="14.1" customHeight="1">
      <c r="A21" s="357" t="s">
        <v>239</v>
      </c>
      <c r="B21" s="358">
        <v>436132</v>
      </c>
      <c r="C21" s="359">
        <f>B21/'- 3 -'!$D21*100</f>
        <v>1.2647481256653867</v>
      </c>
      <c r="D21" s="358">
        <f>B21/'- 7 -'!$F21</f>
        <v>164.02106054907861</v>
      </c>
      <c r="E21" s="358">
        <v>181800</v>
      </c>
      <c r="F21" s="359">
        <f>E21/'- 3 -'!$D21*100</f>
        <v>0.52720554613274717</v>
      </c>
      <c r="G21" s="358">
        <f>E21/'- 7 -'!$F21</f>
        <v>68.371568258743892</v>
      </c>
      <c r="H21" s="358">
        <v>280903</v>
      </c>
      <c r="I21" s="359">
        <f>H21/'- 3 -'!$D21*100</f>
        <v>0.81459636702600169</v>
      </c>
      <c r="J21" s="358">
        <f>H21/'- 7 -'!$F21</f>
        <v>105.64234674689733</v>
      </c>
    </row>
    <row r="22" spans="1:10" ht="14.1" customHeight="1">
      <c r="A22" s="23" t="s">
        <v>240</v>
      </c>
      <c r="B22" s="24">
        <v>120000</v>
      </c>
      <c r="C22" s="350">
        <f>B22/'- 3 -'!$D22*100</f>
        <v>0.61844356411293622</v>
      </c>
      <c r="D22" s="24">
        <f>B22/'- 7 -'!$F22</f>
        <v>76.873798846893024</v>
      </c>
      <c r="E22" s="24">
        <v>84700</v>
      </c>
      <c r="F22" s="350">
        <f>E22/'- 3 -'!$D22*100</f>
        <v>0.43651808233638084</v>
      </c>
      <c r="G22" s="24">
        <f>E22/'- 7 -'!$F22</f>
        <v>54.260089686098652</v>
      </c>
      <c r="H22" s="24">
        <v>166990</v>
      </c>
      <c r="I22" s="350">
        <f>H22/'- 3 -'!$D22*100</f>
        <v>0.86061575642682686</v>
      </c>
      <c r="J22" s="24">
        <f>H22/'- 7 -'!$F22</f>
        <v>106.97629724535554</v>
      </c>
    </row>
    <row r="23" spans="1:10" ht="14.1" customHeight="1">
      <c r="A23" s="357" t="s">
        <v>241</v>
      </c>
      <c r="B23" s="358">
        <v>98000</v>
      </c>
      <c r="C23" s="359">
        <f>B23/'- 3 -'!$D23*100</f>
        <v>0.60145281541290352</v>
      </c>
      <c r="D23" s="358">
        <f>B23/'- 7 -'!$F23</f>
        <v>85.403050108932462</v>
      </c>
      <c r="E23" s="358">
        <v>34000</v>
      </c>
      <c r="F23" s="359">
        <f>E23/'- 3 -'!$D23*100</f>
        <v>0.20866730330651753</v>
      </c>
      <c r="G23" s="358">
        <f>E23/'- 7 -'!$F23</f>
        <v>29.62962962962963</v>
      </c>
      <c r="H23" s="358">
        <v>188000</v>
      </c>
      <c r="I23" s="359">
        <f>H23/'- 3 -'!$D23*100</f>
        <v>1.1538074418125088</v>
      </c>
      <c r="J23" s="358">
        <f>H23/'- 7 -'!$F23</f>
        <v>163.83442265795208</v>
      </c>
    </row>
    <row r="24" spans="1:10" ht="14.1" customHeight="1">
      <c r="A24" s="23" t="s">
        <v>242</v>
      </c>
      <c r="B24" s="24">
        <v>462200</v>
      </c>
      <c r="C24" s="350">
        <f>B24/'- 3 -'!$D24*100</f>
        <v>0.85072426692075742</v>
      </c>
      <c r="D24" s="24">
        <f>B24/'- 7 -'!$F24</f>
        <v>114.15164238083477</v>
      </c>
      <c r="E24" s="24">
        <v>314405</v>
      </c>
      <c r="F24" s="350">
        <f>E24/'- 3 -'!$D24*100</f>
        <v>0.57869312665776884</v>
      </c>
      <c r="G24" s="24">
        <f>E24/'- 7 -'!$F24</f>
        <v>77.650037046184238</v>
      </c>
      <c r="H24" s="24">
        <v>790850</v>
      </c>
      <c r="I24" s="350">
        <f>H24/'- 3 -'!$D24*100</f>
        <v>1.4556367081226331</v>
      </c>
      <c r="J24" s="24">
        <f>H24/'- 7 -'!$F24</f>
        <v>195.3198320572981</v>
      </c>
    </row>
    <row r="25" spans="1:10" ht="14.1" customHeight="1">
      <c r="A25" s="357" t="s">
        <v>243</v>
      </c>
      <c r="B25" s="358">
        <v>1113425</v>
      </c>
      <c r="C25" s="359">
        <f>B25/'- 3 -'!$D25*100</f>
        <v>0.70024347410722354</v>
      </c>
      <c r="D25" s="358">
        <f>B25/'- 7 -'!$F25</f>
        <v>81.005820298290288</v>
      </c>
      <c r="E25" s="358">
        <v>902000</v>
      </c>
      <c r="F25" s="359">
        <f>E25/'- 3 -'!$D25*100</f>
        <v>0.56727629938677115</v>
      </c>
      <c r="G25" s="358">
        <f>E25/'- 7 -'!$F25</f>
        <v>65.623863222990181</v>
      </c>
      <c r="H25" s="358">
        <v>1356850</v>
      </c>
      <c r="I25" s="359">
        <f>H25/'- 3 -'!$D25*100</f>
        <v>0.85333575035802711</v>
      </c>
      <c r="J25" s="358">
        <f>H25/'- 7 -'!$F25</f>
        <v>98.715896689705346</v>
      </c>
    </row>
    <row r="26" spans="1:10" ht="14.1" customHeight="1">
      <c r="A26" s="23" t="s">
        <v>244</v>
      </c>
      <c r="B26" s="24">
        <v>296832</v>
      </c>
      <c r="C26" s="350">
        <f>B26/'- 3 -'!$D26*100</f>
        <v>0.76269668284293213</v>
      </c>
      <c r="D26" s="24">
        <f>B26/'- 7 -'!$F26</f>
        <v>96.124352331606218</v>
      </c>
      <c r="E26" s="24">
        <v>386450</v>
      </c>
      <c r="F26" s="350">
        <f>E26/'- 3 -'!$D26*100</f>
        <v>0.99296616633196932</v>
      </c>
      <c r="G26" s="24">
        <f>E26/'- 7 -'!$F26</f>
        <v>125.14572538860104</v>
      </c>
      <c r="H26" s="24">
        <v>483216</v>
      </c>
      <c r="I26" s="350">
        <f>H26/'- 3 -'!$D26*100</f>
        <v>1.2416021193693074</v>
      </c>
      <c r="J26" s="24">
        <f>H26/'- 7 -'!$F26</f>
        <v>156.48186528497411</v>
      </c>
    </row>
    <row r="27" spans="1:10" ht="14.1" customHeight="1">
      <c r="A27" s="357" t="s">
        <v>245</v>
      </c>
      <c r="B27" s="358">
        <v>230723</v>
      </c>
      <c r="C27" s="359">
        <f>B27/'- 3 -'!$D27*100</f>
        <v>0.5902157710448952</v>
      </c>
      <c r="D27" s="358">
        <f>B27/'- 7 -'!$F27</f>
        <v>79.83494809688581</v>
      </c>
      <c r="E27" s="358">
        <v>164550</v>
      </c>
      <c r="F27" s="359">
        <f>E27/'- 3 -'!$D27*100</f>
        <v>0.42093768339280219</v>
      </c>
      <c r="G27" s="358">
        <f>E27/'- 7 -'!$F27</f>
        <v>56.937716262975776</v>
      </c>
      <c r="H27" s="358">
        <v>291200</v>
      </c>
      <c r="I27" s="359">
        <f>H27/'- 3 -'!$D27*100</f>
        <v>0.74492284049823165</v>
      </c>
      <c r="J27" s="358">
        <f>H27/'- 7 -'!$F27</f>
        <v>100.76124567474048</v>
      </c>
    </row>
    <row r="28" spans="1:10" ht="14.1" customHeight="1">
      <c r="A28" s="23" t="s">
        <v>246</v>
      </c>
      <c r="B28" s="24">
        <v>212425</v>
      </c>
      <c r="C28" s="350">
        <f>B28/'- 3 -'!$D28*100</f>
        <v>0.77669419426162933</v>
      </c>
      <c r="D28" s="24">
        <f>B28/'- 7 -'!$F28</f>
        <v>107.15006305170239</v>
      </c>
      <c r="E28" s="24">
        <v>195500</v>
      </c>
      <c r="F28" s="350">
        <f>E28/'- 3 -'!$D28*100</f>
        <v>0.71481094493655895</v>
      </c>
      <c r="G28" s="24">
        <f>E28/'- 7 -'!$F28</f>
        <v>98.612862547288771</v>
      </c>
      <c r="H28" s="24">
        <v>373800</v>
      </c>
      <c r="I28" s="350">
        <f>H28/'- 3 -'!$D28*100</f>
        <v>1.3667331520065769</v>
      </c>
      <c r="J28" s="24">
        <f>H28/'- 7 -'!$F28</f>
        <v>188.54981084489282</v>
      </c>
    </row>
    <row r="29" spans="1:10" ht="14.1" customHeight="1">
      <c r="A29" s="357" t="s">
        <v>247</v>
      </c>
      <c r="B29" s="358">
        <v>1037956</v>
      </c>
      <c r="C29" s="359">
        <f>B29/'- 3 -'!$D29*100</f>
        <v>0.70570486900161811</v>
      </c>
      <c r="D29" s="358">
        <f>B29/'- 7 -'!$F29</f>
        <v>86.062435222420291</v>
      </c>
      <c r="E29" s="358">
        <v>445000</v>
      </c>
      <c r="F29" s="359">
        <f>E29/'- 3 -'!$D29*100</f>
        <v>0.30255489318017337</v>
      </c>
      <c r="G29" s="358">
        <f>E29/'- 7 -'!$F29</f>
        <v>36.897309398449487</v>
      </c>
      <c r="H29" s="358">
        <v>935400</v>
      </c>
      <c r="I29" s="359">
        <f>H29/'- 3 -'!$D29*100</f>
        <v>0.63597718445108808</v>
      </c>
      <c r="J29" s="358">
        <f>H29/'- 7 -'!$F29</f>
        <v>77.55897350856101</v>
      </c>
    </row>
    <row r="30" spans="1:10" ht="14.1" customHeight="1">
      <c r="A30" s="23" t="s">
        <v>248</v>
      </c>
      <c r="B30" s="24">
        <v>160000</v>
      </c>
      <c r="C30" s="350">
        <f>B30/'- 3 -'!$D30*100</f>
        <v>1.1939937636213234</v>
      </c>
      <c r="D30" s="24">
        <f>B30/'- 7 -'!$F30</f>
        <v>156.02145294978058</v>
      </c>
      <c r="E30" s="24">
        <v>93700</v>
      </c>
      <c r="F30" s="350">
        <f>E30/'- 3 -'!$D30*100</f>
        <v>0.69923259782073754</v>
      </c>
      <c r="G30" s="24">
        <f>E30/'- 7 -'!$F30</f>
        <v>91.370063383715262</v>
      </c>
      <c r="H30" s="24">
        <v>122404</v>
      </c>
      <c r="I30" s="350">
        <f>H30/'- 3 -'!$D30*100</f>
        <v>0.91343507901440291</v>
      </c>
      <c r="J30" s="24">
        <f>H30/'- 7 -'!$F30</f>
        <v>119.3603120429059</v>
      </c>
    </row>
    <row r="31" spans="1:10" ht="14.1" customHeight="1">
      <c r="A31" s="357" t="s">
        <v>249</v>
      </c>
      <c r="B31" s="358">
        <v>216213</v>
      </c>
      <c r="C31" s="359">
        <f>B31/'- 3 -'!$D31*100</f>
        <v>0.61818143557801664</v>
      </c>
      <c r="D31" s="358">
        <f>B31/'- 7 -'!$F31</f>
        <v>67.757129426512066</v>
      </c>
      <c r="E31" s="358">
        <v>154200</v>
      </c>
      <c r="F31" s="359">
        <f>E31/'- 3 -'!$D31*100</f>
        <v>0.44087810338013977</v>
      </c>
      <c r="G31" s="358">
        <f>E31/'- 7 -'!$F31</f>
        <v>48.323409589470387</v>
      </c>
      <c r="H31" s="358">
        <v>149072</v>
      </c>
      <c r="I31" s="359">
        <f>H31/'- 3 -'!$D31*100</f>
        <v>0.42621647618083142</v>
      </c>
      <c r="J31" s="358">
        <f>H31/'- 7 -'!$F31</f>
        <v>46.716389846443121</v>
      </c>
    </row>
    <row r="32" spans="1:10" ht="14.1" customHeight="1">
      <c r="A32" s="23" t="s">
        <v>250</v>
      </c>
      <c r="B32" s="24">
        <v>260000</v>
      </c>
      <c r="C32" s="350">
        <f>B32/'- 3 -'!$D32*100</f>
        <v>0.97679444465441356</v>
      </c>
      <c r="D32" s="24">
        <f>B32/'- 7 -'!$F32</f>
        <v>123.60351794628001</v>
      </c>
      <c r="E32" s="24">
        <v>130900</v>
      </c>
      <c r="F32" s="350">
        <f>E32/'- 3 -'!$D32*100</f>
        <v>0.49177843386639508</v>
      </c>
      <c r="G32" s="24">
        <f>E32/'- 7 -'!$F32</f>
        <v>62.229617304492514</v>
      </c>
      <c r="H32" s="24">
        <v>143830</v>
      </c>
      <c r="I32" s="350">
        <f>H32/'- 3 -'!$D32*100</f>
        <v>0.54035517297940117</v>
      </c>
      <c r="J32" s="24">
        <f>H32/'- 7 -'!$F32</f>
        <v>68.376515331590213</v>
      </c>
    </row>
    <row r="33" spans="1:10" ht="14.1" customHeight="1">
      <c r="A33" s="357" t="s">
        <v>251</v>
      </c>
      <c r="B33" s="358">
        <v>273800</v>
      </c>
      <c r="C33" s="359">
        <f>B33/'- 3 -'!$D33*100</f>
        <v>1.0103051121438675</v>
      </c>
      <c r="D33" s="358">
        <f>B33/'- 7 -'!$F33</f>
        <v>137.34637572109355</v>
      </c>
      <c r="E33" s="358">
        <v>41500</v>
      </c>
      <c r="F33" s="359">
        <f>E33/'- 3 -'!$D33*100</f>
        <v>0.15313244029938092</v>
      </c>
      <c r="G33" s="358">
        <f>E33/'- 7 -'!$F33</f>
        <v>20.817657386506145</v>
      </c>
      <c r="H33" s="358">
        <v>720500</v>
      </c>
      <c r="I33" s="359">
        <f>H33/'- 3 -'!$D33*100</f>
        <v>2.658600559896481</v>
      </c>
      <c r="J33" s="358">
        <f>H33/'- 7 -'!$F33</f>
        <v>361.42463004765489</v>
      </c>
    </row>
    <row r="34" spans="1:10" ht="14.1" customHeight="1">
      <c r="A34" s="23" t="s">
        <v>252</v>
      </c>
      <c r="B34" s="24">
        <v>138260</v>
      </c>
      <c r="C34" s="350">
        <f>B34/'- 3 -'!$D34*100</f>
        <v>0.52504324505434596</v>
      </c>
      <c r="D34" s="24">
        <f>B34/'- 7 -'!$F34</f>
        <v>69.634852681944096</v>
      </c>
      <c r="E34" s="24">
        <v>111636</v>
      </c>
      <c r="F34" s="350">
        <f>E34/'- 3 -'!$D34*100</f>
        <v>0.42393843269844472</v>
      </c>
      <c r="G34" s="24">
        <f>E34/'- 7 -'!$F34</f>
        <v>56.225635859984891</v>
      </c>
      <c r="H34" s="24">
        <v>340816</v>
      </c>
      <c r="I34" s="350">
        <f>H34/'- 3 -'!$D34*100</f>
        <v>1.2942509663419786</v>
      </c>
      <c r="J34" s="24">
        <f>H34/'- 7 -'!$F34</f>
        <v>171.65248048350543</v>
      </c>
    </row>
    <row r="35" spans="1:10" ht="14.1" customHeight="1">
      <c r="A35" s="357" t="s">
        <v>253</v>
      </c>
      <c r="B35" s="358">
        <v>685000</v>
      </c>
      <c r="C35" s="359">
        <f>B35/'- 3 -'!$D35*100</f>
        <v>0.40186868351163296</v>
      </c>
      <c r="D35" s="358">
        <f>B35/'- 7 -'!$F35</f>
        <v>44.202103632961219</v>
      </c>
      <c r="E35" s="358">
        <v>235500</v>
      </c>
      <c r="F35" s="359">
        <f>E35/'- 3 -'!$D35*100</f>
        <v>0.13816069338246653</v>
      </c>
      <c r="G35" s="358">
        <f>E35/'- 7 -'!$F35</f>
        <v>15.19648964315674</v>
      </c>
      <c r="H35" s="358">
        <v>672250</v>
      </c>
      <c r="I35" s="359">
        <f>H35/'- 3 -'!$D35*100</f>
        <v>0.39438864597181789</v>
      </c>
      <c r="J35" s="358">
        <f>H35/'- 7 -'!$F35</f>
        <v>43.379363747822161</v>
      </c>
    </row>
    <row r="36" spans="1:10" ht="14.1" customHeight="1">
      <c r="A36" s="23" t="s">
        <v>254</v>
      </c>
      <c r="B36" s="24">
        <v>157870</v>
      </c>
      <c r="C36" s="350">
        <f>B36/'- 3 -'!$D36*100</f>
        <v>0.71366332784460063</v>
      </c>
      <c r="D36" s="24">
        <f>B36/'- 7 -'!$F36</f>
        <v>95.765847740370035</v>
      </c>
      <c r="E36" s="24">
        <v>231350</v>
      </c>
      <c r="F36" s="350">
        <f>E36/'- 3 -'!$D36*100</f>
        <v>1.0458352498691859</v>
      </c>
      <c r="G36" s="24">
        <f>E36/'- 7 -'!$F36</f>
        <v>140.33970276008492</v>
      </c>
      <c r="H36" s="24">
        <v>141500</v>
      </c>
      <c r="I36" s="350">
        <f>H36/'- 3 -'!$D36*100</f>
        <v>0.63966149927162219</v>
      </c>
      <c r="J36" s="24">
        <f>H36/'- 7 -'!$F36</f>
        <v>85.835608128601763</v>
      </c>
    </row>
    <row r="37" spans="1:10" ht="14.1" customHeight="1">
      <c r="A37" s="357" t="s">
        <v>255</v>
      </c>
      <c r="B37" s="358">
        <v>224000</v>
      </c>
      <c r="C37" s="359">
        <f>B37/'- 3 -'!$D37*100</f>
        <v>0.50109110350774955</v>
      </c>
      <c r="D37" s="358">
        <f>B37/'- 7 -'!$F37</f>
        <v>57.237766704995529</v>
      </c>
      <c r="E37" s="358">
        <v>509663</v>
      </c>
      <c r="F37" s="359">
        <f>E37/'- 3 -'!$D37*100</f>
        <v>1.140123192352992</v>
      </c>
      <c r="G37" s="358">
        <f>E37/'- 7 -'!$F37</f>
        <v>130.23201737575062</v>
      </c>
      <c r="H37" s="358">
        <v>455515</v>
      </c>
      <c r="I37" s="359">
        <f>H37/'- 3 -'!$D37*100</f>
        <v>1.0189933661354131</v>
      </c>
      <c r="J37" s="358">
        <f>H37/'- 7 -'!$F37</f>
        <v>116.39580937779482</v>
      </c>
    </row>
    <row r="38" spans="1:10" ht="14.1" customHeight="1">
      <c r="A38" s="23" t="s">
        <v>256</v>
      </c>
      <c r="B38" s="24">
        <v>256690</v>
      </c>
      <c r="C38" s="350">
        <f>B38/'- 3 -'!$D38*100</f>
        <v>0.20994448522767903</v>
      </c>
      <c r="D38" s="24">
        <f>B38/'- 7 -'!$F38</f>
        <v>23.932683790965456</v>
      </c>
      <c r="E38" s="24">
        <v>517940</v>
      </c>
      <c r="F38" s="350">
        <f>E38/'- 3 -'!$D38*100</f>
        <v>0.42361855420477651</v>
      </c>
      <c r="G38" s="24">
        <f>E38/'- 7 -'!$F38</f>
        <v>48.290522586359607</v>
      </c>
      <c r="H38" s="24">
        <v>1052780</v>
      </c>
      <c r="I38" s="350">
        <f>H38/'- 3 -'!$D38*100</f>
        <v>0.86105946923524856</v>
      </c>
      <c r="J38" s="24">
        <f>H38/'- 7 -'!$F38</f>
        <v>98.156729290009793</v>
      </c>
    </row>
    <row r="39" spans="1:10" ht="14.1" customHeight="1">
      <c r="A39" s="357" t="s">
        <v>257</v>
      </c>
      <c r="B39" s="358">
        <v>242000</v>
      </c>
      <c r="C39" s="359">
        <f>B39/'- 3 -'!$D39*100</f>
        <v>1.1602222870838685</v>
      </c>
      <c r="D39" s="358">
        <f>B39/'- 7 -'!$F39</f>
        <v>156.0786842953886</v>
      </c>
      <c r="E39" s="358">
        <v>114500</v>
      </c>
      <c r="F39" s="359">
        <f>E39/'- 3 -'!$D39*100</f>
        <v>0.54894814822769811</v>
      </c>
      <c r="G39" s="358">
        <f>E39/'- 7 -'!$F39</f>
        <v>73.847146081909059</v>
      </c>
      <c r="H39" s="358">
        <v>41426</v>
      </c>
      <c r="I39" s="359">
        <f>H39/'- 3 -'!$D39*100</f>
        <v>0.19860896059808406</v>
      </c>
      <c r="J39" s="358">
        <f>H39/'- 7 -'!$F39</f>
        <v>26.717832957110609</v>
      </c>
    </row>
    <row r="40" spans="1:10" ht="14.1" customHeight="1">
      <c r="A40" s="23" t="s">
        <v>258</v>
      </c>
      <c r="B40" s="24">
        <v>838472</v>
      </c>
      <c r="C40" s="350">
        <f>B40/'- 3 -'!$D40*100</f>
        <v>0.84466803704570759</v>
      </c>
      <c r="D40" s="24">
        <f>B40/'- 7 -'!$F40</f>
        <v>105.58917199457491</v>
      </c>
      <c r="E40" s="24">
        <v>565955</v>
      </c>
      <c r="F40" s="350">
        <f>E40/'- 3 -'!$D40*100</f>
        <v>0.57013722450624882</v>
      </c>
      <c r="G40" s="24">
        <f>E40/'- 7 -'!$F40</f>
        <v>71.270978441963052</v>
      </c>
      <c r="H40" s="24">
        <v>990386</v>
      </c>
      <c r="I40" s="350">
        <f>H40/'- 3 -'!$D40*100</f>
        <v>0.99770463239982998</v>
      </c>
      <c r="J40" s="24">
        <f>H40/'- 7 -'!$F40</f>
        <v>124.71977322441187</v>
      </c>
    </row>
    <row r="41" spans="1:10" ht="14.1" customHeight="1">
      <c r="A41" s="357" t="s">
        <v>259</v>
      </c>
      <c r="B41" s="358">
        <v>417964</v>
      </c>
      <c r="C41" s="359">
        <f>B41/'- 3 -'!$D41*100</f>
        <v>0.70383678309859476</v>
      </c>
      <c r="D41" s="358">
        <f>B41/'- 7 -'!$F41</f>
        <v>95.295029639762888</v>
      </c>
      <c r="E41" s="358">
        <v>364059</v>
      </c>
      <c r="F41" s="359">
        <f>E41/'- 3 -'!$D41*100</f>
        <v>0.61306264515147557</v>
      </c>
      <c r="G41" s="358">
        <f>E41/'- 7 -'!$F41</f>
        <v>83.004787961696309</v>
      </c>
      <c r="H41" s="358">
        <v>1102674</v>
      </c>
      <c r="I41" s="359">
        <f>H41/'- 3 -'!$D41*100</f>
        <v>1.8568645169594986</v>
      </c>
      <c r="J41" s="358">
        <f>H41/'- 7 -'!$F41</f>
        <v>251.4076607387141</v>
      </c>
    </row>
    <row r="42" spans="1:10" ht="14.1" customHeight="1">
      <c r="A42" s="23" t="s">
        <v>260</v>
      </c>
      <c r="B42" s="24">
        <v>151019</v>
      </c>
      <c r="C42" s="350">
        <f>B42/'- 3 -'!$D42*100</f>
        <v>0.74166624267684456</v>
      </c>
      <c r="D42" s="24">
        <f>B42/'- 7 -'!$F42</f>
        <v>107.75526221905102</v>
      </c>
      <c r="E42" s="24">
        <v>151475</v>
      </c>
      <c r="F42" s="350">
        <f>E42/'- 3 -'!$D42*100</f>
        <v>0.743905694710434</v>
      </c>
      <c r="G42" s="24">
        <f>E42/'- 7 -'!$F42</f>
        <v>108.08062789867999</v>
      </c>
      <c r="H42" s="24">
        <v>148600</v>
      </c>
      <c r="I42" s="350">
        <f>H42/'- 3 -'!$D42*100</f>
        <v>0.72978634252497432</v>
      </c>
      <c r="J42" s="24">
        <f>H42/'- 7 -'!$F42</f>
        <v>106.02925437031752</v>
      </c>
    </row>
    <row r="43" spans="1:10" ht="14.1" customHeight="1">
      <c r="A43" s="357" t="s">
        <v>261</v>
      </c>
      <c r="B43" s="358">
        <v>42625</v>
      </c>
      <c r="C43" s="359">
        <f>B43/'- 3 -'!$D43*100</f>
        <v>0.34253882140126302</v>
      </c>
      <c r="D43" s="358">
        <f>B43/'- 7 -'!$F43</f>
        <v>44.401041666666664</v>
      </c>
      <c r="E43" s="358">
        <v>60580</v>
      </c>
      <c r="F43" s="359">
        <f>E43/'- 3 -'!$D43*100</f>
        <v>0.48682702171234055</v>
      </c>
      <c r="G43" s="358">
        <f>E43/'- 7 -'!$F43</f>
        <v>63.104166666666664</v>
      </c>
      <c r="H43" s="358">
        <v>208875</v>
      </c>
      <c r="I43" s="359">
        <f>H43/'- 3 -'!$D43*100</f>
        <v>1.678540676133462</v>
      </c>
      <c r="J43" s="358">
        <f>H43/'- 7 -'!$F43</f>
        <v>217.578125</v>
      </c>
    </row>
    <row r="44" spans="1:10" ht="14.1" customHeight="1">
      <c r="A44" s="23" t="s">
        <v>262</v>
      </c>
      <c r="B44" s="24">
        <v>113384</v>
      </c>
      <c r="C44" s="350">
        <f>B44/'- 3 -'!$D44*100</f>
        <v>1.0533118838614586</v>
      </c>
      <c r="D44" s="24">
        <f>B44/'- 7 -'!$F44</f>
        <v>161.51566951566952</v>
      </c>
      <c r="E44" s="24">
        <v>118390</v>
      </c>
      <c r="F44" s="350">
        <f>E44/'- 3 -'!$D44*100</f>
        <v>1.0998164990682819</v>
      </c>
      <c r="G44" s="24">
        <f>E44/'- 7 -'!$F44</f>
        <v>168.64672364672364</v>
      </c>
      <c r="H44" s="24">
        <v>190490</v>
      </c>
      <c r="I44" s="350">
        <f>H44/'- 3 -'!$D44*100</f>
        <v>1.7696092989907681</v>
      </c>
      <c r="J44" s="24">
        <f>H44/'- 7 -'!$F44</f>
        <v>271.35327635327633</v>
      </c>
    </row>
    <row r="45" spans="1:10" ht="14.1" customHeight="1">
      <c r="A45" s="357" t="s">
        <v>263</v>
      </c>
      <c r="B45" s="358">
        <v>168424</v>
      </c>
      <c r="C45" s="359">
        <f>B45/'- 3 -'!$D45*100</f>
        <v>0.95926998337692149</v>
      </c>
      <c r="D45" s="358">
        <f>B45/'- 7 -'!$F45</f>
        <v>100.19274241522903</v>
      </c>
      <c r="E45" s="358">
        <v>54900</v>
      </c>
      <c r="F45" s="359">
        <f>E45/'- 3 -'!$D45*100</f>
        <v>0.31268656537900175</v>
      </c>
      <c r="G45" s="358">
        <f>E45/'- 7 -'!$F45</f>
        <v>32.659131469363473</v>
      </c>
      <c r="H45" s="358">
        <v>120600</v>
      </c>
      <c r="I45" s="359">
        <f>H45/'- 3 -'!$D45*100</f>
        <v>0.68688524198010215</v>
      </c>
      <c r="J45" s="358">
        <f>H45/'- 7 -'!$F45</f>
        <v>71.743010113027964</v>
      </c>
    </row>
    <row r="46" spans="1:10" ht="14.1" customHeight="1">
      <c r="A46" s="23" t="s">
        <v>264</v>
      </c>
      <c r="B46" s="24">
        <v>839700</v>
      </c>
      <c r="C46" s="350">
        <f>B46/'- 3 -'!$D46*100</f>
        <v>0.22712156616237583</v>
      </c>
      <c r="D46" s="24">
        <f>B46/'- 7 -'!$F46</f>
        <v>27.769693762815002</v>
      </c>
      <c r="E46" s="24">
        <v>1158900</v>
      </c>
      <c r="F46" s="350">
        <f>E46/'- 3 -'!$D46*100</f>
        <v>0.31345859595757691</v>
      </c>
      <c r="G46" s="24">
        <f>E46/'- 7 -'!$F46</f>
        <v>38.32594748329916</v>
      </c>
      <c r="H46" s="24">
        <v>2501000</v>
      </c>
      <c r="I46" s="350">
        <f>H46/'- 3 -'!$D46*100</f>
        <v>0.67646902104573292</v>
      </c>
      <c r="J46" s="24">
        <f>H46/'- 7 -'!$F46</f>
        <v>82.71049672597394</v>
      </c>
    </row>
    <row r="47" spans="1:10" ht="5.0999999999999996" customHeight="1">
      <c r="A47"/>
      <c r="B47"/>
      <c r="C47"/>
      <c r="D47"/>
      <c r="E47"/>
      <c r="F47"/>
      <c r="G47"/>
      <c r="H47"/>
      <c r="I47"/>
      <c r="J47"/>
    </row>
    <row r="48" spans="1:10" ht="14.1" customHeight="1">
      <c r="A48" s="360" t="s">
        <v>265</v>
      </c>
      <c r="B48" s="361">
        <f>SUM(B11:B46)</f>
        <v>12134017</v>
      </c>
      <c r="C48" s="362">
        <f>B48/'- 3 -'!$D48*100</f>
        <v>0.56550319572706498</v>
      </c>
      <c r="D48" s="361">
        <f>B48/'- 7 -'!$F48</f>
        <v>70.197337896674568</v>
      </c>
      <c r="E48" s="361">
        <f>SUM(E11:E46)</f>
        <v>9029418</v>
      </c>
      <c r="F48" s="362">
        <f>E48/'- 3 -'!$D48*100</f>
        <v>0.42081404159525104</v>
      </c>
      <c r="G48" s="361">
        <f>E48/'- 7 -'!$F48</f>
        <v>52.236708285171794</v>
      </c>
      <c r="H48" s="361">
        <f>SUM(H11:H46)</f>
        <v>19714439</v>
      </c>
      <c r="I48" s="362">
        <f>H48/'- 3 -'!$D48*100</f>
        <v>0.9187870971720481</v>
      </c>
      <c r="J48" s="361">
        <f>H48/'- 7 -'!$F48</f>
        <v>114.05135957254542</v>
      </c>
    </row>
    <row r="49" spans="1:10" ht="5.0999999999999996" customHeight="1">
      <c r="A49" s="25" t="s">
        <v>3</v>
      </c>
      <c r="B49" s="26"/>
      <c r="C49" s="349"/>
      <c r="D49" s="26"/>
      <c r="E49" s="26"/>
      <c r="F49" s="349"/>
      <c r="H49" s="26"/>
      <c r="I49" s="349"/>
      <c r="J49" s="26"/>
    </row>
    <row r="50" spans="1:10" ht="14.1" customHeight="1">
      <c r="A50" s="23" t="s">
        <v>266</v>
      </c>
      <c r="B50" s="24">
        <v>0</v>
      </c>
      <c r="C50" s="350">
        <f>B50/'- 3 -'!$D50*100</f>
        <v>0</v>
      </c>
      <c r="D50" s="24">
        <f>B50/'- 7 -'!$F50</f>
        <v>0</v>
      </c>
      <c r="E50" s="24">
        <v>28845</v>
      </c>
      <c r="F50" s="350">
        <f>E50/'- 3 -'!$D50*100</f>
        <v>0.85759698025966069</v>
      </c>
      <c r="G50" s="24">
        <f>E50/'- 7 -'!$F50</f>
        <v>164.82857142857142</v>
      </c>
      <c r="H50" s="24">
        <v>79827</v>
      </c>
      <c r="I50" s="350">
        <f>H50/'- 3 -'!$D50*100</f>
        <v>2.3733539311210929</v>
      </c>
      <c r="J50" s="24">
        <f>H50/'- 7 -'!$F50</f>
        <v>456.15428571428572</v>
      </c>
    </row>
    <row r="51" spans="1:10" ht="14.1" customHeight="1">
      <c r="A51" s="511" t="s">
        <v>691</v>
      </c>
      <c r="B51" s="358">
        <v>105470</v>
      </c>
      <c r="C51" s="359">
        <f>B51/'- 3 -'!$D51*100</f>
        <v>0.46849940090533609</v>
      </c>
      <c r="D51" s="358">
        <f>B51/'- 7 -'!$F51</f>
        <v>169.8389694041868</v>
      </c>
      <c r="E51" s="358">
        <v>1500</v>
      </c>
      <c r="F51" s="359">
        <f>E51/'- 3 -'!$D51*100</f>
        <v>6.6630236214848225E-3</v>
      </c>
      <c r="G51" s="358">
        <f>E51/'- 7 -'!$F51</f>
        <v>2.4154589371980677</v>
      </c>
      <c r="H51" s="358">
        <v>198787</v>
      </c>
      <c r="I51" s="359">
        <f>H51/'- 3 -'!$D51*100</f>
        <v>0.88301498442940229</v>
      </c>
      <c r="J51" s="358">
        <f>H51/'- 7 -'!$F51</f>
        <v>320.10789049919487</v>
      </c>
    </row>
    <row r="52" spans="1:10" ht="50.1" customHeight="1">
      <c r="A52" s="27"/>
      <c r="B52" s="27"/>
      <c r="C52" s="27"/>
      <c r="D52" s="27"/>
      <c r="E52" s="27"/>
      <c r="F52" s="27"/>
      <c r="G52" s="27"/>
      <c r="H52" s="27"/>
      <c r="I52" s="27"/>
      <c r="J52" s="27"/>
    </row>
    <row r="53" spans="1:10" ht="15" customHeight="1">
      <c r="A53" s="1" t="s">
        <v>592</v>
      </c>
    </row>
    <row r="54" spans="1:10" ht="12" customHeight="1">
      <c r="A54" s="154" t="s">
        <v>548</v>
      </c>
    </row>
    <row r="55" spans="1:10">
      <c r="A55" s="1" t="s">
        <v>549</v>
      </c>
    </row>
    <row r="56" spans="1:10" ht="14.45" customHeight="1"/>
    <row r="57" spans="1:10" ht="14.45" customHeight="1"/>
    <row r="58" spans="1:10" ht="14.45" customHeight="1"/>
    <row r="59" spans="1:10" ht="14.45" customHeight="1"/>
  </sheetData>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35.xml><?xml version="1.0" encoding="utf-8"?>
<worksheet xmlns="http://schemas.openxmlformats.org/spreadsheetml/2006/main" xmlns:r="http://schemas.openxmlformats.org/officeDocument/2006/relationships">
  <sheetPr codeName="Sheet53">
    <pageSetUpPr fitToPage="1"/>
  </sheetPr>
  <dimension ref="A1:H54"/>
  <sheetViews>
    <sheetView showGridLines="0" showZeros="0" workbookViewId="0"/>
  </sheetViews>
  <sheetFormatPr defaultColWidth="15.83203125" defaultRowHeight="12"/>
  <cols>
    <col min="1" max="1" width="32.83203125" style="1" customWidth="1"/>
    <col min="2" max="2" width="18.83203125" style="1" customWidth="1"/>
    <col min="3" max="3" width="9.83203125" style="1" customWidth="1"/>
    <col min="4" max="4" width="10.83203125" style="1" customWidth="1"/>
    <col min="5" max="5" width="18.83203125" style="1" customWidth="1"/>
    <col min="6" max="6" width="9.83203125" style="1" customWidth="1"/>
    <col min="7" max="7" width="10.83203125" style="1" customWidth="1"/>
    <col min="8" max="8" width="21.83203125" style="1" customWidth="1"/>
    <col min="9" max="16384" width="15.83203125" style="1"/>
  </cols>
  <sheetData>
    <row r="1" spans="1:8" ht="6.95" customHeight="1">
      <c r="A1" s="3"/>
      <c r="B1" s="3"/>
      <c r="C1" s="3"/>
      <c r="D1" s="3"/>
      <c r="E1" s="4"/>
      <c r="F1" s="4"/>
      <c r="G1" s="4"/>
    </row>
    <row r="2" spans="1:8" ht="15.95" customHeight="1">
      <c r="A2" s="159"/>
      <c r="B2" s="5" t="s">
        <v>547</v>
      </c>
      <c r="C2" s="235"/>
      <c r="D2" s="235"/>
      <c r="E2" s="5"/>
      <c r="F2" s="236"/>
      <c r="G2" s="173"/>
      <c r="H2" s="161"/>
    </row>
    <row r="3" spans="1:8" ht="15.95" customHeight="1">
      <c r="A3" s="162"/>
      <c r="B3" s="7" t="str">
        <f>OPYEAR</f>
        <v>OPERATING FUND 2014/2015 BUDGET</v>
      </c>
      <c r="C3" s="237"/>
      <c r="D3" s="237"/>
      <c r="E3" s="7"/>
      <c r="F3" s="174"/>
      <c r="G3" s="174"/>
      <c r="H3" s="163"/>
    </row>
    <row r="4" spans="1:8" ht="15.95" customHeight="1">
      <c r="E4" s="4"/>
      <c r="F4" s="4"/>
      <c r="G4" s="4"/>
    </row>
    <row r="5" spans="1:8" ht="18" customHeight="1">
      <c r="B5" s="164" t="s">
        <v>473</v>
      </c>
      <c r="C5" s="238"/>
      <c r="D5" s="239"/>
      <c r="E5" s="240"/>
      <c r="F5" s="241"/>
      <c r="G5" s="242"/>
    </row>
    <row r="6" spans="1:8" ht="15.95" customHeight="1">
      <c r="B6" s="421" t="s">
        <v>15</v>
      </c>
      <c r="C6" s="422"/>
      <c r="D6" s="423"/>
      <c r="E6" s="424"/>
      <c r="F6" s="425"/>
      <c r="G6" s="426"/>
    </row>
    <row r="7" spans="1:8" ht="15.95" customHeight="1">
      <c r="B7" s="427" t="s">
        <v>417</v>
      </c>
      <c r="C7" s="428"/>
      <c r="D7" s="429"/>
      <c r="E7" s="427" t="s">
        <v>54</v>
      </c>
      <c r="F7" s="428"/>
      <c r="G7" s="429"/>
    </row>
    <row r="8" spans="1:8" ht="15.95" customHeight="1">
      <c r="A8" s="102"/>
      <c r="B8" s="167"/>
      <c r="C8" s="104"/>
      <c r="D8" s="16" t="s">
        <v>60</v>
      </c>
      <c r="E8" s="167"/>
      <c r="F8" s="168"/>
      <c r="G8" s="16" t="s">
        <v>60</v>
      </c>
    </row>
    <row r="9" spans="1:8" ht="15.95" customHeight="1">
      <c r="A9" s="35" t="s">
        <v>81</v>
      </c>
      <c r="B9" s="113" t="s">
        <v>82</v>
      </c>
      <c r="C9" s="113" t="s">
        <v>83</v>
      </c>
      <c r="D9" s="113" t="s">
        <v>84</v>
      </c>
      <c r="E9" s="113" t="s">
        <v>82</v>
      </c>
      <c r="F9" s="113" t="s">
        <v>83</v>
      </c>
      <c r="G9" s="113" t="s">
        <v>84</v>
      </c>
    </row>
    <row r="10" spans="1:8" ht="5.0999999999999996" customHeight="1">
      <c r="A10" s="37"/>
      <c r="B10" s="37"/>
      <c r="C10" s="37"/>
      <c r="D10" s="37"/>
    </row>
    <row r="11" spans="1:8" ht="14.1" customHeight="1">
      <c r="A11" s="357" t="s">
        <v>230</v>
      </c>
      <c r="B11" s="358">
        <f>'- 27 -'!B11</f>
        <v>3800</v>
      </c>
      <c r="C11" s="359">
        <f>'- 27 -'!C11</f>
        <v>2.1876353239548257E-2</v>
      </c>
      <c r="D11" s="358">
        <f>'- 27 -'!D11</f>
        <v>2.4571613320400907</v>
      </c>
      <c r="E11" s="358">
        <f>SUM('- 38 -'!B11,'- 38 -'!E11,'- 38 -'!H11,B11)</f>
        <v>518411</v>
      </c>
      <c r="F11" s="359">
        <f>E11/'- 3 -'!D11*100</f>
        <v>2.9844584629651187</v>
      </c>
      <c r="G11" s="358">
        <f>E11/'- 7 -'!F11</f>
        <v>335.21564823795666</v>
      </c>
    </row>
    <row r="12" spans="1:8" ht="14.1" customHeight="1">
      <c r="A12" s="23" t="s">
        <v>231</v>
      </c>
      <c r="B12" s="24">
        <f>'- 27 -'!B12</f>
        <v>92050</v>
      </c>
      <c r="C12" s="350">
        <f>'- 27 -'!C12</f>
        <v>0.29256452271379735</v>
      </c>
      <c r="D12" s="24">
        <f>'- 27 -'!D12</f>
        <v>42.095779903781079</v>
      </c>
      <c r="E12" s="24">
        <f>SUM('- 38 -'!B12,'- 38 -'!E12,'- 38 -'!H12,B12)</f>
        <v>909037</v>
      </c>
      <c r="F12" s="350">
        <f>E12/'- 3 -'!D12*100</f>
        <v>2.8892121242170798</v>
      </c>
      <c r="G12" s="24">
        <f>E12/'- 7 -'!F12</f>
        <v>415.71560539265005</v>
      </c>
    </row>
    <row r="13" spans="1:8" ht="14.1" customHeight="1">
      <c r="A13" s="357" t="s">
        <v>232</v>
      </c>
      <c r="B13" s="358">
        <f>'- 27 -'!B13</f>
        <v>260600</v>
      </c>
      <c r="C13" s="359">
        <f>'- 27 -'!C13</f>
        <v>0.29195968133149747</v>
      </c>
      <c r="D13" s="358">
        <f>'- 27 -'!D13</f>
        <v>32.091501416779451</v>
      </c>
      <c r="E13" s="358">
        <f>SUM('- 38 -'!B13,'- 38 -'!E13,'- 38 -'!H13,B13)</f>
        <v>1723200</v>
      </c>
      <c r="F13" s="359">
        <f>E13/'- 3 -'!D13*100</f>
        <v>1.9305637869164869</v>
      </c>
      <c r="G13" s="358">
        <f>E13/'- 7 -'!F13</f>
        <v>212.20289808670125</v>
      </c>
    </row>
    <row r="14" spans="1:8" ht="14.1" customHeight="1">
      <c r="A14" s="23" t="s">
        <v>566</v>
      </c>
      <c r="B14" s="24">
        <f>'- 27 -'!B14</f>
        <v>118718</v>
      </c>
      <c r="C14" s="350">
        <f>'- 27 -'!C14</f>
        <v>0.14857237711648497</v>
      </c>
      <c r="D14" s="24">
        <f>'- 27 -'!D14</f>
        <v>22.336406396989652</v>
      </c>
      <c r="E14" s="24">
        <f>SUM('- 38 -'!B14,'- 38 -'!E14,'- 38 -'!H14,B14)</f>
        <v>1646865</v>
      </c>
      <c r="F14" s="350">
        <f>E14/'- 3 -'!D14*100</f>
        <v>2.061007158475884</v>
      </c>
      <c r="G14" s="24">
        <f>E14/'- 7 -'!F14</f>
        <v>309.85230479774225</v>
      </c>
    </row>
    <row r="15" spans="1:8" ht="14.1" customHeight="1">
      <c r="A15" s="357" t="s">
        <v>233</v>
      </c>
      <c r="B15" s="358">
        <f>'- 27 -'!B15</f>
        <v>42000</v>
      </c>
      <c r="C15" s="359">
        <f>'- 27 -'!C15</f>
        <v>0.21182591823257296</v>
      </c>
      <c r="D15" s="358">
        <f>'- 27 -'!D15</f>
        <v>28.91566265060241</v>
      </c>
      <c r="E15" s="358">
        <f>SUM('- 38 -'!B15,'- 38 -'!E15,'- 38 -'!H15,B15)</f>
        <v>475222</v>
      </c>
      <c r="F15" s="359">
        <f>E15/'- 3 -'!D15*100</f>
        <v>2.3967699170076138</v>
      </c>
      <c r="G15" s="358">
        <f>E15/'- 7 -'!F15</f>
        <v>327.17521514629948</v>
      </c>
    </row>
    <row r="16" spans="1:8" ht="14.1" customHeight="1">
      <c r="A16" s="23" t="s">
        <v>234</v>
      </c>
      <c r="B16" s="24">
        <f>'- 27 -'!B16</f>
        <v>29266</v>
      </c>
      <c r="C16" s="350">
        <f>'- 27 -'!C16</f>
        <v>0.21708131626075985</v>
      </c>
      <c r="D16" s="24">
        <f>'- 27 -'!D16</f>
        <v>30.422037422037423</v>
      </c>
      <c r="E16" s="24">
        <f>SUM('- 38 -'!B16,'- 38 -'!E16,'- 38 -'!H16,B16)</f>
        <v>310446</v>
      </c>
      <c r="F16" s="350">
        <f>E16/'- 3 -'!D16*100</f>
        <v>2.3027412802531217</v>
      </c>
      <c r="G16" s="24">
        <f>E16/'- 7 -'!F16</f>
        <v>322.70893970893968</v>
      </c>
    </row>
    <row r="17" spans="1:7" ht="14.1" customHeight="1">
      <c r="A17" s="357" t="s">
        <v>235</v>
      </c>
      <c r="B17" s="358">
        <f>'- 27 -'!B17</f>
        <v>84300</v>
      </c>
      <c r="C17" s="359">
        <f>'- 27 -'!C17</f>
        <v>0.49118271670771702</v>
      </c>
      <c r="D17" s="358">
        <f>'- 27 -'!D17</f>
        <v>63.028037383177569</v>
      </c>
      <c r="E17" s="358">
        <f>SUM('- 38 -'!B17,'- 38 -'!E17,'- 38 -'!H17,B17)</f>
        <v>624152</v>
      </c>
      <c r="F17" s="359">
        <f>E17/'- 3 -'!D17*100</f>
        <v>3.6366865361631673</v>
      </c>
      <c r="G17" s="358">
        <f>E17/'- 7 -'!F17</f>
        <v>466.65570093457944</v>
      </c>
    </row>
    <row r="18" spans="1:7" ht="14.1" customHeight="1">
      <c r="A18" s="23" t="s">
        <v>236</v>
      </c>
      <c r="B18" s="24">
        <f>'- 27 -'!B18</f>
        <v>679591</v>
      </c>
      <c r="C18" s="350">
        <f>'- 27 -'!C18</f>
        <v>0.54905195867225687</v>
      </c>
      <c r="D18" s="24">
        <f>'- 27 -'!D18</f>
        <v>110.1319137212958</v>
      </c>
      <c r="E18" s="24">
        <f>SUM('- 38 -'!B18,'- 38 -'!E18,'- 38 -'!H18,B18)</f>
        <v>2059122</v>
      </c>
      <c r="F18" s="350">
        <f>E18/'- 3 -'!D18*100</f>
        <v>1.6635961442178233</v>
      </c>
      <c r="G18" s="24">
        <f>E18/'- 7 -'!F18</f>
        <v>333.6934221401138</v>
      </c>
    </row>
    <row r="19" spans="1:7" ht="14.1" customHeight="1">
      <c r="A19" s="357" t="s">
        <v>237</v>
      </c>
      <c r="B19" s="358">
        <f>'- 27 -'!B19</f>
        <v>59800</v>
      </c>
      <c r="C19" s="359">
        <f>'- 27 -'!C19</f>
        <v>0.1376303460643705</v>
      </c>
      <c r="D19" s="358">
        <f>'- 27 -'!D19</f>
        <v>14.658659149405564</v>
      </c>
      <c r="E19" s="358">
        <f>SUM('- 38 -'!B19,'- 38 -'!E19,'- 38 -'!H19,B19)</f>
        <v>1338300</v>
      </c>
      <c r="F19" s="359">
        <f>E19/'- 3 -'!D19*100</f>
        <v>3.0801119086613213</v>
      </c>
      <c r="G19" s="358">
        <f>E19/'- 7 -'!F19</f>
        <v>328.05490868979041</v>
      </c>
    </row>
    <row r="20" spans="1:7" ht="14.1" customHeight="1">
      <c r="A20" s="23" t="s">
        <v>238</v>
      </c>
      <c r="B20" s="24">
        <f>'- 27 -'!B20</f>
        <v>58800</v>
      </c>
      <c r="C20" s="350">
        <f>'- 27 -'!C20</f>
        <v>7.7644672624706854E-2</v>
      </c>
      <c r="D20" s="24">
        <f>'- 27 -'!D20</f>
        <v>7.7788067204656697</v>
      </c>
      <c r="E20" s="24">
        <f>SUM('- 38 -'!B20,'- 38 -'!E20,'- 38 -'!H20,B20)</f>
        <v>2215450</v>
      </c>
      <c r="F20" s="350">
        <f>E20/'- 3 -'!D20*100</f>
        <v>2.925474319156578</v>
      </c>
      <c r="G20" s="24">
        <f>E20/'- 7 -'!F20</f>
        <v>293.08771001455221</v>
      </c>
    </row>
    <row r="21" spans="1:7" ht="14.1" customHeight="1">
      <c r="A21" s="357" t="s">
        <v>239</v>
      </c>
      <c r="B21" s="358">
        <f>'- 27 -'!B21</f>
        <v>60000</v>
      </c>
      <c r="C21" s="359">
        <f>'- 27 -'!C21</f>
        <v>0.17399522974678128</v>
      </c>
      <c r="D21" s="358">
        <f>'- 27 -'!D21</f>
        <v>22.564874012786763</v>
      </c>
      <c r="E21" s="358">
        <f>SUM('- 38 -'!B21,'- 38 -'!E21,'- 38 -'!H21,B21)</f>
        <v>958835</v>
      </c>
      <c r="F21" s="359">
        <f>E21/'- 3 -'!D21*100</f>
        <v>2.7805452685709167</v>
      </c>
      <c r="G21" s="358">
        <f>E21/'- 7 -'!F21</f>
        <v>360.59984956750657</v>
      </c>
    </row>
    <row r="22" spans="1:7" ht="14.1" customHeight="1">
      <c r="A22" s="23" t="s">
        <v>240</v>
      </c>
      <c r="B22" s="24">
        <f>'- 27 -'!B22</f>
        <v>13500</v>
      </c>
      <c r="C22" s="350">
        <f>'- 27 -'!C22</f>
        <v>6.9574900962705327E-2</v>
      </c>
      <c r="D22" s="24">
        <f>'- 27 -'!D22</f>
        <v>8.6483023702754647</v>
      </c>
      <c r="E22" s="24">
        <f>SUM('- 38 -'!B22,'- 38 -'!E22,'- 38 -'!H22,B22)</f>
        <v>385190</v>
      </c>
      <c r="F22" s="350">
        <f>E22/'- 3 -'!D22*100</f>
        <v>1.9851523038388492</v>
      </c>
      <c r="G22" s="24">
        <f>E22/'- 7 -'!F22</f>
        <v>246.75848814862269</v>
      </c>
    </row>
    <row r="23" spans="1:7" ht="14.1" customHeight="1">
      <c r="A23" s="357" t="s">
        <v>241</v>
      </c>
      <c r="B23" s="358">
        <f>'- 27 -'!B23</f>
        <v>40000</v>
      </c>
      <c r="C23" s="359">
        <f>'- 27 -'!C23</f>
        <v>0.24549094506649125</v>
      </c>
      <c r="D23" s="358">
        <f>'- 27 -'!D23</f>
        <v>34.858387799564269</v>
      </c>
      <c r="E23" s="358">
        <f>SUM('- 38 -'!B23,'- 38 -'!E23,'- 38 -'!H23,B23)</f>
        <v>360000</v>
      </c>
      <c r="F23" s="359">
        <f>E23/'- 3 -'!D23*100</f>
        <v>2.2094185055984208</v>
      </c>
      <c r="G23" s="358">
        <f>E23/'- 7 -'!F23</f>
        <v>313.72549019607845</v>
      </c>
    </row>
    <row r="24" spans="1:7" ht="14.1" customHeight="1">
      <c r="A24" s="23" t="s">
        <v>242</v>
      </c>
      <c r="B24" s="24">
        <f>'- 27 -'!B24</f>
        <v>158655</v>
      </c>
      <c r="C24" s="350">
        <f>'- 27 -'!C24</f>
        <v>0.29202003151949973</v>
      </c>
      <c r="D24" s="24">
        <f>'- 27 -'!D24</f>
        <v>39.183749073845391</v>
      </c>
      <c r="E24" s="24">
        <f>SUM('- 38 -'!B24,'- 38 -'!E24,'- 38 -'!H24,B24)</f>
        <v>1726110</v>
      </c>
      <c r="F24" s="350">
        <f>E24/'- 3 -'!D24*100</f>
        <v>3.1770741332206596</v>
      </c>
      <c r="G24" s="24">
        <f>E24/'- 7 -'!F24</f>
        <v>426.3052605581625</v>
      </c>
    </row>
    <row r="25" spans="1:7" ht="14.1" customHeight="1">
      <c r="A25" s="357" t="s">
        <v>243</v>
      </c>
      <c r="B25" s="358">
        <f>'- 27 -'!B25</f>
        <v>433019</v>
      </c>
      <c r="C25" s="359">
        <f>'- 27 -'!C25</f>
        <v>0.27232972936159672</v>
      </c>
      <c r="D25" s="358">
        <f>'- 27 -'!D25</f>
        <v>31.503746817024371</v>
      </c>
      <c r="E25" s="358">
        <f>SUM('- 38 -'!B25,'- 38 -'!E25,'- 38 -'!H25,B25)</f>
        <v>3805294</v>
      </c>
      <c r="F25" s="359">
        <f>E25/'- 3 -'!D25*100</f>
        <v>2.3931852532136184</v>
      </c>
      <c r="G25" s="358">
        <f>E25/'- 7 -'!F25</f>
        <v>276.84932702801018</v>
      </c>
    </row>
    <row r="26" spans="1:7" ht="14.1" customHeight="1">
      <c r="A26" s="23" t="s">
        <v>244</v>
      </c>
      <c r="B26" s="24">
        <f>'- 27 -'!B26</f>
        <v>25494</v>
      </c>
      <c r="C26" s="350">
        <f>'- 27 -'!C26</f>
        <v>6.5505704345884916E-2</v>
      </c>
      <c r="D26" s="24">
        <f>'- 27 -'!D26</f>
        <v>8.255829015544041</v>
      </c>
      <c r="E26" s="24">
        <f>SUM('- 38 -'!B26,'- 38 -'!E26,'- 38 -'!H26,B26)</f>
        <v>1191992</v>
      </c>
      <c r="F26" s="350">
        <f>E26/'- 3 -'!D26*100</f>
        <v>3.0627706728900939</v>
      </c>
      <c r="G26" s="24">
        <f>E26/'- 7 -'!F26</f>
        <v>386.00777202072538</v>
      </c>
    </row>
    <row r="27" spans="1:7" ht="14.1" customHeight="1">
      <c r="A27" s="357" t="s">
        <v>245</v>
      </c>
      <c r="B27" s="358">
        <f>'- 27 -'!B27</f>
        <v>154101</v>
      </c>
      <c r="C27" s="359">
        <f>'- 27 -'!C27</f>
        <v>0.39420794863879804</v>
      </c>
      <c r="D27" s="358">
        <f>'- 27 -'!D27</f>
        <v>53.322145328719721</v>
      </c>
      <c r="E27" s="358">
        <f>SUM('- 38 -'!B27,'- 38 -'!E27,'- 38 -'!H27,B27)</f>
        <v>840574</v>
      </c>
      <c r="F27" s="359">
        <f>E27/'- 3 -'!D27*100</f>
        <v>2.1502842435747271</v>
      </c>
      <c r="G27" s="358">
        <f>E27/'- 7 -'!F27</f>
        <v>290.85605536332179</v>
      </c>
    </row>
    <row r="28" spans="1:7" ht="14.1" customHeight="1">
      <c r="A28" s="23" t="s">
        <v>246</v>
      </c>
      <c r="B28" s="24">
        <f>'- 27 -'!B28</f>
        <v>78000</v>
      </c>
      <c r="C28" s="350">
        <f>'- 27 -'!C28</f>
        <v>0.28519311358082661</v>
      </c>
      <c r="D28" s="24">
        <f>'- 27 -'!D28</f>
        <v>39.344262295081968</v>
      </c>
      <c r="E28" s="24">
        <f>SUM('- 38 -'!B28,'- 38 -'!E28,'- 38 -'!H28,B28)</f>
        <v>859725</v>
      </c>
      <c r="F28" s="350">
        <f>E28/'- 3 -'!D28*100</f>
        <v>3.1434314047855918</v>
      </c>
      <c r="G28" s="24">
        <f>E28/'- 7 -'!F28</f>
        <v>433.65699873896597</v>
      </c>
    </row>
    <row r="29" spans="1:7" ht="14.1" customHeight="1">
      <c r="A29" s="357" t="s">
        <v>247</v>
      </c>
      <c r="B29" s="358">
        <f>'- 27 -'!B29</f>
        <v>822707</v>
      </c>
      <c r="C29" s="359">
        <f>'- 27 -'!C29</f>
        <v>0.55935736742377729</v>
      </c>
      <c r="D29" s="358">
        <f>'- 27 -'!D29</f>
        <v>68.214999378135232</v>
      </c>
      <c r="E29" s="358">
        <f>SUM('- 38 -'!B29,'- 38 -'!E29,'- 38 -'!H29,B29)</f>
        <v>3241063</v>
      </c>
      <c r="F29" s="359">
        <f>E29/'- 3 -'!D29*100</f>
        <v>2.203594314056657</v>
      </c>
      <c r="G29" s="358">
        <f>E29/'- 7 -'!F29</f>
        <v>268.73371750756604</v>
      </c>
    </row>
    <row r="30" spans="1:7" ht="14.1" customHeight="1">
      <c r="A30" s="23" t="s">
        <v>248</v>
      </c>
      <c r="B30" s="24">
        <f>'- 27 -'!B30</f>
        <v>37500</v>
      </c>
      <c r="C30" s="350">
        <f>'- 27 -'!C30</f>
        <v>0.27984228834874769</v>
      </c>
      <c r="D30" s="24">
        <f>'- 27 -'!D30</f>
        <v>36.567528035104829</v>
      </c>
      <c r="E30" s="24">
        <f>SUM('- 38 -'!B30,'- 38 -'!E30,'- 38 -'!H30,B30)</f>
        <v>413604</v>
      </c>
      <c r="F30" s="350">
        <f>E30/'- 3 -'!D30*100</f>
        <v>3.0865037288052113</v>
      </c>
      <c r="G30" s="24">
        <f>E30/'- 7 -'!F30</f>
        <v>403.31935641150659</v>
      </c>
    </row>
    <row r="31" spans="1:7" ht="14.1" customHeight="1">
      <c r="A31" s="357" t="s">
        <v>249</v>
      </c>
      <c r="B31" s="358">
        <f>'- 27 -'!B31</f>
        <v>134610</v>
      </c>
      <c r="C31" s="359">
        <f>'- 27 -'!C31</f>
        <v>0.38486771398184577</v>
      </c>
      <c r="D31" s="358">
        <f>'- 27 -'!D31</f>
        <v>42.184268254465685</v>
      </c>
      <c r="E31" s="358">
        <f>SUM('- 38 -'!B31,'- 38 -'!E31,'- 38 -'!H31,B31)</f>
        <v>654095</v>
      </c>
      <c r="F31" s="359">
        <f>E31/'- 3 -'!D31*100</f>
        <v>1.8701437291208336</v>
      </c>
      <c r="G31" s="358">
        <f>E31/'- 7 -'!F31</f>
        <v>204.98119711689125</v>
      </c>
    </row>
    <row r="32" spans="1:7" ht="14.1" customHeight="1">
      <c r="A32" s="23" t="s">
        <v>250</v>
      </c>
      <c r="B32" s="24">
        <f>'- 27 -'!B32</f>
        <v>61200</v>
      </c>
      <c r="C32" s="350">
        <f>'- 27 -'!C32</f>
        <v>0.2299223846648081</v>
      </c>
      <c r="D32" s="24">
        <f>'- 27 -'!D32</f>
        <v>29.094366531970525</v>
      </c>
      <c r="E32" s="24">
        <f>SUM('- 38 -'!B32,'- 38 -'!E32,'- 38 -'!H32,B32)</f>
        <v>595930</v>
      </c>
      <c r="F32" s="350">
        <f>E32/'- 3 -'!D32*100</f>
        <v>2.2388504361650177</v>
      </c>
      <c r="G32" s="24">
        <f>E32/'- 7 -'!F32</f>
        <v>283.30401711433325</v>
      </c>
    </row>
    <row r="33" spans="1:7" ht="14.1" customHeight="1">
      <c r="A33" s="357" t="s">
        <v>251</v>
      </c>
      <c r="B33" s="358">
        <f>'- 27 -'!B33</f>
        <v>54000</v>
      </c>
      <c r="C33" s="359">
        <f>'- 27 -'!C33</f>
        <v>0.19925666930521857</v>
      </c>
      <c r="D33" s="358">
        <f>'- 27 -'!D33</f>
        <v>27.088036117381488</v>
      </c>
      <c r="E33" s="358">
        <f>SUM('- 38 -'!B33,'- 38 -'!E33,'- 38 -'!H33,B33)</f>
        <v>1089800</v>
      </c>
      <c r="F33" s="359">
        <f>E33/'- 3 -'!D33*100</f>
        <v>4.021294781644948</v>
      </c>
      <c r="G33" s="358">
        <f>E33/'- 7 -'!F33</f>
        <v>546.67669927263603</v>
      </c>
    </row>
    <row r="34" spans="1:7" ht="14.1" customHeight="1">
      <c r="A34" s="23" t="s">
        <v>252</v>
      </c>
      <c r="B34" s="24">
        <f>'- 27 -'!B34</f>
        <v>25000</v>
      </c>
      <c r="C34" s="350">
        <f>'- 27 -'!C34</f>
        <v>9.4937661842605589E-2</v>
      </c>
      <c r="D34" s="24">
        <f>'- 27 -'!D34</f>
        <v>12.591286829513976</v>
      </c>
      <c r="E34" s="24">
        <f>SUM('- 38 -'!B34,'- 38 -'!E34,'- 38 -'!H34,B34)</f>
        <v>615712</v>
      </c>
      <c r="F34" s="350">
        <f>E34/'- 3 -'!D34*100</f>
        <v>2.3381703059373748</v>
      </c>
      <c r="G34" s="24">
        <f>E34/'- 7 -'!F34</f>
        <v>310.10425585494835</v>
      </c>
    </row>
    <row r="35" spans="1:7" ht="14.1" customHeight="1">
      <c r="A35" s="357" t="s">
        <v>253</v>
      </c>
      <c r="B35" s="358">
        <f>'- 27 -'!B35</f>
        <v>1193650</v>
      </c>
      <c r="C35" s="359">
        <f>'- 27 -'!C35</f>
        <v>0.70027818112943174</v>
      </c>
      <c r="D35" s="358">
        <f>'- 27 -'!D35</f>
        <v>77.024585403626503</v>
      </c>
      <c r="E35" s="358">
        <f>SUM('- 38 -'!B35,'- 38 -'!E35,'- 38 -'!H35,B35)</f>
        <v>2786400</v>
      </c>
      <c r="F35" s="359">
        <f>E35/'- 3 -'!D35*100</f>
        <v>1.6346962039953492</v>
      </c>
      <c r="G35" s="358">
        <f>E35/'- 7 -'!F35</f>
        <v>179.80254242756664</v>
      </c>
    </row>
    <row r="36" spans="1:7" ht="14.1" customHeight="1">
      <c r="A36" s="23" t="s">
        <v>254</v>
      </c>
      <c r="B36" s="24">
        <f>'- 27 -'!B36</f>
        <v>37000</v>
      </c>
      <c r="C36" s="350">
        <f>'- 27 -'!C36</f>
        <v>0.16726131076360437</v>
      </c>
      <c r="D36" s="24">
        <f>'- 27 -'!D36</f>
        <v>22.444646648468304</v>
      </c>
      <c r="E36" s="24">
        <f>SUM('- 38 -'!B36,'- 38 -'!E36,'- 38 -'!H36,B36)</f>
        <v>567720</v>
      </c>
      <c r="F36" s="350">
        <f>E36/'- 3 -'!D36*100</f>
        <v>2.566421387749013</v>
      </c>
      <c r="G36" s="24">
        <f>E36/'- 7 -'!F36</f>
        <v>344.38580527752504</v>
      </c>
    </row>
    <row r="37" spans="1:7" ht="14.1" customHeight="1">
      <c r="A37" s="511" t="s">
        <v>255</v>
      </c>
      <c r="B37" s="358">
        <f>'- 27 -'!B37</f>
        <v>193265</v>
      </c>
      <c r="C37" s="359">
        <f>'- 27 -'!C37</f>
        <v>0.43233648267600544</v>
      </c>
      <c r="D37" s="358">
        <f>'- 27 -'!D37</f>
        <v>49.384182956432859</v>
      </c>
      <c r="E37" s="358">
        <f>SUM('- 38 -'!B37,'- 38 -'!E37,'- 38 -'!H37,B37)</f>
        <v>1382443</v>
      </c>
      <c r="F37" s="359">
        <f>E37/'- 3 -'!D37*100</f>
        <v>3.0925441446721598</v>
      </c>
      <c r="G37" s="358">
        <f>E37/'- 7 -'!F37</f>
        <v>353.24977641497378</v>
      </c>
    </row>
    <row r="38" spans="1:7" ht="14.1" customHeight="1">
      <c r="A38" s="23" t="s">
        <v>256</v>
      </c>
      <c r="B38" s="24">
        <f>'- 27 -'!B38</f>
        <v>410260</v>
      </c>
      <c r="C38" s="350">
        <f>'- 27 -'!C38</f>
        <v>0.33554803268342198</v>
      </c>
      <c r="D38" s="24">
        <f>'- 27 -'!D38</f>
        <v>38.250897394060885</v>
      </c>
      <c r="E38" s="24">
        <f>SUM('- 38 -'!B38,'- 38 -'!E38,'- 38 -'!H38,B38)</f>
        <v>2237670</v>
      </c>
      <c r="F38" s="350">
        <f>E38/'- 3 -'!D38*100</f>
        <v>1.8301705413511258</v>
      </c>
      <c r="G38" s="24">
        <f>E38/'- 7 -'!F38</f>
        <v>208.63083306139575</v>
      </c>
    </row>
    <row r="39" spans="1:7" ht="14.1" customHeight="1">
      <c r="A39" s="357" t="s">
        <v>257</v>
      </c>
      <c r="B39" s="358">
        <f>'- 27 -'!B39</f>
        <v>41800</v>
      </c>
      <c r="C39" s="359">
        <f>'- 27 -'!C39</f>
        <v>0.20040203140539548</v>
      </c>
      <c r="D39" s="358">
        <f>'- 27 -'!D39</f>
        <v>26.959045469203481</v>
      </c>
      <c r="E39" s="358">
        <f>SUM('- 38 -'!B39,'- 38 -'!E39,'- 38 -'!H39,B39)</f>
        <v>439726</v>
      </c>
      <c r="F39" s="359">
        <f>E39/'- 3 -'!D39*100</f>
        <v>2.1081814273150461</v>
      </c>
      <c r="G39" s="358">
        <f>E39/'- 7 -'!F39</f>
        <v>283.60270880361173</v>
      </c>
    </row>
    <row r="40" spans="1:7" ht="14.1" customHeight="1">
      <c r="A40" s="23" t="s">
        <v>258</v>
      </c>
      <c r="B40" s="24">
        <f>'- 27 -'!B40</f>
        <v>286954</v>
      </c>
      <c r="C40" s="350">
        <f>'- 27 -'!C40</f>
        <v>0.28907449730272927</v>
      </c>
      <c r="D40" s="24">
        <f>'- 27 -'!D40</f>
        <v>36.136251729969814</v>
      </c>
      <c r="E40" s="24">
        <f>SUM('- 38 -'!B40,'- 38 -'!E40,'- 38 -'!H40,B40)</f>
        <v>2681767</v>
      </c>
      <c r="F40" s="350">
        <f>E40/'- 3 -'!D40*100</f>
        <v>2.7015843912545159</v>
      </c>
      <c r="G40" s="24">
        <f>E40/'- 7 -'!F40</f>
        <v>337.71617539091966</v>
      </c>
    </row>
    <row r="41" spans="1:7" ht="14.1" customHeight="1">
      <c r="A41" s="357" t="s">
        <v>259</v>
      </c>
      <c r="B41" s="358">
        <f>'- 27 -'!B41</f>
        <v>155672</v>
      </c>
      <c r="C41" s="359">
        <f>'- 27 -'!C41</f>
        <v>0.26214621282819683</v>
      </c>
      <c r="D41" s="358">
        <f>'- 27 -'!D41</f>
        <v>35.492932056543545</v>
      </c>
      <c r="E41" s="358">
        <f>SUM('- 38 -'!B41,'- 38 -'!E41,'- 38 -'!H41,B41)</f>
        <v>2040369</v>
      </c>
      <c r="F41" s="359">
        <f>E41/'- 3 -'!D41*100</f>
        <v>3.4359101580377658</v>
      </c>
      <c r="G41" s="358">
        <f>E41/'- 7 -'!F41</f>
        <v>465.20041039671685</v>
      </c>
    </row>
    <row r="42" spans="1:7" ht="14.1" customHeight="1">
      <c r="A42" s="23" t="s">
        <v>260</v>
      </c>
      <c r="B42" s="24">
        <f>'- 27 -'!B42</f>
        <v>31000</v>
      </c>
      <c r="C42" s="350">
        <f>'- 27 -'!C42</f>
        <v>0.15224344965191253</v>
      </c>
      <c r="D42" s="24">
        <f>'- 27 -'!D42</f>
        <v>22.119158044951838</v>
      </c>
      <c r="E42" s="24">
        <f>SUM('- 38 -'!B42,'- 38 -'!E42,'- 38 -'!H42,B42)</f>
        <v>482094</v>
      </c>
      <c r="F42" s="350">
        <f>E42/'- 3 -'!D42*100</f>
        <v>2.3676017295641656</v>
      </c>
      <c r="G42" s="24">
        <f>E42/'- 7 -'!F42</f>
        <v>343.98430253300035</v>
      </c>
    </row>
    <row r="43" spans="1:7" ht="14.1" customHeight="1">
      <c r="A43" s="357" t="s">
        <v>261</v>
      </c>
      <c r="B43" s="358">
        <f>'- 27 -'!B43</f>
        <v>31300</v>
      </c>
      <c r="C43" s="359">
        <f>'- 27 -'!C43</f>
        <v>0.25152997325183651</v>
      </c>
      <c r="D43" s="358">
        <f>'- 27 -'!D43</f>
        <v>32.604166666666664</v>
      </c>
      <c r="E43" s="358">
        <f>SUM('- 38 -'!B43,'- 38 -'!E43,'- 38 -'!H43,B43)</f>
        <v>343380</v>
      </c>
      <c r="F43" s="359">
        <f>E43/'- 3 -'!D43*100</f>
        <v>2.7594364924989021</v>
      </c>
      <c r="G43" s="358">
        <f>E43/'- 7 -'!F43</f>
        <v>357.6875</v>
      </c>
    </row>
    <row r="44" spans="1:7" ht="14.1" customHeight="1">
      <c r="A44" s="23" t="s">
        <v>262</v>
      </c>
      <c r="B44" s="24">
        <f>'- 27 -'!B44</f>
        <v>2000</v>
      </c>
      <c r="C44" s="350">
        <f>'- 27 -'!C44</f>
        <v>1.8579550621982972E-2</v>
      </c>
      <c r="D44" s="24">
        <f>'- 27 -'!D44</f>
        <v>2.8490028490028489</v>
      </c>
      <c r="E44" s="24">
        <f>SUM('- 38 -'!B44,'- 38 -'!E44,'- 38 -'!H44,B44)</f>
        <v>424264</v>
      </c>
      <c r="F44" s="350">
        <f>E44/'- 3 -'!D44*100</f>
        <v>3.9413172325424921</v>
      </c>
      <c r="G44" s="24">
        <f>E44/'- 7 -'!F44</f>
        <v>604.3646723646724</v>
      </c>
    </row>
    <row r="45" spans="1:7" ht="14.1" customHeight="1">
      <c r="A45" s="357" t="s">
        <v>263</v>
      </c>
      <c r="B45" s="358">
        <f>'- 27 -'!B45</f>
        <v>56000</v>
      </c>
      <c r="C45" s="359">
        <f>'- 27 -'!C45</f>
        <v>0.31895168781828959</v>
      </c>
      <c r="D45" s="358">
        <f>'- 27 -'!D45</f>
        <v>33.313503866745982</v>
      </c>
      <c r="E45" s="358">
        <f>SUM('- 38 -'!B45,'- 38 -'!E45,'- 38 -'!H45,B45)</f>
        <v>399924</v>
      </c>
      <c r="F45" s="359">
        <f>E45/'- 3 -'!D45*100</f>
        <v>2.2777934785543152</v>
      </c>
      <c r="G45" s="358">
        <f>E45/'- 7 -'!F45</f>
        <v>237.90838786436646</v>
      </c>
    </row>
    <row r="46" spans="1:7" ht="14.1" customHeight="1">
      <c r="A46" s="23" t="s">
        <v>264</v>
      </c>
      <c r="B46" s="24">
        <f>'- 27 -'!B46</f>
        <v>1450300</v>
      </c>
      <c r="C46" s="350">
        <f>'- 27 -'!C46</f>
        <v>0.39227629796986269</v>
      </c>
      <c r="D46" s="24">
        <f>'- 27 -'!D46</f>
        <v>47.96282822938025</v>
      </c>
      <c r="E46" s="24">
        <f>SUM('- 38 -'!B46,'- 38 -'!E46,'- 38 -'!H46,B46)</f>
        <v>5949900</v>
      </c>
      <c r="F46" s="350">
        <f>E46/'- 3 -'!D46*100</f>
        <v>1.6093254811355484</v>
      </c>
      <c r="G46" s="24">
        <f>E46/'- 7 -'!F46</f>
        <v>196.76896620146834</v>
      </c>
    </row>
    <row r="47" spans="1:7" ht="5.0999999999999996" customHeight="1">
      <c r="A47"/>
      <c r="B47"/>
      <c r="C47"/>
      <c r="D47"/>
      <c r="E47"/>
      <c r="F47"/>
      <c r="G47"/>
    </row>
    <row r="48" spans="1:7" ht="14.1" customHeight="1">
      <c r="A48" s="360" t="s">
        <v>265</v>
      </c>
      <c r="B48" s="361">
        <f>SUM(B11:B46)</f>
        <v>7415912</v>
      </c>
      <c r="C48" s="362">
        <f>'- 27 -'!C48</f>
        <v>0.34561694904751572</v>
      </c>
      <c r="D48" s="361">
        <f>'- 27 -'!D48</f>
        <v>42.90230353855641</v>
      </c>
      <c r="E48" s="361">
        <f>SUM(E11:E46)</f>
        <v>48293786</v>
      </c>
      <c r="F48" s="362">
        <f>E48/'- 3 -'!D48*100</f>
        <v>2.2507212835418797</v>
      </c>
      <c r="G48" s="361">
        <f>E48/'- 7 -'!F48</f>
        <v>279.38770929294822</v>
      </c>
    </row>
    <row r="49" spans="1:8" ht="5.0999999999999996" customHeight="1">
      <c r="A49" s="25" t="s">
        <v>3</v>
      </c>
      <c r="B49" s="26"/>
      <c r="C49" s="349"/>
      <c r="D49" s="26"/>
      <c r="E49" s="26"/>
      <c r="F49" s="349"/>
    </row>
    <row r="50" spans="1:8" ht="14.1" customHeight="1">
      <c r="A50" s="23" t="s">
        <v>266</v>
      </c>
      <c r="B50" s="24">
        <f>'- 27 -'!B50</f>
        <v>0</v>
      </c>
      <c r="C50" s="350">
        <f>'- 27 -'!C50</f>
        <v>0</v>
      </c>
      <c r="D50" s="24">
        <f>'- 27 -'!D50</f>
        <v>0</v>
      </c>
      <c r="E50" s="24">
        <f>SUM('- 38 -'!B50,'- 38 -'!E50,'- 38 -'!H50,B50)</f>
        <v>108672</v>
      </c>
      <c r="F50" s="350">
        <f>E50/'- 3 -'!D50*100</f>
        <v>3.2309509113807531</v>
      </c>
      <c r="G50" s="24">
        <f>E50/'- 7 -'!F50</f>
        <v>620.98285714285714</v>
      </c>
    </row>
    <row r="51" spans="1:8" ht="14.1" customHeight="1">
      <c r="A51" s="511" t="s">
        <v>691</v>
      </c>
      <c r="B51" s="358">
        <f>'- 27 -'!B51</f>
        <v>726655</v>
      </c>
      <c r="C51" s="359">
        <f>'- 27 -'!C51</f>
        <v>3.2278129531133688</v>
      </c>
      <c r="D51" s="358">
        <f>'- 27 -'!D51</f>
        <v>1170.1368760064413</v>
      </c>
      <c r="E51" s="358">
        <f>SUM('- 38 -'!B51,'- 38 -'!E51,'- 38 -'!H51,B51)</f>
        <v>1032412</v>
      </c>
      <c r="F51" s="359">
        <f>E51/'- 3 -'!D51*100</f>
        <v>4.5859903620695919</v>
      </c>
      <c r="G51" s="358">
        <f>E51/'- 7 -'!F51</f>
        <v>1662.499194847021</v>
      </c>
    </row>
    <row r="52" spans="1:8" ht="50.1" customHeight="1">
      <c r="A52" s="27"/>
      <c r="B52" s="27"/>
      <c r="C52" s="27"/>
      <c r="D52" s="27"/>
      <c r="E52" s="27"/>
      <c r="F52" s="27"/>
      <c r="G52" s="27"/>
      <c r="H52" s="27"/>
    </row>
    <row r="53" spans="1:8" ht="15" customHeight="1">
      <c r="A53" s="1" t="s">
        <v>590</v>
      </c>
    </row>
    <row r="54" spans="1:8" ht="12" customHeight="1">
      <c r="A54" s="1" t="s">
        <v>591</v>
      </c>
      <c r="B54" s="154"/>
      <c r="C54" s="154"/>
      <c r="D54" s="154"/>
    </row>
  </sheetData>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36.xml><?xml version="1.0" encoding="utf-8"?>
<worksheet xmlns="http://schemas.openxmlformats.org/spreadsheetml/2006/main" xmlns:r="http://schemas.openxmlformats.org/officeDocument/2006/relationships">
  <sheetPr codeName="Sheet35">
    <pageSetUpPr fitToPage="1"/>
  </sheetPr>
  <dimension ref="A1:L59"/>
  <sheetViews>
    <sheetView showGridLines="0" showZeros="0" workbookViewId="0">
      <selection activeCell="Q14" sqref="Q14"/>
    </sheetView>
  </sheetViews>
  <sheetFormatPr defaultColWidth="14.83203125" defaultRowHeight="12"/>
  <cols>
    <col min="1" max="1" width="29.83203125" style="1" customWidth="1"/>
    <col min="2" max="2" width="15.83203125" style="1" customWidth="1"/>
    <col min="3" max="3" width="13.83203125" style="1" customWidth="1"/>
    <col min="4" max="5" width="15.83203125" style="1" customWidth="1"/>
    <col min="6" max="6" width="12.83203125" style="1" customWidth="1"/>
    <col min="7" max="7" width="15.83203125" style="1" customWidth="1"/>
    <col min="8" max="8" width="13.83203125" style="1" customWidth="1"/>
    <col min="9" max="9" width="14.83203125" style="1"/>
    <col min="10" max="10" width="0" style="1" hidden="1" customWidth="1"/>
    <col min="11" max="11" width="19.5" style="1" hidden="1" customWidth="1"/>
    <col min="12" max="12" width="0" style="1" hidden="1" customWidth="1"/>
    <col min="13" max="16384" width="14.83203125" style="1"/>
  </cols>
  <sheetData>
    <row r="1" spans="1:12" ht="6.95" customHeight="1">
      <c r="A1" s="3"/>
    </row>
    <row r="2" spans="1:12" ht="15.95" customHeight="1">
      <c r="A2" s="73" t="str">
        <f>"  SUMMARY"&amp;REPLACE(REVYEAR,1,8,"")</f>
        <v xml:space="preserve">  SUMMARY OF OPERATING FUND REVENUE: 2014/2015 BUDGET</v>
      </c>
      <c r="B2" s="128"/>
      <c r="C2" s="128"/>
      <c r="D2" s="128"/>
      <c r="E2" s="128"/>
      <c r="F2" s="128"/>
      <c r="G2" s="128"/>
      <c r="H2" s="128"/>
    </row>
    <row r="3" spans="1:12" ht="15.95" customHeight="1">
      <c r="A3" s="243"/>
    </row>
    <row r="4" spans="1:12" ht="15.95" customHeight="1">
      <c r="B4" s="4"/>
      <c r="C4" s="105"/>
      <c r="D4" s="105"/>
      <c r="E4" s="4"/>
      <c r="F4" s="4"/>
      <c r="G4" s="4"/>
      <c r="H4" s="4"/>
    </row>
    <row r="5" spans="1:12" ht="15.95" customHeight="1">
      <c r="B5" s="4"/>
      <c r="C5" s="4"/>
      <c r="D5" s="4"/>
      <c r="E5" s="4"/>
      <c r="F5" s="4"/>
      <c r="G5" s="4"/>
      <c r="H5" s="4"/>
    </row>
    <row r="6" spans="1:12" ht="15.95" customHeight="1">
      <c r="B6" s="244" t="s">
        <v>102</v>
      </c>
      <c r="C6" s="193"/>
      <c r="D6" s="193"/>
      <c r="E6" s="193"/>
      <c r="F6" s="193"/>
      <c r="G6" s="193"/>
      <c r="H6" s="194"/>
    </row>
    <row r="7" spans="1:12" ht="15.95" customHeight="1">
      <c r="B7" s="351" t="s">
        <v>109</v>
      </c>
      <c r="C7" s="352"/>
      <c r="D7" s="352"/>
      <c r="E7" s="373" t="s">
        <v>44</v>
      </c>
      <c r="F7" s="373" t="s">
        <v>3</v>
      </c>
      <c r="G7" s="373" t="s">
        <v>101</v>
      </c>
      <c r="H7" s="373" t="s">
        <v>3</v>
      </c>
    </row>
    <row r="8" spans="1:12" ht="15.95" customHeight="1">
      <c r="A8" s="32"/>
      <c r="B8" s="430"/>
      <c r="C8" s="431"/>
      <c r="D8" s="431"/>
      <c r="E8" s="432" t="s">
        <v>127</v>
      </c>
      <c r="F8" s="432" t="s">
        <v>128</v>
      </c>
      <c r="G8" s="432" t="s">
        <v>129</v>
      </c>
      <c r="H8" s="432" t="s">
        <v>3</v>
      </c>
    </row>
    <row r="9" spans="1:12" ht="15.95" customHeight="1">
      <c r="A9" s="118" t="s">
        <v>81</v>
      </c>
      <c r="B9" s="376" t="s">
        <v>550</v>
      </c>
      <c r="C9" s="376" t="s">
        <v>103</v>
      </c>
      <c r="D9" s="376" t="s">
        <v>104</v>
      </c>
      <c r="E9" s="376" t="s">
        <v>123</v>
      </c>
      <c r="F9" s="376" t="s">
        <v>141</v>
      </c>
      <c r="G9" s="376" t="s">
        <v>142</v>
      </c>
      <c r="H9" s="376" t="s">
        <v>44</v>
      </c>
      <c r="J9" s="155" t="s">
        <v>169</v>
      </c>
    </row>
    <row r="10" spans="1:12" ht="5.0999999999999996" customHeight="1">
      <c r="A10" s="37"/>
      <c r="B10" s="245"/>
      <c r="C10" s="245"/>
      <c r="D10" s="245"/>
      <c r="E10" s="245"/>
      <c r="F10" s="245"/>
      <c r="G10" s="245"/>
      <c r="H10" s="245"/>
    </row>
    <row r="11" spans="1:12" ht="14.1" customHeight="1">
      <c r="A11" s="357" t="s">
        <v>230</v>
      </c>
      <c r="B11" s="359">
        <f>'- 42 -'!I11</f>
        <v>63.655922861346205</v>
      </c>
      <c r="C11" s="359">
        <f>'- 43 -'!C11</f>
        <v>0</v>
      </c>
      <c r="D11" s="359">
        <f>'- 43 -'!E11</f>
        <v>35.27446434872472</v>
      </c>
      <c r="E11" s="359">
        <f>'- 43 -'!G11</f>
        <v>0.28447148668326383</v>
      </c>
      <c r="F11" s="359">
        <f>'- 43 -'!I11</f>
        <v>0.11947802440697083</v>
      </c>
      <c r="G11" s="359">
        <f>'- 44 -'!C11</f>
        <v>0.16726923416975917</v>
      </c>
      <c r="H11" s="359">
        <f>'- 44 -'!E11</f>
        <v>0.49839404466907833</v>
      </c>
      <c r="J11" s="483">
        <f>SUM(B11:H11)</f>
        <v>100.00000000000001</v>
      </c>
      <c r="K11" s="1" t="s">
        <v>120</v>
      </c>
      <c r="L11" s="483">
        <f>B48</f>
        <v>63.165744484679884</v>
      </c>
    </row>
    <row r="12" spans="1:12" ht="14.1" customHeight="1">
      <c r="A12" s="23" t="s">
        <v>231</v>
      </c>
      <c r="B12" s="350">
        <f>'- 42 -'!I12</f>
        <v>68.362755108555945</v>
      </c>
      <c r="C12" s="350">
        <f>'- 43 -'!C12</f>
        <v>0.90163561926256908</v>
      </c>
      <c r="D12" s="350">
        <f>'- 43 -'!E12</f>
        <v>28.617030506237235</v>
      </c>
      <c r="E12" s="350">
        <f>'- 43 -'!G12</f>
        <v>1.0891869952694639</v>
      </c>
      <c r="F12" s="350">
        <f>'- 43 -'!I12</f>
        <v>0.31298207063429451</v>
      </c>
      <c r="G12" s="350">
        <f>'- 44 -'!C12</f>
        <v>0.48033984344386443</v>
      </c>
      <c r="H12" s="350">
        <f>'- 44 -'!E12</f>
        <v>0.23606985659662297</v>
      </c>
      <c r="J12" s="483">
        <f t="shared" ref="J12:J46" si="0">SUM(B12:H12)</f>
        <v>99.999999999999986</v>
      </c>
      <c r="K12" s="1" t="s">
        <v>103</v>
      </c>
      <c r="L12" s="483">
        <f>C48</f>
        <v>1.7283222202426791</v>
      </c>
    </row>
    <row r="13" spans="1:12" ht="14.1" customHeight="1">
      <c r="A13" s="357" t="s">
        <v>232</v>
      </c>
      <c r="B13" s="359">
        <f>'- 42 -'!I13</f>
        <v>62.455216322451399</v>
      </c>
      <c r="C13" s="359">
        <f>'- 43 -'!C13</f>
        <v>2.230818308772024E-2</v>
      </c>
      <c r="D13" s="359">
        <f>'- 43 -'!E13</f>
        <v>35.998268884992392</v>
      </c>
      <c r="E13" s="359">
        <f>'- 43 -'!G13</f>
        <v>0.34243061039650563</v>
      </c>
      <c r="F13" s="359">
        <f>'- 43 -'!I13</f>
        <v>0.29725653964387216</v>
      </c>
      <c r="G13" s="359">
        <f>'- 44 -'!C13</f>
        <v>0.81703720558775372</v>
      </c>
      <c r="H13" s="359">
        <f>'- 44 -'!E13</f>
        <v>6.7482253840353723E-2</v>
      </c>
      <c r="J13" s="483">
        <f t="shared" si="0"/>
        <v>100</v>
      </c>
      <c r="K13" s="1" t="s">
        <v>104</v>
      </c>
      <c r="L13" s="483">
        <f>D48</f>
        <v>31.072802911277002</v>
      </c>
    </row>
    <row r="14" spans="1:12" ht="14.1" customHeight="1">
      <c r="A14" s="23" t="s">
        <v>566</v>
      </c>
      <c r="B14" s="350">
        <f>'- 42 -'!I14</f>
        <v>73.65694285757327</v>
      </c>
      <c r="C14" s="350">
        <f>'- 43 -'!C14</f>
        <v>6.9568021670008695E-2</v>
      </c>
      <c r="D14" s="350">
        <f>'- 43 -'!E14</f>
        <v>24.435546258794329</v>
      </c>
      <c r="E14" s="350">
        <f>'- 43 -'!G14</f>
        <v>1.7430773778669189</v>
      </c>
      <c r="F14" s="350">
        <f>'- 43 -'!I14</f>
        <v>0</v>
      </c>
      <c r="G14" s="350">
        <f>'- 44 -'!C14</f>
        <v>8.8541118489101969E-2</v>
      </c>
      <c r="H14" s="350">
        <f>'- 44 -'!E14</f>
        <v>6.3243656063644267E-3</v>
      </c>
      <c r="J14" s="483">
        <f t="shared" si="0"/>
        <v>100</v>
      </c>
      <c r="K14" s="1" t="s">
        <v>148</v>
      </c>
      <c r="L14" s="483">
        <f>E48</f>
        <v>0.48952627656799536</v>
      </c>
    </row>
    <row r="15" spans="1:12" ht="14.1" customHeight="1">
      <c r="A15" s="357" t="s">
        <v>233</v>
      </c>
      <c r="B15" s="359">
        <f>'- 42 -'!I15</f>
        <v>63.229944599024577</v>
      </c>
      <c r="C15" s="359">
        <f>'- 43 -'!C15</f>
        <v>0</v>
      </c>
      <c r="D15" s="359">
        <f>'- 43 -'!E15</f>
        <v>35.936396313910791</v>
      </c>
      <c r="E15" s="359">
        <f>'- 43 -'!G15</f>
        <v>0.27211424206857487</v>
      </c>
      <c r="F15" s="359">
        <f>'- 43 -'!I15</f>
        <v>0.29685190043844528</v>
      </c>
      <c r="G15" s="359">
        <f>'- 44 -'!C15</f>
        <v>0.19047996944800241</v>
      </c>
      <c r="H15" s="359">
        <f>'- 44 -'!E15</f>
        <v>7.421297510961132E-2</v>
      </c>
      <c r="J15" s="483">
        <f t="shared" si="0"/>
        <v>100</v>
      </c>
      <c r="K15" s="1" t="s">
        <v>124</v>
      </c>
      <c r="L15" s="483">
        <f>F48</f>
        <v>2.4915566763730683</v>
      </c>
    </row>
    <row r="16" spans="1:12" ht="14.1" customHeight="1">
      <c r="A16" s="23" t="s">
        <v>234</v>
      </c>
      <c r="B16" s="350">
        <f>'- 42 -'!I16</f>
        <v>73.808909055386081</v>
      </c>
      <c r="C16" s="350">
        <f>'- 43 -'!C16</f>
        <v>0</v>
      </c>
      <c r="D16" s="350">
        <f>'- 43 -'!E16</f>
        <v>22.909233184505197</v>
      </c>
      <c r="E16" s="350">
        <f>'- 43 -'!G16</f>
        <v>1.4059691281998674</v>
      </c>
      <c r="F16" s="350">
        <f>'- 43 -'!I16</f>
        <v>0</v>
      </c>
      <c r="G16" s="350">
        <f>'- 44 -'!C16</f>
        <v>1.4987081518127658</v>
      </c>
      <c r="H16" s="350">
        <f>'- 44 -'!E16</f>
        <v>0.37718048009608607</v>
      </c>
      <c r="J16" s="483">
        <f t="shared" si="0"/>
        <v>100</v>
      </c>
      <c r="K16" s="1" t="s">
        <v>101</v>
      </c>
      <c r="L16" s="483">
        <f>G48</f>
        <v>0.84157389404709271</v>
      </c>
    </row>
    <row r="17" spans="1:12" ht="14.1" customHeight="1">
      <c r="A17" s="357" t="s">
        <v>235</v>
      </c>
      <c r="B17" s="359">
        <f>'- 42 -'!I17</f>
        <v>55.692754704989568</v>
      </c>
      <c r="C17" s="359">
        <f>'- 43 -'!C17</f>
        <v>0</v>
      </c>
      <c r="D17" s="359">
        <f>'- 43 -'!E17</f>
        <v>38.812138699519316</v>
      </c>
      <c r="E17" s="359">
        <f>'- 43 -'!G17</f>
        <v>4.4676594722456969E-2</v>
      </c>
      <c r="F17" s="359">
        <f>'- 43 -'!I17</f>
        <v>5.3066630100592223</v>
      </c>
      <c r="G17" s="359">
        <f>'- 44 -'!C17</f>
        <v>9.508095799907508E-2</v>
      </c>
      <c r="H17" s="359">
        <f>'- 44 -'!E17</f>
        <v>4.8686032710369767E-2</v>
      </c>
      <c r="J17" s="483">
        <f t="shared" si="0"/>
        <v>100.00000000000001</v>
      </c>
      <c r="K17" s="158" t="s">
        <v>44</v>
      </c>
      <c r="L17" s="483">
        <f>H48</f>
        <v>0.21047353681227093</v>
      </c>
    </row>
    <row r="18" spans="1:12" ht="14.1" customHeight="1">
      <c r="A18" s="23" t="s">
        <v>236</v>
      </c>
      <c r="B18" s="350">
        <f>'- 42 -'!I18</f>
        <v>38.404539601794255</v>
      </c>
      <c r="C18" s="350">
        <f>'- 43 -'!C18</f>
        <v>24.902130236807</v>
      </c>
      <c r="D18" s="350">
        <f>'- 43 -'!E18</f>
        <v>2.4173662799723443</v>
      </c>
      <c r="E18" s="350">
        <f>'- 43 -'!G18</f>
        <v>0</v>
      </c>
      <c r="F18" s="350">
        <f>'- 43 -'!I18</f>
        <v>29.914339966484189</v>
      </c>
      <c r="G18" s="350">
        <f>'- 44 -'!C18</f>
        <v>3.6392377389224393</v>
      </c>
      <c r="H18" s="350">
        <f>'- 44 -'!E18</f>
        <v>0.72238617601977206</v>
      </c>
      <c r="J18" s="483">
        <f t="shared" si="0"/>
        <v>100</v>
      </c>
      <c r="L18" s="483"/>
    </row>
    <row r="19" spans="1:12" ht="14.1" customHeight="1">
      <c r="A19" s="357" t="s">
        <v>237</v>
      </c>
      <c r="B19" s="359">
        <f>'- 42 -'!I19</f>
        <v>69.593414072964705</v>
      </c>
      <c r="C19" s="359">
        <f>'- 43 -'!C19</f>
        <v>0</v>
      </c>
      <c r="D19" s="359">
        <f>'- 43 -'!E19</f>
        <v>29.384047162933069</v>
      </c>
      <c r="E19" s="359">
        <f>'- 43 -'!G19</f>
        <v>0.55433526952410228</v>
      </c>
      <c r="F19" s="359">
        <f>'- 43 -'!I19</f>
        <v>0</v>
      </c>
      <c r="G19" s="359">
        <f>'- 44 -'!C19</f>
        <v>0</v>
      </c>
      <c r="H19" s="359">
        <f>'- 44 -'!E19</f>
        <v>0.46820349457812621</v>
      </c>
      <c r="J19" s="483">
        <f t="shared" si="0"/>
        <v>100</v>
      </c>
      <c r="L19" s="483">
        <f>SUM(L11:L17)</f>
        <v>100</v>
      </c>
    </row>
    <row r="20" spans="1:12" ht="14.1" customHeight="1">
      <c r="A20" s="23" t="s">
        <v>238</v>
      </c>
      <c r="B20" s="350">
        <f>'- 42 -'!I20</f>
        <v>70.630192992763895</v>
      </c>
      <c r="C20" s="350">
        <f>'- 43 -'!C20</f>
        <v>0</v>
      </c>
      <c r="D20" s="350">
        <f>'- 43 -'!E20</f>
        <v>28.65106032735935</v>
      </c>
      <c r="E20" s="350">
        <f>'- 43 -'!G20</f>
        <v>0.11776437141346686</v>
      </c>
      <c r="F20" s="350">
        <f>'- 43 -'!I20</f>
        <v>0</v>
      </c>
      <c r="G20" s="350">
        <f>'- 44 -'!C20</f>
        <v>0.51841924372232695</v>
      </c>
      <c r="H20" s="350">
        <f>'- 44 -'!E20</f>
        <v>8.2563064740963185E-2</v>
      </c>
      <c r="J20" s="483">
        <f t="shared" si="0"/>
        <v>100</v>
      </c>
    </row>
    <row r="21" spans="1:12" ht="14.1" customHeight="1">
      <c r="A21" s="357" t="s">
        <v>239</v>
      </c>
      <c r="B21" s="359">
        <f>'- 42 -'!I21</f>
        <v>64.770740677386257</v>
      </c>
      <c r="C21" s="359">
        <f>'- 43 -'!C21</f>
        <v>0</v>
      </c>
      <c r="D21" s="359">
        <f>'- 43 -'!E21</f>
        <v>34.088219865435057</v>
      </c>
      <c r="E21" s="359">
        <f>'- 43 -'!G21</f>
        <v>0.15680237199224542</v>
      </c>
      <c r="F21" s="359">
        <f>'- 43 -'!I21</f>
        <v>0</v>
      </c>
      <c r="G21" s="359">
        <f>'- 44 -'!C21</f>
        <v>0.61095906032614888</v>
      </c>
      <c r="H21" s="359">
        <f>'- 44 -'!E21</f>
        <v>0.37327802486030331</v>
      </c>
      <c r="J21" s="483">
        <f t="shared" si="0"/>
        <v>100</v>
      </c>
    </row>
    <row r="22" spans="1:12" ht="14.1" customHeight="1">
      <c r="A22" s="23" t="s">
        <v>240</v>
      </c>
      <c r="B22" s="350">
        <f>'- 42 -'!I22</f>
        <v>83.866259927659343</v>
      </c>
      <c r="C22" s="350">
        <f>'- 43 -'!C22</f>
        <v>0.11827595415397751</v>
      </c>
      <c r="D22" s="350">
        <f>'- 43 -'!E22</f>
        <v>15.269811363737693</v>
      </c>
      <c r="E22" s="350">
        <f>'- 43 -'!G22</f>
        <v>7.7136491839550542E-2</v>
      </c>
      <c r="F22" s="350">
        <f>'- 43 -'!I22</f>
        <v>0</v>
      </c>
      <c r="G22" s="350">
        <f>'- 44 -'!C22</f>
        <v>0</v>
      </c>
      <c r="H22" s="350">
        <f>'- 44 -'!E22</f>
        <v>0.66851626260943797</v>
      </c>
      <c r="J22" s="483">
        <f t="shared" si="0"/>
        <v>100</v>
      </c>
    </row>
    <row r="23" spans="1:12" ht="14.1" customHeight="1">
      <c r="A23" s="357" t="s">
        <v>241</v>
      </c>
      <c r="B23" s="359">
        <f>'- 42 -'!I23</f>
        <v>71.406140476754715</v>
      </c>
      <c r="C23" s="359">
        <f>'- 43 -'!C23</f>
        <v>0</v>
      </c>
      <c r="D23" s="359">
        <f>'- 43 -'!E23</f>
        <v>20.55163171112196</v>
      </c>
      <c r="E23" s="359">
        <f>'- 43 -'!G23</f>
        <v>0.42599768963195866</v>
      </c>
      <c r="F23" s="359">
        <f>'- 43 -'!I23</f>
        <v>5.9335392484451388</v>
      </c>
      <c r="G23" s="359">
        <f>'- 44 -'!C23</f>
        <v>1.4453493041084313</v>
      </c>
      <c r="H23" s="359">
        <f>'- 44 -'!E23</f>
        <v>0.23734156993780559</v>
      </c>
      <c r="J23" s="483">
        <f t="shared" si="0"/>
        <v>100.00000000000001</v>
      </c>
    </row>
    <row r="24" spans="1:12" ht="14.1" customHeight="1">
      <c r="A24" s="23" t="s">
        <v>242</v>
      </c>
      <c r="B24" s="350">
        <f>'- 42 -'!I24</f>
        <v>61.382904082260069</v>
      </c>
      <c r="C24" s="350">
        <f>'- 43 -'!C24</f>
        <v>0</v>
      </c>
      <c r="D24" s="350">
        <f>'- 43 -'!E24</f>
        <v>36.831121215686068</v>
      </c>
      <c r="E24" s="350">
        <f>'- 43 -'!G24</f>
        <v>0.32906919721212358</v>
      </c>
      <c r="F24" s="350">
        <f>'- 43 -'!I24</f>
        <v>0.58913649844797045</v>
      </c>
      <c r="G24" s="350">
        <f>'- 44 -'!C24</f>
        <v>0.68974647629833463</v>
      </c>
      <c r="H24" s="350">
        <f>'- 44 -'!E24</f>
        <v>0.17802253009543534</v>
      </c>
      <c r="J24" s="483">
        <f t="shared" si="0"/>
        <v>100</v>
      </c>
    </row>
    <row r="25" spans="1:12" ht="14.1" customHeight="1">
      <c r="A25" s="357" t="s">
        <v>243</v>
      </c>
      <c r="B25" s="359">
        <f>'- 42 -'!I25</f>
        <v>64.171006481239274</v>
      </c>
      <c r="C25" s="359">
        <f>'- 43 -'!C25</f>
        <v>0</v>
      </c>
      <c r="D25" s="359">
        <f>'- 43 -'!E25</f>
        <v>34.259951116827871</v>
      </c>
      <c r="E25" s="359">
        <f>'- 43 -'!G25</f>
        <v>0.2667286419970834</v>
      </c>
      <c r="F25" s="359">
        <f>'- 43 -'!I25</f>
        <v>0</v>
      </c>
      <c r="G25" s="359">
        <f>'- 44 -'!C25</f>
        <v>1.240283843192266</v>
      </c>
      <c r="H25" s="359">
        <f>'- 44 -'!E25</f>
        <v>6.2029916743507781E-2</v>
      </c>
      <c r="J25" s="483">
        <f t="shared" si="0"/>
        <v>100</v>
      </c>
    </row>
    <row r="26" spans="1:12" ht="14.1" customHeight="1">
      <c r="A26" s="23" t="s">
        <v>244</v>
      </c>
      <c r="B26" s="350">
        <f>'- 42 -'!I26</f>
        <v>67.923139910647464</v>
      </c>
      <c r="C26" s="350">
        <f>'- 43 -'!C26</f>
        <v>1.3299455802101803</v>
      </c>
      <c r="D26" s="350">
        <f>'- 43 -'!E26</f>
        <v>26.753101847494744</v>
      </c>
      <c r="E26" s="350">
        <f>'- 43 -'!G26</f>
        <v>1.2029677482346155</v>
      </c>
      <c r="F26" s="350">
        <f>'- 43 -'!I26</f>
        <v>0.84651887983709795</v>
      </c>
      <c r="G26" s="350">
        <f>'- 44 -'!C26</f>
        <v>1.3730516099712073</v>
      </c>
      <c r="H26" s="350">
        <f>'- 44 -'!E26</f>
        <v>0.57127442360469083</v>
      </c>
      <c r="J26" s="483">
        <f t="shared" si="0"/>
        <v>100</v>
      </c>
    </row>
    <row r="27" spans="1:12" ht="14.1" customHeight="1">
      <c r="A27" s="357" t="s">
        <v>245</v>
      </c>
      <c r="B27" s="359">
        <f>'- 42 -'!I27</f>
        <v>76.444867314600529</v>
      </c>
      <c r="C27" s="359">
        <f>'- 43 -'!C27</f>
        <v>5.0420383730885032E-2</v>
      </c>
      <c r="D27" s="359">
        <f>'- 43 -'!E27</f>
        <v>21.607897465712689</v>
      </c>
      <c r="E27" s="359">
        <f>'- 43 -'!G27</f>
        <v>0.42453963101405201</v>
      </c>
      <c r="F27" s="359">
        <f>'- 43 -'!I27</f>
        <v>0.51680893324157162</v>
      </c>
      <c r="G27" s="359">
        <f>'- 44 -'!C27</f>
        <v>0.72983505450456088</v>
      </c>
      <c r="H27" s="359">
        <f>'- 44 -'!E27</f>
        <v>0.22563121719571053</v>
      </c>
      <c r="J27" s="483">
        <f t="shared" si="0"/>
        <v>100.00000000000001</v>
      </c>
    </row>
    <row r="28" spans="1:12" ht="14.1" customHeight="1">
      <c r="A28" s="23" t="s">
        <v>246</v>
      </c>
      <c r="B28" s="350">
        <f>'- 42 -'!I28</f>
        <v>49.373008587763486</v>
      </c>
      <c r="C28" s="350">
        <f>'- 43 -'!C28</f>
        <v>0</v>
      </c>
      <c r="D28" s="350">
        <f>'- 43 -'!E28</f>
        <v>24.943332923203808</v>
      </c>
      <c r="E28" s="350">
        <f>'- 43 -'!G28</f>
        <v>0.21796077425333993</v>
      </c>
      <c r="F28" s="350">
        <f>'- 43 -'!I28</f>
        <v>25.389411443790692</v>
      </c>
      <c r="G28" s="350">
        <f>'- 44 -'!C28</f>
        <v>3.632679570888999E-2</v>
      </c>
      <c r="H28" s="350">
        <f>'- 44 -'!E28</f>
        <v>3.9959475279778986E-2</v>
      </c>
      <c r="J28" s="483">
        <f t="shared" si="0"/>
        <v>99.999999999999986</v>
      </c>
    </row>
    <row r="29" spans="1:12" ht="14.1" customHeight="1">
      <c r="A29" s="357" t="s">
        <v>247</v>
      </c>
      <c r="B29" s="359">
        <f>'- 42 -'!I29</f>
        <v>54.84941658631589</v>
      </c>
      <c r="C29" s="359">
        <f>'- 43 -'!C29</f>
        <v>4.6924530339364598E-2</v>
      </c>
      <c r="D29" s="359">
        <f>'- 43 -'!E29</f>
        <v>42.764587525258044</v>
      </c>
      <c r="E29" s="359">
        <f>'- 43 -'!G29</f>
        <v>0.48455401541925419</v>
      </c>
      <c r="F29" s="359">
        <f>'- 43 -'!I29</f>
        <v>0</v>
      </c>
      <c r="G29" s="359">
        <f>'- 44 -'!C29</f>
        <v>1.7390364063003525</v>
      </c>
      <c r="H29" s="359">
        <f>'- 44 -'!E29</f>
        <v>0.11548093636708875</v>
      </c>
      <c r="J29" s="483">
        <f t="shared" si="0"/>
        <v>100</v>
      </c>
    </row>
    <row r="30" spans="1:12" ht="14.1" customHeight="1">
      <c r="A30" s="23" t="s">
        <v>248</v>
      </c>
      <c r="B30" s="350">
        <f>'- 42 -'!I30</f>
        <v>67.654315277649829</v>
      </c>
      <c r="C30" s="350">
        <f>'- 43 -'!C30</f>
        <v>0</v>
      </c>
      <c r="D30" s="350">
        <f>'- 43 -'!E30</f>
        <v>31.819019694362705</v>
      </c>
      <c r="E30" s="350">
        <f>'- 43 -'!G30</f>
        <v>0.21335155524704955</v>
      </c>
      <c r="F30" s="350">
        <f>'- 43 -'!I30</f>
        <v>0</v>
      </c>
      <c r="G30" s="350">
        <f>'- 44 -'!C30</f>
        <v>0</v>
      </c>
      <c r="H30" s="350">
        <f>'- 44 -'!E30</f>
        <v>0.31331347274042243</v>
      </c>
      <c r="J30" s="483">
        <f t="shared" si="0"/>
        <v>100</v>
      </c>
    </row>
    <row r="31" spans="1:12" ht="14.1" customHeight="1">
      <c r="A31" s="357" t="s">
        <v>249</v>
      </c>
      <c r="B31" s="359">
        <f>'- 42 -'!I31</f>
        <v>63.430360957506338</v>
      </c>
      <c r="C31" s="359">
        <f>'- 43 -'!C31</f>
        <v>5.6019813535809856E-2</v>
      </c>
      <c r="D31" s="359">
        <f>'- 43 -'!E31</f>
        <v>33.718230533520938</v>
      </c>
      <c r="E31" s="359">
        <f>'- 43 -'!G31</f>
        <v>0.50417832182228872</v>
      </c>
      <c r="F31" s="359">
        <f>'- 43 -'!I31</f>
        <v>2.1987776812805371</v>
      </c>
      <c r="G31" s="359">
        <f>'- 44 -'!C31</f>
        <v>1.4004953383952464E-2</v>
      </c>
      <c r="H31" s="359">
        <f>'- 44 -'!E31</f>
        <v>7.8427738950133802E-2</v>
      </c>
      <c r="J31" s="483">
        <f t="shared" si="0"/>
        <v>100</v>
      </c>
    </row>
    <row r="32" spans="1:12" ht="14.1" customHeight="1">
      <c r="A32" s="23" t="s">
        <v>250</v>
      </c>
      <c r="B32" s="350">
        <f>'- 42 -'!I32</f>
        <v>61.912259634975811</v>
      </c>
      <c r="C32" s="350">
        <f>'- 43 -'!C32</f>
        <v>0</v>
      </c>
      <c r="D32" s="350">
        <f>'- 43 -'!E32</f>
        <v>37.482948748557078</v>
      </c>
      <c r="E32" s="350">
        <f>'- 43 -'!G32</f>
        <v>0.20651421050096735</v>
      </c>
      <c r="F32" s="350">
        <f>'- 43 -'!I32</f>
        <v>0</v>
      </c>
      <c r="G32" s="350">
        <f>'- 44 -'!C32</f>
        <v>0.34296109958196358</v>
      </c>
      <c r="H32" s="350">
        <f>'- 44 -'!E32</f>
        <v>5.5316306384187684E-2</v>
      </c>
      <c r="J32" s="483">
        <f t="shared" si="0"/>
        <v>100.00000000000001</v>
      </c>
    </row>
    <row r="33" spans="1:10" ht="14.1" customHeight="1">
      <c r="A33" s="357" t="s">
        <v>251</v>
      </c>
      <c r="B33" s="359">
        <f>'- 42 -'!I33</f>
        <v>62.375150037906103</v>
      </c>
      <c r="C33" s="359">
        <f>'- 43 -'!C33</f>
        <v>0</v>
      </c>
      <c r="D33" s="359">
        <f>'- 43 -'!E33</f>
        <v>36.028559719215579</v>
      </c>
      <c r="E33" s="359">
        <f>'- 43 -'!G33</f>
        <v>7.1342580687299442E-2</v>
      </c>
      <c r="F33" s="359">
        <f>'- 43 -'!I33</f>
        <v>1.0701387103094917</v>
      </c>
      <c r="G33" s="359">
        <f>'- 44 -'!C33</f>
        <v>0.16052080654642376</v>
      </c>
      <c r="H33" s="359">
        <f>'- 44 -'!E33</f>
        <v>0.29428814533511022</v>
      </c>
      <c r="J33" s="483">
        <f t="shared" si="0"/>
        <v>100.00000000000001</v>
      </c>
    </row>
    <row r="34" spans="1:10" ht="14.1" customHeight="1">
      <c r="A34" s="23" t="s">
        <v>252</v>
      </c>
      <c r="B34" s="350">
        <f>'- 42 -'!I34</f>
        <v>58.773956959208284</v>
      </c>
      <c r="C34" s="350">
        <f>'- 43 -'!C34</f>
        <v>7.7878212932746688E-2</v>
      </c>
      <c r="D34" s="350">
        <f>'- 43 -'!E34</f>
        <v>37.976583921748571</v>
      </c>
      <c r="E34" s="350">
        <f>'- 43 -'!G34</f>
        <v>2.487817649021451</v>
      </c>
      <c r="F34" s="350">
        <f>'- 43 -'!I34</f>
        <v>0</v>
      </c>
      <c r="G34" s="350">
        <f>'- 44 -'!C34</f>
        <v>0.55520831229565815</v>
      </c>
      <c r="H34" s="350">
        <f>'- 44 -'!E34</f>
        <v>0.12855494479328997</v>
      </c>
      <c r="J34" s="483">
        <f t="shared" si="0"/>
        <v>100.00000000000001</v>
      </c>
    </row>
    <row r="35" spans="1:10" ht="14.1" customHeight="1">
      <c r="A35" s="357" t="s">
        <v>253</v>
      </c>
      <c r="B35" s="359">
        <f>'- 42 -'!I35</f>
        <v>69.062259887668603</v>
      </c>
      <c r="C35" s="359">
        <f>'- 43 -'!C35</f>
        <v>0</v>
      </c>
      <c r="D35" s="359">
        <f>'- 43 -'!E35</f>
        <v>30.374264889934409</v>
      </c>
      <c r="E35" s="359">
        <f>'- 43 -'!G35</f>
        <v>0.12489399259314725</v>
      </c>
      <c r="F35" s="359">
        <f>'- 43 -'!I35</f>
        <v>0</v>
      </c>
      <c r="G35" s="359">
        <f>'- 44 -'!C35</f>
        <v>0.42696318398122435</v>
      </c>
      <c r="H35" s="359">
        <f>'- 44 -'!E35</f>
        <v>1.1618045822618349E-2</v>
      </c>
      <c r="J35" s="483">
        <f t="shared" si="0"/>
        <v>100</v>
      </c>
    </row>
    <row r="36" spans="1:10" ht="14.1" customHeight="1">
      <c r="A36" s="23" t="s">
        <v>254</v>
      </c>
      <c r="B36" s="350">
        <f>'- 42 -'!I36</f>
        <v>59.222074533874689</v>
      </c>
      <c r="C36" s="350">
        <f>'- 43 -'!C36</f>
        <v>0.32850579337777175</v>
      </c>
      <c r="D36" s="350">
        <f>'- 43 -'!E36</f>
        <v>33.598248848635571</v>
      </c>
      <c r="E36" s="350">
        <f>'- 43 -'!G36</f>
        <v>0.26583902556474304</v>
      </c>
      <c r="F36" s="350">
        <f>'- 43 -'!I36</f>
        <v>5.1584644662935251</v>
      </c>
      <c r="G36" s="350">
        <f>'- 44 -'!C36</f>
        <v>1.214350030178996</v>
      </c>
      <c r="H36" s="350">
        <f>'- 44 -'!E36</f>
        <v>0.21251730207470979</v>
      </c>
      <c r="J36" s="483">
        <f t="shared" si="0"/>
        <v>100.00000000000001</v>
      </c>
    </row>
    <row r="37" spans="1:10" ht="14.1" customHeight="1">
      <c r="A37" s="357" t="s">
        <v>255</v>
      </c>
      <c r="B37" s="359">
        <f>'- 42 -'!I37</f>
        <v>71.530752683499202</v>
      </c>
      <c r="C37" s="359">
        <f>'- 43 -'!C37</f>
        <v>3.2593107644170179E-2</v>
      </c>
      <c r="D37" s="359">
        <f>'- 43 -'!E37</f>
        <v>27.880398505062796</v>
      </c>
      <c r="E37" s="359">
        <f>'- 43 -'!G37</f>
        <v>0.43457476858893573</v>
      </c>
      <c r="F37" s="359">
        <f>'- 43 -'!I37</f>
        <v>0</v>
      </c>
      <c r="G37" s="359">
        <f>'- 44 -'!C37</f>
        <v>0</v>
      </c>
      <c r="H37" s="359">
        <f>'- 44 -'!E37</f>
        <v>0.121680935204902</v>
      </c>
      <c r="J37" s="483">
        <f t="shared" si="0"/>
        <v>100.00000000000001</v>
      </c>
    </row>
    <row r="38" spans="1:10" ht="14.1" customHeight="1">
      <c r="A38" s="23" t="s">
        <v>256</v>
      </c>
      <c r="B38" s="350">
        <f>'- 42 -'!I38</f>
        <v>70.608098137727595</v>
      </c>
      <c r="C38" s="350">
        <f>'- 43 -'!C38</f>
        <v>0.72187277701429597</v>
      </c>
      <c r="D38" s="350">
        <f>'- 43 -'!E38</f>
        <v>26.892755998714975</v>
      </c>
      <c r="E38" s="350">
        <f>'- 43 -'!G38</f>
        <v>0.82863983233429117</v>
      </c>
      <c r="F38" s="350">
        <f>'- 43 -'!I38</f>
        <v>0.15935381391044059</v>
      </c>
      <c r="G38" s="350">
        <f>'- 44 -'!C38</f>
        <v>0.74705067961214555</v>
      </c>
      <c r="H38" s="350">
        <f>'- 44 -'!E38</f>
        <v>4.2228760686266763E-2</v>
      </c>
      <c r="J38" s="483">
        <f t="shared" si="0"/>
        <v>100.00000000000001</v>
      </c>
    </row>
    <row r="39" spans="1:10" ht="14.1" customHeight="1">
      <c r="A39" s="357" t="s">
        <v>257</v>
      </c>
      <c r="B39" s="359">
        <f>'- 42 -'!I39</f>
        <v>56.796677881558658</v>
      </c>
      <c r="C39" s="359">
        <f>'- 43 -'!C39</f>
        <v>0</v>
      </c>
      <c r="D39" s="359">
        <f>'- 43 -'!E39</f>
        <v>42.413405271831451</v>
      </c>
      <c r="E39" s="359">
        <f>'- 43 -'!G39</f>
        <v>0.46929470449732624</v>
      </c>
      <c r="F39" s="359">
        <f>'- 43 -'!I39</f>
        <v>0</v>
      </c>
      <c r="G39" s="359">
        <f>'- 44 -'!C39</f>
        <v>0</v>
      </c>
      <c r="H39" s="359">
        <f>'- 44 -'!E39</f>
        <v>0.32062214211257328</v>
      </c>
      <c r="J39" s="483">
        <f t="shared" si="0"/>
        <v>100.00000000000001</v>
      </c>
    </row>
    <row r="40" spans="1:10" ht="14.1" customHeight="1">
      <c r="A40" s="23" t="s">
        <v>258</v>
      </c>
      <c r="B40" s="350">
        <f>'- 42 -'!I40</f>
        <v>57.666368844289629</v>
      </c>
      <c r="C40" s="350">
        <f>'- 43 -'!C40</f>
        <v>0</v>
      </c>
      <c r="D40" s="350">
        <f>'- 43 -'!E40</f>
        <v>38.215485305954594</v>
      </c>
      <c r="E40" s="350">
        <f>'- 43 -'!G40</f>
        <v>0.76680288732477497</v>
      </c>
      <c r="F40" s="350">
        <f>'- 43 -'!I40</f>
        <v>9.9611698656880673E-2</v>
      </c>
      <c r="G40" s="350">
        <f>'- 44 -'!C40</f>
        <v>2.4803312965563289</v>
      </c>
      <c r="H40" s="350">
        <f>'- 44 -'!E40</f>
        <v>0.77139996721778992</v>
      </c>
      <c r="J40" s="483">
        <f t="shared" si="0"/>
        <v>100</v>
      </c>
    </row>
    <row r="41" spans="1:10" ht="14.1" customHeight="1">
      <c r="A41" s="357" t="s">
        <v>259</v>
      </c>
      <c r="B41" s="359">
        <f>'- 42 -'!I41</f>
        <v>61.109403171831879</v>
      </c>
      <c r="C41" s="359">
        <f>'- 43 -'!C41</f>
        <v>0</v>
      </c>
      <c r="D41" s="359">
        <f>'- 43 -'!E41</f>
        <v>38.099668648512299</v>
      </c>
      <c r="E41" s="359">
        <f>'- 43 -'!G41</f>
        <v>0.19136625463167672</v>
      </c>
      <c r="F41" s="359">
        <f>'- 43 -'!I41</f>
        <v>0.49992062389455316</v>
      </c>
      <c r="G41" s="359">
        <f>'- 44 -'!C41</f>
        <v>0</v>
      </c>
      <c r="H41" s="359">
        <f>'- 44 -'!E41</f>
        <v>9.9641301129587578E-2</v>
      </c>
      <c r="J41" s="483">
        <f t="shared" si="0"/>
        <v>100</v>
      </c>
    </row>
    <row r="42" spans="1:10" ht="14.1" customHeight="1">
      <c r="A42" s="23" t="s">
        <v>260</v>
      </c>
      <c r="B42" s="350">
        <f>'- 42 -'!I42</f>
        <v>72.16712202710552</v>
      </c>
      <c r="C42" s="350">
        <f>'- 43 -'!C42</f>
        <v>0</v>
      </c>
      <c r="D42" s="350">
        <f>'- 43 -'!E42</f>
        <v>25.37026479430568</v>
      </c>
      <c r="E42" s="350">
        <f>'- 43 -'!G42</f>
        <v>0.13214164648296473</v>
      </c>
      <c r="F42" s="350">
        <f>'- 43 -'!I42</f>
        <v>0.89446729265073999</v>
      </c>
      <c r="G42" s="350">
        <f>'- 44 -'!C42</f>
        <v>1.016174137529515</v>
      </c>
      <c r="H42" s="350">
        <f>'- 44 -'!E42</f>
        <v>0.41983010192558173</v>
      </c>
      <c r="J42" s="483">
        <f t="shared" si="0"/>
        <v>100.00000000000001</v>
      </c>
    </row>
    <row r="43" spans="1:10" ht="14.1" customHeight="1">
      <c r="A43" s="357" t="s">
        <v>261</v>
      </c>
      <c r="B43" s="359">
        <f>'- 42 -'!I43</f>
        <v>60.239602360697518</v>
      </c>
      <c r="C43" s="359">
        <f>'- 43 -'!C43</f>
        <v>0</v>
      </c>
      <c r="D43" s="359">
        <f>'- 43 -'!E43</f>
        <v>39.170775230260269</v>
      </c>
      <c r="E43" s="359">
        <f>'- 43 -'!G43</f>
        <v>0.27598507945807571</v>
      </c>
      <c r="F43" s="359">
        <f>'- 43 -'!I43</f>
        <v>0</v>
      </c>
      <c r="G43" s="359">
        <f>'- 44 -'!C43</f>
        <v>0.14079181696354118</v>
      </c>
      <c r="H43" s="359">
        <f>'- 44 -'!E43</f>
        <v>0.17284551262060055</v>
      </c>
      <c r="J43" s="483">
        <f t="shared" si="0"/>
        <v>100</v>
      </c>
    </row>
    <row r="44" spans="1:10" ht="14.1" customHeight="1">
      <c r="A44" s="23" t="s">
        <v>262</v>
      </c>
      <c r="B44" s="350">
        <f>'- 42 -'!I44</f>
        <v>78.069965869844054</v>
      </c>
      <c r="C44" s="350">
        <f>'- 43 -'!C44</f>
        <v>0</v>
      </c>
      <c r="D44" s="350">
        <f>'- 43 -'!E44</f>
        <v>21.656840907555122</v>
      </c>
      <c r="E44" s="350">
        <f>'- 43 -'!G44</f>
        <v>0.17639959737470359</v>
      </c>
      <c r="F44" s="350">
        <f>'- 43 -'!I44</f>
        <v>0</v>
      </c>
      <c r="G44" s="350">
        <f>'- 44 -'!C44</f>
        <v>8.7747492027416663E-2</v>
      </c>
      <c r="H44" s="350">
        <f>'- 44 -'!E44</f>
        <v>9.0461331987027483E-3</v>
      </c>
      <c r="J44" s="483">
        <f t="shared" si="0"/>
        <v>100</v>
      </c>
    </row>
    <row r="45" spans="1:10" ht="14.1" customHeight="1">
      <c r="A45" s="357" t="s">
        <v>263</v>
      </c>
      <c r="B45" s="359">
        <f>'- 42 -'!I45</f>
        <v>66.81034402024892</v>
      </c>
      <c r="C45" s="359">
        <f>'- 43 -'!C45</f>
        <v>0.11017779500958491</v>
      </c>
      <c r="D45" s="359">
        <f>'- 43 -'!E45</f>
        <v>31.396512365970093</v>
      </c>
      <c r="E45" s="359">
        <f>'- 43 -'!G45</f>
        <v>0.32227005040303591</v>
      </c>
      <c r="F45" s="359">
        <f>'- 43 -'!I45</f>
        <v>0</v>
      </c>
      <c r="G45" s="359">
        <f>'- 44 -'!C45</f>
        <v>1.3023015370132938</v>
      </c>
      <c r="H45" s="359">
        <f>'- 44 -'!E45</f>
        <v>5.8394231355080005E-2</v>
      </c>
      <c r="J45" s="483">
        <f t="shared" si="0"/>
        <v>100.00000000000001</v>
      </c>
    </row>
    <row r="46" spans="1:10" ht="14.1" customHeight="1">
      <c r="A46" s="23" t="s">
        <v>264</v>
      </c>
      <c r="B46" s="350">
        <f>'- 42 -'!I46</f>
        <v>62.943022349932384</v>
      </c>
      <c r="C46" s="350">
        <f>'- 43 -'!C46</f>
        <v>0.93572529671849158</v>
      </c>
      <c r="D46" s="350">
        <f>'- 43 -'!E46</f>
        <v>34.534930625326496</v>
      </c>
      <c r="E46" s="350">
        <f>'- 43 -'!G46</f>
        <v>0.59485393862818392</v>
      </c>
      <c r="F46" s="350">
        <f>'- 43 -'!I46</f>
        <v>0.66837521194177973</v>
      </c>
      <c r="G46" s="350">
        <f>'- 44 -'!C46</f>
        <v>0.14129451980449223</v>
      </c>
      <c r="H46" s="350">
        <f>'- 44 -'!E46</f>
        <v>0.18179805764816406</v>
      </c>
      <c r="J46" s="483">
        <f t="shared" si="0"/>
        <v>100</v>
      </c>
    </row>
    <row r="47" spans="1:10" ht="5.0999999999999996" customHeight="1">
      <c r="A47"/>
      <c r="B47"/>
      <c r="C47"/>
      <c r="D47"/>
      <c r="E47"/>
      <c r="F47"/>
      <c r="G47"/>
      <c r="H47"/>
      <c r="J47" s="483"/>
    </row>
    <row r="48" spans="1:10" ht="14.1" customHeight="1">
      <c r="A48" s="360" t="s">
        <v>265</v>
      </c>
      <c r="B48" s="362">
        <f>'- 42 -'!I48</f>
        <v>63.165744484679884</v>
      </c>
      <c r="C48" s="362">
        <f>'- 43 -'!C48</f>
        <v>1.7283222202426791</v>
      </c>
      <c r="D48" s="362">
        <f>'- 43 -'!E48</f>
        <v>31.072802911277002</v>
      </c>
      <c r="E48" s="362">
        <f>'- 43 -'!G48</f>
        <v>0.48952627656799536</v>
      </c>
      <c r="F48" s="362">
        <f>'- 43 -'!I48</f>
        <v>2.4915566763730683</v>
      </c>
      <c r="G48" s="362">
        <f>'- 44 -'!C48</f>
        <v>0.84157389404709271</v>
      </c>
      <c r="H48" s="362">
        <f>'- 44 -'!E48</f>
        <v>0.21047353681227093</v>
      </c>
      <c r="J48" s="483">
        <f>SUM(B48:H48)</f>
        <v>100</v>
      </c>
    </row>
    <row r="49" spans="1:10" ht="5.0999999999999996" customHeight="1">
      <c r="A49" s="25" t="s">
        <v>3</v>
      </c>
      <c r="B49" s="349"/>
      <c r="C49" s="349"/>
      <c r="D49" s="349"/>
      <c r="E49" s="349"/>
      <c r="F49" s="349"/>
      <c r="G49" s="349"/>
      <c r="H49" s="349"/>
      <c r="J49" s="483"/>
    </row>
    <row r="50" spans="1:10" ht="14.1" customHeight="1">
      <c r="A50" s="23" t="s">
        <v>266</v>
      </c>
      <c r="B50" s="350">
        <f>'- 42 -'!I50</f>
        <v>42.169638774577045</v>
      </c>
      <c r="C50" s="350">
        <f>'- 43 -'!C50</f>
        <v>0</v>
      </c>
      <c r="D50" s="350">
        <f>'- 43 -'!E50</f>
        <v>54.884857861555794</v>
      </c>
      <c r="E50" s="350">
        <f>'- 43 -'!G50</f>
        <v>1.0451786129851237</v>
      </c>
      <c r="F50" s="350">
        <f>'- 43 -'!I50</f>
        <v>0</v>
      </c>
      <c r="G50" s="350">
        <f>'- 44 -'!C50</f>
        <v>0.29235765398185276</v>
      </c>
      <c r="H50" s="350">
        <f>'- 44 -'!E50</f>
        <v>1.6079670969001905</v>
      </c>
      <c r="J50" s="483">
        <f>SUM(B50:H50)</f>
        <v>100.00000000000001</v>
      </c>
    </row>
    <row r="51" spans="1:10" ht="14.1" customHeight="1">
      <c r="A51" s="511" t="s">
        <v>691</v>
      </c>
      <c r="B51" s="359">
        <f>'- 42 -'!I51</f>
        <v>36.873052225392918</v>
      </c>
      <c r="C51" s="359">
        <f>'- 43 -'!C51</f>
        <v>19.036360940030065</v>
      </c>
      <c r="D51" s="359">
        <f>'- 43 -'!E51</f>
        <v>0</v>
      </c>
      <c r="E51" s="359">
        <f>'- 43 -'!G51</f>
        <v>6.4866123218240519</v>
      </c>
      <c r="F51" s="359">
        <f>'- 43 -'!I51</f>
        <v>0</v>
      </c>
      <c r="G51" s="359">
        <f>'- 44 -'!C51</f>
        <v>32.416998393803894</v>
      </c>
      <c r="H51" s="359">
        <f>'- 44 -'!E51</f>
        <v>5.1869761189490706</v>
      </c>
      <c r="J51" s="483">
        <f>SUM(B51:H51)</f>
        <v>100</v>
      </c>
    </row>
    <row r="52" spans="1:10" ht="50.1" customHeight="1">
      <c r="A52" s="27"/>
      <c r="B52" s="27"/>
      <c r="C52" s="27"/>
      <c r="D52" s="27"/>
      <c r="E52" s="27"/>
      <c r="F52" s="27"/>
      <c r="G52" s="27"/>
      <c r="H52" s="27"/>
    </row>
    <row r="53" spans="1:10" ht="14.45" customHeight="1">
      <c r="A53" s="39" t="s">
        <v>605</v>
      </c>
    </row>
    <row r="54" spans="1:10">
      <c r="A54" s="158" t="e">
        <f>"       includes teachers' retirement allowances, capital support and the education property tax credit, is projected to be "&amp;TEXT(#REF!,"0.0%")&amp; " in "&amp;'- 61 -'!C9&amp;". See page i  "</f>
        <v>#REF!</v>
      </c>
    </row>
    <row r="55" spans="1:10">
      <c r="A55" s="1" t="s">
        <v>604</v>
      </c>
    </row>
    <row r="56" spans="1:10" ht="14.45" customHeight="1"/>
    <row r="57" spans="1:10" ht="14.45" customHeight="1"/>
    <row r="58" spans="1:10" ht="14.45" customHeight="1"/>
    <row r="59" spans="1:10" ht="14.45" customHeight="1"/>
  </sheetData>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37.xml><?xml version="1.0" encoding="utf-8"?>
<worksheet xmlns="http://schemas.openxmlformats.org/spreadsheetml/2006/main" xmlns:r="http://schemas.openxmlformats.org/officeDocument/2006/relationships">
  <sheetPr codeName="Sheet36">
    <pageSetUpPr fitToPage="1"/>
  </sheetPr>
  <dimension ref="A1:I62"/>
  <sheetViews>
    <sheetView showGridLines="0" showZeros="0" workbookViewId="0"/>
  </sheetViews>
  <sheetFormatPr defaultColWidth="15.83203125" defaultRowHeight="12"/>
  <cols>
    <col min="1" max="1" width="26.83203125" style="1" customWidth="1"/>
    <col min="2" max="2" width="14.6640625" style="1" customWidth="1"/>
    <col min="3" max="3" width="14.6640625" style="1" bestFit="1" customWidth="1"/>
    <col min="4" max="4" width="14.33203125" style="1" customWidth="1"/>
    <col min="5" max="5" width="14.1640625" style="1" customWidth="1"/>
    <col min="6" max="6" width="15.6640625" style="1" customWidth="1"/>
    <col min="7" max="7" width="13.5" style="1" customWidth="1"/>
    <col min="8" max="8" width="15.33203125" style="1" customWidth="1"/>
    <col min="9" max="9" width="13" style="1" customWidth="1"/>
    <col min="10" max="16384" width="15.83203125" style="1"/>
  </cols>
  <sheetData>
    <row r="1" spans="1:9" ht="18" customHeight="1">
      <c r="A1" s="246"/>
      <c r="B1" s="247" t="str">
        <f>"ANALYSIS OF OPERATING FUND REVENUE: "&amp;YEAR&amp;"/"&amp;YEAR+1&amp;" BUDGET"</f>
        <v>ANALYSIS OF OPERATING FUND REVENUE: 2014/2015 BUDGET</v>
      </c>
      <c r="C1" s="247"/>
      <c r="D1" s="247"/>
      <c r="E1" s="128"/>
      <c r="F1" s="128"/>
      <c r="G1" s="128"/>
      <c r="H1" s="128"/>
      <c r="I1" s="248" t="s">
        <v>2</v>
      </c>
    </row>
    <row r="2" spans="1:9" ht="8.1" customHeight="1">
      <c r="A2" s="243"/>
    </row>
    <row r="3" spans="1:9" ht="15.95" customHeight="1">
      <c r="B3" s="386" t="s">
        <v>98</v>
      </c>
      <c r="C3" s="433"/>
      <c r="D3" s="433"/>
      <c r="E3" s="434"/>
      <c r="F3" s="434"/>
      <c r="G3" s="434"/>
      <c r="H3" s="434"/>
      <c r="I3" s="435"/>
    </row>
    <row r="4" spans="1:9" ht="8.1" customHeight="1"/>
    <row r="5" spans="1:9" ht="15.95" customHeight="1">
      <c r="B5" s="436" t="s">
        <v>77</v>
      </c>
      <c r="C5" s="433"/>
      <c r="D5" s="433"/>
      <c r="E5" s="437"/>
      <c r="F5" s="372"/>
    </row>
    <row r="6" spans="1:9" ht="15.95" customHeight="1">
      <c r="B6" s="332"/>
      <c r="C6" s="332"/>
      <c r="D6" s="332"/>
      <c r="E6" s="335"/>
      <c r="F6" s="335"/>
      <c r="G6" s="332"/>
      <c r="H6" s="332"/>
      <c r="I6" s="249" t="s">
        <v>83</v>
      </c>
    </row>
    <row r="7" spans="1:9" ht="15.95" customHeight="1">
      <c r="B7" s="333" t="s">
        <v>220</v>
      </c>
      <c r="C7" s="333" t="s">
        <v>77</v>
      </c>
      <c r="D7" s="333" t="s">
        <v>526</v>
      </c>
      <c r="E7" s="336"/>
      <c r="F7" s="336"/>
      <c r="G7" s="333" t="s">
        <v>44</v>
      </c>
      <c r="H7" s="333" t="s">
        <v>54</v>
      </c>
      <c r="I7" s="251" t="s">
        <v>108</v>
      </c>
    </row>
    <row r="8" spans="1:9" ht="15.95" customHeight="1">
      <c r="A8" s="330"/>
      <c r="B8" s="333" t="s">
        <v>219</v>
      </c>
      <c r="C8" s="333" t="s">
        <v>409</v>
      </c>
      <c r="D8" s="333" t="s">
        <v>527</v>
      </c>
      <c r="E8" s="337" t="s">
        <v>44</v>
      </c>
      <c r="F8" s="336"/>
      <c r="G8" s="333" t="s">
        <v>120</v>
      </c>
      <c r="H8" s="333" t="s">
        <v>120</v>
      </c>
      <c r="I8" s="251" t="s">
        <v>121</v>
      </c>
    </row>
    <row r="9" spans="1:9" ht="15.95" customHeight="1">
      <c r="A9" s="331" t="s">
        <v>81</v>
      </c>
      <c r="B9" s="334" t="s">
        <v>401</v>
      </c>
      <c r="C9" s="334" t="s">
        <v>410</v>
      </c>
      <c r="D9" s="334" t="s">
        <v>528</v>
      </c>
      <c r="E9" s="334" t="s">
        <v>411</v>
      </c>
      <c r="F9" s="334" t="s">
        <v>54</v>
      </c>
      <c r="G9" s="334" t="s">
        <v>412</v>
      </c>
      <c r="H9" s="334" t="s">
        <v>126</v>
      </c>
      <c r="I9" s="334" t="s">
        <v>529</v>
      </c>
    </row>
    <row r="10" spans="1:9" ht="5.0999999999999996" customHeight="1">
      <c r="A10" s="37"/>
      <c r="B10" s="245"/>
      <c r="C10" s="245"/>
      <c r="D10" s="245"/>
      <c r="E10" s="245"/>
      <c r="F10" s="245"/>
      <c r="G10" s="245"/>
      <c r="H10" s="245"/>
      <c r="I10" s="245"/>
    </row>
    <row r="11" spans="1:9" ht="14.1" customHeight="1">
      <c r="A11" s="357" t="s">
        <v>230</v>
      </c>
      <c r="B11" s="358">
        <f>'- 56 -'!$F11</f>
        <v>8748042</v>
      </c>
      <c r="C11" s="358">
        <v>1540891</v>
      </c>
      <c r="D11" s="358">
        <v>504331</v>
      </c>
      <c r="E11" s="358">
        <v>395190</v>
      </c>
      <c r="F11" s="358">
        <f>SUM(B11:E11)</f>
        <v>11188454</v>
      </c>
      <c r="G11" s="358">
        <v>0</v>
      </c>
      <c r="H11" s="358">
        <f>SUM(F11,G11)</f>
        <v>11188454</v>
      </c>
      <c r="I11" s="359">
        <f>H11/'- 44 -'!$I11*100</f>
        <v>63.655922861346205</v>
      </c>
    </row>
    <row r="12" spans="1:9" ht="14.1" customHeight="1">
      <c r="A12" s="23" t="s">
        <v>231</v>
      </c>
      <c r="B12" s="24">
        <f>'- 56 -'!$F12</f>
        <v>15659023</v>
      </c>
      <c r="C12" s="24">
        <v>2266982</v>
      </c>
      <c r="D12" s="24">
        <v>2715901</v>
      </c>
      <c r="E12" s="24">
        <v>727508</v>
      </c>
      <c r="F12" s="24">
        <f t="shared" ref="F12:F46" si="0">SUM(B12:E12)</f>
        <v>21369414</v>
      </c>
      <c r="G12" s="24">
        <v>472973</v>
      </c>
      <c r="H12" s="24">
        <f>SUM(F12,G12)</f>
        <v>21842387</v>
      </c>
      <c r="I12" s="350">
        <f>H12/'- 44 -'!$I12*100</f>
        <v>68.362755108555945</v>
      </c>
    </row>
    <row r="13" spans="1:9" ht="14.1" customHeight="1">
      <c r="A13" s="357" t="s">
        <v>232</v>
      </c>
      <c r="B13" s="358">
        <f>'- 56 -'!$F13</f>
        <v>44504000</v>
      </c>
      <c r="C13" s="358">
        <v>7601468</v>
      </c>
      <c r="D13" s="358">
        <v>1831566</v>
      </c>
      <c r="E13" s="358">
        <v>2056066</v>
      </c>
      <c r="F13" s="358">
        <f t="shared" si="0"/>
        <v>55993100</v>
      </c>
      <c r="G13" s="358">
        <v>0</v>
      </c>
      <c r="H13" s="358">
        <f t="shared" ref="H13:H46" si="1">SUM(F13,G13)</f>
        <v>55993100</v>
      </c>
      <c r="I13" s="359">
        <f>H13/'- 44 -'!$I13*100</f>
        <v>62.455216322451399</v>
      </c>
    </row>
    <row r="14" spans="1:9" ht="14.1" customHeight="1">
      <c r="A14" s="23" t="s">
        <v>566</v>
      </c>
      <c r="B14" s="24">
        <f>'- 56 -'!$F14</f>
        <v>33385705</v>
      </c>
      <c r="C14" s="24">
        <v>5887185</v>
      </c>
      <c r="D14" s="24">
        <v>1966750</v>
      </c>
      <c r="E14" s="24">
        <v>16145092</v>
      </c>
      <c r="F14" s="24">
        <f t="shared" si="0"/>
        <v>57384732</v>
      </c>
      <c r="G14" s="24">
        <v>847941</v>
      </c>
      <c r="H14" s="24">
        <f t="shared" si="1"/>
        <v>58232673</v>
      </c>
      <c r="I14" s="350">
        <f>H14/'- 44 -'!$I14*100</f>
        <v>73.65694285757327</v>
      </c>
    </row>
    <row r="15" spans="1:9" ht="14.1" customHeight="1">
      <c r="A15" s="357" t="s">
        <v>233</v>
      </c>
      <c r="B15" s="358">
        <f>'- 56 -'!$F15</f>
        <v>8262919</v>
      </c>
      <c r="C15" s="358">
        <v>2464433</v>
      </c>
      <c r="D15" s="358">
        <v>1595317</v>
      </c>
      <c r="E15" s="358">
        <v>457430</v>
      </c>
      <c r="F15" s="358">
        <f t="shared" si="0"/>
        <v>12780099</v>
      </c>
      <c r="G15" s="358">
        <v>0</v>
      </c>
      <c r="H15" s="358">
        <f t="shared" si="1"/>
        <v>12780099</v>
      </c>
      <c r="I15" s="359">
        <f>H15/'- 44 -'!$I15*100</f>
        <v>63.229944599024577</v>
      </c>
    </row>
    <row r="16" spans="1:9" ht="14.1" customHeight="1">
      <c r="A16" s="23" t="s">
        <v>234</v>
      </c>
      <c r="B16" s="24">
        <f>'- 56 -'!$F16</f>
        <v>8200464</v>
      </c>
      <c r="C16" s="24">
        <v>818728</v>
      </c>
      <c r="D16" s="24">
        <v>752713</v>
      </c>
      <c r="E16" s="24">
        <v>376100</v>
      </c>
      <c r="F16" s="24">
        <f t="shared" si="0"/>
        <v>10148005</v>
      </c>
      <c r="G16" s="24">
        <v>97327</v>
      </c>
      <c r="H16" s="24">
        <f t="shared" si="1"/>
        <v>10245332</v>
      </c>
      <c r="I16" s="350">
        <f>H16/'- 44 -'!$I16*100</f>
        <v>73.808909055386081</v>
      </c>
    </row>
    <row r="17" spans="1:9" ht="14.1" customHeight="1">
      <c r="A17" s="357" t="s">
        <v>235</v>
      </c>
      <c r="B17" s="358">
        <f>'- 56 -'!$F17</f>
        <v>7435566</v>
      </c>
      <c r="C17" s="358">
        <v>1281239</v>
      </c>
      <c r="D17" s="358">
        <v>487785</v>
      </c>
      <c r="E17" s="358">
        <v>294000</v>
      </c>
      <c r="F17" s="358">
        <f t="shared" si="0"/>
        <v>9498590</v>
      </c>
      <c r="G17" s="358">
        <v>224700</v>
      </c>
      <c r="H17" s="358">
        <f t="shared" si="1"/>
        <v>9723290</v>
      </c>
      <c r="I17" s="359">
        <f>H17/'- 44 -'!$I17*100</f>
        <v>55.692754704989568</v>
      </c>
    </row>
    <row r="18" spans="1:9" ht="14.1" customHeight="1">
      <c r="A18" s="23" t="s">
        <v>236</v>
      </c>
      <c r="B18" s="24">
        <f>'- 56 -'!$F18</f>
        <v>36714485</v>
      </c>
      <c r="C18" s="24">
        <v>468706</v>
      </c>
      <c r="D18" s="24">
        <v>318474</v>
      </c>
      <c r="E18" s="24">
        <v>10863883</v>
      </c>
      <c r="F18" s="24">
        <f t="shared" si="0"/>
        <v>48365548</v>
      </c>
      <c r="G18" s="24">
        <v>1259500</v>
      </c>
      <c r="H18" s="24">
        <f t="shared" si="1"/>
        <v>49625048</v>
      </c>
      <c r="I18" s="350">
        <f>H18/'- 44 -'!$I18*100</f>
        <v>38.404539601794255</v>
      </c>
    </row>
    <row r="19" spans="1:9" ht="14.1" customHeight="1">
      <c r="A19" s="357" t="s">
        <v>237</v>
      </c>
      <c r="B19" s="358">
        <f>'- 56 -'!$F19</f>
        <v>27146089</v>
      </c>
      <c r="C19" s="358">
        <v>3032258</v>
      </c>
      <c r="D19" s="358">
        <v>646173</v>
      </c>
      <c r="E19" s="358">
        <v>687000</v>
      </c>
      <c r="F19" s="358">
        <f t="shared" si="0"/>
        <v>31511520</v>
      </c>
      <c r="G19" s="358">
        <v>0</v>
      </c>
      <c r="H19" s="358">
        <f t="shared" si="1"/>
        <v>31511520</v>
      </c>
      <c r="I19" s="359">
        <f>H19/'- 44 -'!$I19*100</f>
        <v>69.593414072964705</v>
      </c>
    </row>
    <row r="20" spans="1:9" ht="14.1" customHeight="1">
      <c r="A20" s="23" t="s">
        <v>238</v>
      </c>
      <c r="B20" s="24">
        <f>'- 56 -'!$F20</f>
        <v>45727251</v>
      </c>
      <c r="C20" s="24">
        <v>5754583</v>
      </c>
      <c r="D20" s="24">
        <v>1495129</v>
      </c>
      <c r="E20" s="24">
        <v>2158827</v>
      </c>
      <c r="F20" s="24">
        <f t="shared" si="0"/>
        <v>55135790</v>
      </c>
      <c r="G20" s="24">
        <v>42000</v>
      </c>
      <c r="H20" s="24">
        <f t="shared" si="1"/>
        <v>55177790</v>
      </c>
      <c r="I20" s="350">
        <f>H20/'- 44 -'!$I20*100</f>
        <v>70.630192992763895</v>
      </c>
    </row>
    <row r="21" spans="1:9" ht="14.1" customHeight="1">
      <c r="A21" s="357" t="s">
        <v>239</v>
      </c>
      <c r="B21" s="358">
        <f>'- 56 -'!$F21</f>
        <v>17173769</v>
      </c>
      <c r="C21" s="358">
        <v>3453665</v>
      </c>
      <c r="D21" s="358">
        <v>1289551</v>
      </c>
      <c r="E21" s="358">
        <v>777000</v>
      </c>
      <c r="F21" s="358">
        <f t="shared" si="0"/>
        <v>22693985</v>
      </c>
      <c r="G21" s="358">
        <v>25000</v>
      </c>
      <c r="H21" s="358">
        <f t="shared" si="1"/>
        <v>22718985</v>
      </c>
      <c r="I21" s="359">
        <f>H21/'- 44 -'!$I21*100</f>
        <v>64.770740677386257</v>
      </c>
    </row>
    <row r="22" spans="1:9" ht="14.1" customHeight="1">
      <c r="A22" s="23" t="s">
        <v>240</v>
      </c>
      <c r="B22" s="24">
        <f>'- 56 -'!$F22</f>
        <v>13366091</v>
      </c>
      <c r="C22" s="24">
        <v>1112386</v>
      </c>
      <c r="D22" s="24">
        <v>309407</v>
      </c>
      <c r="E22" s="24">
        <v>900000</v>
      </c>
      <c r="F22" s="24">
        <f t="shared" si="0"/>
        <v>15687884</v>
      </c>
      <c r="G22" s="24">
        <v>620790</v>
      </c>
      <c r="H22" s="24">
        <f t="shared" si="1"/>
        <v>16308674</v>
      </c>
      <c r="I22" s="350">
        <f>H22/'- 44 -'!$I22*100</f>
        <v>83.866259927659343</v>
      </c>
    </row>
    <row r="23" spans="1:9" ht="14.1" customHeight="1">
      <c r="A23" s="357" t="s">
        <v>241</v>
      </c>
      <c r="B23" s="358">
        <f>'- 56 -'!$F23</f>
        <v>9602798</v>
      </c>
      <c r="C23" s="358">
        <v>1031596</v>
      </c>
      <c r="D23" s="358">
        <v>440073</v>
      </c>
      <c r="E23" s="358">
        <v>382000</v>
      </c>
      <c r="F23" s="358">
        <f t="shared" si="0"/>
        <v>11456467</v>
      </c>
      <c r="G23" s="358">
        <v>277000</v>
      </c>
      <c r="H23" s="358">
        <f t="shared" si="1"/>
        <v>11733467</v>
      </c>
      <c r="I23" s="359">
        <f>H23/'- 44 -'!$I23*100</f>
        <v>71.406140476754715</v>
      </c>
    </row>
    <row r="24" spans="1:9" ht="14.1" customHeight="1">
      <c r="A24" s="23" t="s">
        <v>242</v>
      </c>
      <c r="B24" s="24">
        <f>'- 56 -'!$F24</f>
        <v>24011852</v>
      </c>
      <c r="C24" s="24">
        <v>5620087</v>
      </c>
      <c r="D24" s="24">
        <v>2692903</v>
      </c>
      <c r="E24" s="24">
        <v>1151663</v>
      </c>
      <c r="F24" s="24">
        <f t="shared" si="0"/>
        <v>33476505</v>
      </c>
      <c r="G24" s="24">
        <v>314300</v>
      </c>
      <c r="H24" s="24">
        <f t="shared" si="1"/>
        <v>33790805</v>
      </c>
      <c r="I24" s="350">
        <f>H24/'- 44 -'!$I24*100</f>
        <v>61.382904082260069</v>
      </c>
    </row>
    <row r="25" spans="1:9" ht="14.1" customHeight="1">
      <c r="A25" s="357" t="s">
        <v>243</v>
      </c>
      <c r="B25" s="358">
        <f>'- 56 -'!$F25</f>
        <v>71459829</v>
      </c>
      <c r="C25" s="358">
        <v>21159138</v>
      </c>
      <c r="D25" s="358">
        <v>5796298</v>
      </c>
      <c r="E25" s="358">
        <v>4838100</v>
      </c>
      <c r="F25" s="358">
        <f t="shared" si="0"/>
        <v>103253365</v>
      </c>
      <c r="G25" s="358">
        <v>198340</v>
      </c>
      <c r="H25" s="358">
        <f t="shared" si="1"/>
        <v>103451705</v>
      </c>
      <c r="I25" s="359">
        <f>H25/'- 44 -'!$I25*100</f>
        <v>64.171006481239274</v>
      </c>
    </row>
    <row r="26" spans="1:9" ht="14.1" customHeight="1">
      <c r="A26" s="23" t="s">
        <v>244</v>
      </c>
      <c r="B26" s="24">
        <f>'- 56 -'!$F26</f>
        <v>21996421</v>
      </c>
      <c r="C26" s="24">
        <v>3491157</v>
      </c>
      <c r="D26" s="24">
        <v>690240</v>
      </c>
      <c r="E26" s="24">
        <v>814308</v>
      </c>
      <c r="F26" s="24">
        <f t="shared" si="0"/>
        <v>26992126</v>
      </c>
      <c r="G26" s="24">
        <v>0</v>
      </c>
      <c r="H26" s="24">
        <f t="shared" si="1"/>
        <v>26992126</v>
      </c>
      <c r="I26" s="350">
        <f>H26/'- 44 -'!$I26*100</f>
        <v>67.923139910647464</v>
      </c>
    </row>
    <row r="27" spans="1:9" ht="14.1" customHeight="1">
      <c r="A27" s="357" t="s">
        <v>245</v>
      </c>
      <c r="B27" s="358">
        <f>'- 56 -'!$F27</f>
        <v>26615493</v>
      </c>
      <c r="C27" s="358">
        <v>1716537</v>
      </c>
      <c r="D27" s="358">
        <v>1060870</v>
      </c>
      <c r="E27" s="358">
        <v>901101</v>
      </c>
      <c r="F27" s="358">
        <f t="shared" si="0"/>
        <v>30294001</v>
      </c>
      <c r="G27" s="358">
        <v>29000</v>
      </c>
      <c r="H27" s="358">
        <f t="shared" si="1"/>
        <v>30323001</v>
      </c>
      <c r="I27" s="359">
        <f>H27/'- 44 -'!$I27*100</f>
        <v>76.444867314600529</v>
      </c>
    </row>
    <row r="28" spans="1:9" ht="14.1" customHeight="1">
      <c r="A28" s="23" t="s">
        <v>246</v>
      </c>
      <c r="B28" s="24">
        <f>'- 56 -'!$F28</f>
        <v>10728551</v>
      </c>
      <c r="C28" s="24">
        <v>1510682</v>
      </c>
      <c r="D28" s="24">
        <v>790381</v>
      </c>
      <c r="E28" s="24">
        <v>561733</v>
      </c>
      <c r="F28" s="24">
        <f t="shared" si="0"/>
        <v>13591347</v>
      </c>
      <c r="G28" s="24">
        <v>0</v>
      </c>
      <c r="H28" s="24">
        <f t="shared" si="1"/>
        <v>13591347</v>
      </c>
      <c r="I28" s="350">
        <f>H28/'- 44 -'!$I28*100</f>
        <v>49.373008587763486</v>
      </c>
    </row>
    <row r="29" spans="1:9" ht="14.1" customHeight="1">
      <c r="A29" s="357" t="s">
        <v>247</v>
      </c>
      <c r="B29" s="358">
        <f>'- 56 -'!$F29</f>
        <v>54037109</v>
      </c>
      <c r="C29" s="358">
        <v>20013931</v>
      </c>
      <c r="D29" s="358">
        <v>4816705</v>
      </c>
      <c r="E29" s="358">
        <v>3383869</v>
      </c>
      <c r="F29" s="358">
        <f t="shared" si="0"/>
        <v>82251614</v>
      </c>
      <c r="G29" s="358">
        <v>154834</v>
      </c>
      <c r="H29" s="358">
        <f t="shared" si="1"/>
        <v>82406448</v>
      </c>
      <c r="I29" s="359">
        <f>H29/'- 44 -'!$I29*100</f>
        <v>54.84941658631589</v>
      </c>
    </row>
    <row r="30" spans="1:9" ht="14.1" customHeight="1">
      <c r="A30" s="23" t="s">
        <v>248</v>
      </c>
      <c r="B30" s="24">
        <f>'- 56 -'!$F30</f>
        <v>7554228</v>
      </c>
      <c r="C30" s="24">
        <v>921185</v>
      </c>
      <c r="D30" s="24">
        <v>331588</v>
      </c>
      <c r="E30" s="24">
        <v>262131</v>
      </c>
      <c r="F30" s="24">
        <f t="shared" si="0"/>
        <v>9069132</v>
      </c>
      <c r="G30" s="24">
        <v>0</v>
      </c>
      <c r="H30" s="24">
        <f t="shared" si="1"/>
        <v>9069132</v>
      </c>
      <c r="I30" s="350">
        <f>H30/'- 44 -'!$I30*100</f>
        <v>67.654315277649829</v>
      </c>
    </row>
    <row r="31" spans="1:9" ht="14.1" customHeight="1">
      <c r="A31" s="357" t="s">
        <v>249</v>
      </c>
      <c r="B31" s="358">
        <f>'- 56 -'!$F31</f>
        <v>18297737</v>
      </c>
      <c r="C31" s="358">
        <v>3059375</v>
      </c>
      <c r="D31" s="358">
        <v>520473</v>
      </c>
      <c r="E31" s="358">
        <v>768103</v>
      </c>
      <c r="F31" s="358">
        <f t="shared" si="0"/>
        <v>22645688</v>
      </c>
      <c r="G31" s="358">
        <v>0</v>
      </c>
      <c r="H31" s="358">
        <f t="shared" si="1"/>
        <v>22645688</v>
      </c>
      <c r="I31" s="359">
        <f>H31/'- 44 -'!$I31*100</f>
        <v>63.430360957506338</v>
      </c>
    </row>
    <row r="32" spans="1:9" ht="14.1" customHeight="1">
      <c r="A32" s="23" t="s">
        <v>250</v>
      </c>
      <c r="B32" s="24">
        <f>'- 56 -'!$F32</f>
        <v>12426195</v>
      </c>
      <c r="C32" s="24">
        <v>2281526</v>
      </c>
      <c r="D32" s="24">
        <v>1118859</v>
      </c>
      <c r="E32" s="24">
        <v>629780</v>
      </c>
      <c r="F32" s="24">
        <f t="shared" si="0"/>
        <v>16456360</v>
      </c>
      <c r="G32" s="24">
        <v>332250</v>
      </c>
      <c r="H32" s="24">
        <f t="shared" si="1"/>
        <v>16788610</v>
      </c>
      <c r="I32" s="350">
        <f>H32/'- 44 -'!$I32*100</f>
        <v>61.912259634975811</v>
      </c>
    </row>
    <row r="33" spans="1:9" ht="14.1" customHeight="1">
      <c r="A33" s="357" t="s">
        <v>251</v>
      </c>
      <c r="B33" s="358">
        <f>'- 56 -'!$F33</f>
        <v>14145601</v>
      </c>
      <c r="C33" s="358">
        <v>1864794</v>
      </c>
      <c r="D33" s="358">
        <v>810574</v>
      </c>
      <c r="E33" s="358">
        <v>665124</v>
      </c>
      <c r="F33" s="358">
        <f t="shared" si="0"/>
        <v>17486093</v>
      </c>
      <c r="G33" s="358">
        <v>0</v>
      </c>
      <c r="H33" s="358">
        <f t="shared" si="1"/>
        <v>17486093</v>
      </c>
      <c r="I33" s="359">
        <f>H33/'- 44 -'!$I33*100</f>
        <v>62.375150037906103</v>
      </c>
    </row>
    <row r="34" spans="1:9" ht="14.1" customHeight="1">
      <c r="A34" s="23" t="s">
        <v>252</v>
      </c>
      <c r="B34" s="24">
        <f>'- 56 -'!$F34</f>
        <v>12407625</v>
      </c>
      <c r="C34" s="24">
        <v>2017619</v>
      </c>
      <c r="D34" s="24">
        <v>691503</v>
      </c>
      <c r="E34" s="24">
        <v>656287</v>
      </c>
      <c r="F34" s="24">
        <f t="shared" si="0"/>
        <v>15773034</v>
      </c>
      <c r="G34" s="24">
        <v>0</v>
      </c>
      <c r="H34" s="24">
        <f t="shared" si="1"/>
        <v>15773034</v>
      </c>
      <c r="I34" s="350">
        <f>H34/'- 44 -'!$I34*100</f>
        <v>58.773956959208284</v>
      </c>
    </row>
    <row r="35" spans="1:9" ht="14.1" customHeight="1">
      <c r="A35" s="357" t="s">
        <v>253</v>
      </c>
      <c r="B35" s="358">
        <f>'- 56 -'!$F35</f>
        <v>89459820</v>
      </c>
      <c r="C35" s="358">
        <v>23176921</v>
      </c>
      <c r="D35" s="358">
        <v>1469005</v>
      </c>
      <c r="E35" s="358">
        <v>4782165</v>
      </c>
      <c r="F35" s="358">
        <f t="shared" si="0"/>
        <v>118887911</v>
      </c>
      <c r="G35" s="358">
        <v>0</v>
      </c>
      <c r="H35" s="358">
        <f t="shared" si="1"/>
        <v>118887911</v>
      </c>
      <c r="I35" s="359">
        <f>H35/'- 44 -'!$I35*100</f>
        <v>69.062259887668603</v>
      </c>
    </row>
    <row r="36" spans="1:9" ht="14.1" customHeight="1">
      <c r="A36" s="23" t="s">
        <v>254</v>
      </c>
      <c r="B36" s="24">
        <f>'- 56 -'!$F36</f>
        <v>10178909</v>
      </c>
      <c r="C36" s="24">
        <v>2033790</v>
      </c>
      <c r="D36" s="24">
        <v>760955</v>
      </c>
      <c r="E36" s="24">
        <v>493046</v>
      </c>
      <c r="F36" s="24">
        <f t="shared" si="0"/>
        <v>13466700</v>
      </c>
      <c r="G36" s="24">
        <v>0</v>
      </c>
      <c r="H36" s="24">
        <f t="shared" si="1"/>
        <v>13466700</v>
      </c>
      <c r="I36" s="350">
        <f>H36/'- 44 -'!$I36*100</f>
        <v>59.222074533874689</v>
      </c>
    </row>
    <row r="37" spans="1:9" ht="14.1" customHeight="1">
      <c r="A37" s="357" t="s">
        <v>255</v>
      </c>
      <c r="B37" s="358">
        <f>'- 56 -'!$F37</f>
        <v>25705697</v>
      </c>
      <c r="C37" s="358">
        <v>4347974</v>
      </c>
      <c r="D37" s="358">
        <v>2020399</v>
      </c>
      <c r="E37" s="358">
        <v>845813</v>
      </c>
      <c r="F37" s="358">
        <f t="shared" si="0"/>
        <v>32919883</v>
      </c>
      <c r="G37" s="358">
        <v>0</v>
      </c>
      <c r="H37" s="358">
        <f t="shared" si="1"/>
        <v>32919883</v>
      </c>
      <c r="I37" s="359">
        <f>H37/'- 44 -'!$I37*100</f>
        <v>71.530752683499202</v>
      </c>
    </row>
    <row r="38" spans="1:9" ht="14.1" customHeight="1">
      <c r="A38" s="23" t="s">
        <v>256</v>
      </c>
      <c r="B38" s="24">
        <f>'- 56 -'!$F38</f>
        <v>66983240</v>
      </c>
      <c r="C38" s="24">
        <v>12175040</v>
      </c>
      <c r="D38" s="24">
        <v>5356962</v>
      </c>
      <c r="E38" s="24">
        <v>2666079</v>
      </c>
      <c r="F38" s="24">
        <f t="shared" si="0"/>
        <v>87181321</v>
      </c>
      <c r="G38" s="24">
        <v>1436700</v>
      </c>
      <c r="H38" s="24">
        <f t="shared" si="1"/>
        <v>88618021</v>
      </c>
      <c r="I38" s="350">
        <f>H38/'- 44 -'!$I38*100</f>
        <v>70.608098137727595</v>
      </c>
    </row>
    <row r="39" spans="1:9" ht="14.1" customHeight="1">
      <c r="A39" s="357" t="s">
        <v>257</v>
      </c>
      <c r="B39" s="358">
        <f>'- 56 -'!$F39</f>
        <v>9162415</v>
      </c>
      <c r="C39" s="358">
        <v>1580407</v>
      </c>
      <c r="D39" s="358">
        <v>758456</v>
      </c>
      <c r="E39" s="358">
        <v>435268</v>
      </c>
      <c r="F39" s="358">
        <f t="shared" si="0"/>
        <v>11936546</v>
      </c>
      <c r="G39" s="358">
        <v>166015</v>
      </c>
      <c r="H39" s="358">
        <f t="shared" si="1"/>
        <v>12102561</v>
      </c>
      <c r="I39" s="359">
        <f>H39/'- 44 -'!$I39*100</f>
        <v>56.796677881558658</v>
      </c>
    </row>
    <row r="40" spans="1:9" ht="14.1" customHeight="1">
      <c r="A40" s="23" t="s">
        <v>258</v>
      </c>
      <c r="B40" s="24">
        <f>'- 56 -'!$F40</f>
        <v>38848015</v>
      </c>
      <c r="C40" s="24">
        <v>12789052</v>
      </c>
      <c r="D40" s="24">
        <v>3449278</v>
      </c>
      <c r="E40" s="24">
        <v>2785016</v>
      </c>
      <c r="F40" s="24">
        <f t="shared" si="0"/>
        <v>57871361</v>
      </c>
      <c r="G40" s="24">
        <v>19800</v>
      </c>
      <c r="H40" s="24">
        <f t="shared" si="1"/>
        <v>57891161</v>
      </c>
      <c r="I40" s="350">
        <f>H40/'- 44 -'!$I40*100</f>
        <v>57.666368844289629</v>
      </c>
    </row>
    <row r="41" spans="1:9" ht="14.1" customHeight="1">
      <c r="A41" s="357" t="s">
        <v>259</v>
      </c>
      <c r="B41" s="358">
        <f>'- 56 -'!$F41</f>
        <v>25668340</v>
      </c>
      <c r="C41" s="358">
        <v>6544324</v>
      </c>
      <c r="D41" s="358">
        <v>2932135</v>
      </c>
      <c r="E41" s="358">
        <v>1236891</v>
      </c>
      <c r="F41" s="358">
        <f t="shared" si="0"/>
        <v>36381690</v>
      </c>
      <c r="G41" s="358">
        <v>980175</v>
      </c>
      <c r="H41" s="358">
        <f t="shared" si="1"/>
        <v>37361865</v>
      </c>
      <c r="I41" s="359">
        <f>H41/'- 44 -'!$I41*100</f>
        <v>61.109403171831879</v>
      </c>
    </row>
    <row r="42" spans="1:9" ht="14.1" customHeight="1">
      <c r="A42" s="23" t="s">
        <v>260</v>
      </c>
      <c r="B42" s="24">
        <f>'- 56 -'!$F42</f>
        <v>11721785</v>
      </c>
      <c r="C42" s="24">
        <v>1574111</v>
      </c>
      <c r="D42" s="24">
        <v>1056497</v>
      </c>
      <c r="E42" s="24">
        <v>406854</v>
      </c>
      <c r="F42" s="24">
        <f t="shared" si="0"/>
        <v>14759247</v>
      </c>
      <c r="G42" s="24">
        <v>41000</v>
      </c>
      <c r="H42" s="24">
        <f t="shared" si="1"/>
        <v>14800247</v>
      </c>
      <c r="I42" s="350">
        <f>H42/'- 44 -'!$I42*100</f>
        <v>72.16712202710552</v>
      </c>
    </row>
    <row r="43" spans="1:9" ht="14.1" customHeight="1">
      <c r="A43" s="357" t="s">
        <v>261</v>
      </c>
      <c r="B43" s="358">
        <f>'- 56 -'!$F43</f>
        <v>6036108</v>
      </c>
      <c r="C43" s="358">
        <v>1205985</v>
      </c>
      <c r="D43" s="358">
        <v>0</v>
      </c>
      <c r="E43" s="358">
        <v>222300</v>
      </c>
      <c r="F43" s="358">
        <f t="shared" si="0"/>
        <v>7464393</v>
      </c>
      <c r="G43" s="358">
        <v>175100</v>
      </c>
      <c r="H43" s="358">
        <f t="shared" si="1"/>
        <v>7639493</v>
      </c>
      <c r="I43" s="359">
        <f>H43/'- 44 -'!$I43*100</f>
        <v>60.239602360697518</v>
      </c>
    </row>
    <row r="44" spans="1:9" ht="14.1" customHeight="1">
      <c r="A44" s="23" t="s">
        <v>262</v>
      </c>
      <c r="B44" s="24">
        <f>'- 56 -'!$F44</f>
        <v>7234543</v>
      </c>
      <c r="C44" s="24">
        <v>651103</v>
      </c>
      <c r="D44" s="24">
        <v>453648</v>
      </c>
      <c r="E44" s="24">
        <v>290909</v>
      </c>
      <c r="F44" s="24">
        <f t="shared" si="0"/>
        <v>8630203</v>
      </c>
      <c r="G44" s="24">
        <v>0</v>
      </c>
      <c r="H44" s="24">
        <f t="shared" si="1"/>
        <v>8630203</v>
      </c>
      <c r="I44" s="350">
        <f>H44/'- 44 -'!$I44*100</f>
        <v>78.069965869844054</v>
      </c>
    </row>
    <row r="45" spans="1:9" ht="14.1" customHeight="1">
      <c r="A45" s="357" t="s">
        <v>263</v>
      </c>
      <c r="B45" s="358">
        <f>'- 56 -'!$F45</f>
        <v>9536000</v>
      </c>
      <c r="C45" s="358">
        <v>1864076</v>
      </c>
      <c r="D45" s="358">
        <v>0</v>
      </c>
      <c r="E45" s="358">
        <v>332157</v>
      </c>
      <c r="F45" s="358">
        <f t="shared" si="0"/>
        <v>11732233</v>
      </c>
      <c r="G45" s="358">
        <v>395500</v>
      </c>
      <c r="H45" s="358">
        <f t="shared" si="1"/>
        <v>12127733</v>
      </c>
      <c r="I45" s="359">
        <f>H45/'- 44 -'!$I45*100</f>
        <v>66.81034402024892</v>
      </c>
    </row>
    <row r="46" spans="1:9" ht="14.1" customHeight="1">
      <c r="A46" s="23" t="s">
        <v>264</v>
      </c>
      <c r="B46" s="24">
        <f>'- 56 -'!$F46</f>
        <v>179257700</v>
      </c>
      <c r="C46" s="24">
        <v>29925934</v>
      </c>
      <c r="D46" s="24">
        <v>9487428</v>
      </c>
      <c r="E46" s="24">
        <v>16005200</v>
      </c>
      <c r="F46" s="24">
        <f t="shared" si="0"/>
        <v>234676262</v>
      </c>
      <c r="G46" s="24">
        <v>756700</v>
      </c>
      <c r="H46" s="24">
        <f t="shared" si="1"/>
        <v>235432962</v>
      </c>
      <c r="I46" s="350">
        <f>H46/'- 44 -'!$I46*100</f>
        <v>62.943022349932384</v>
      </c>
    </row>
    <row r="47" spans="1:9" ht="5.0999999999999996" customHeight="1">
      <c r="A47"/>
      <c r="B47"/>
      <c r="C47"/>
      <c r="D47"/>
      <c r="E47"/>
      <c r="F47"/>
      <c r="G47"/>
      <c r="H47"/>
      <c r="I47"/>
    </row>
    <row r="48" spans="1:9" ht="14.1" customHeight="1">
      <c r="A48" s="360" t="s">
        <v>265</v>
      </c>
      <c r="B48" s="361">
        <f t="shared" ref="B48:H48" si="2">SUM(B11:B46)</f>
        <v>1029399415</v>
      </c>
      <c r="C48" s="361">
        <f t="shared" si="2"/>
        <v>198238868</v>
      </c>
      <c r="D48" s="361">
        <f>SUM(D11:D46)</f>
        <v>61418327</v>
      </c>
      <c r="E48" s="361">
        <f t="shared" si="2"/>
        <v>81353993</v>
      </c>
      <c r="F48" s="361">
        <f t="shared" si="2"/>
        <v>1370410603</v>
      </c>
      <c r="G48" s="361">
        <f t="shared" si="2"/>
        <v>8866945</v>
      </c>
      <c r="H48" s="361">
        <f t="shared" si="2"/>
        <v>1379277548</v>
      </c>
      <c r="I48" s="362">
        <f>H48/'- 44 -'!$I48*100</f>
        <v>63.165744484679884</v>
      </c>
    </row>
    <row r="49" spans="1:9" ht="5.0999999999999996" customHeight="1">
      <c r="A49" s="25" t="s">
        <v>3</v>
      </c>
      <c r="B49" s="26"/>
      <c r="C49" s="26"/>
      <c r="D49" s="26"/>
      <c r="E49" s="26"/>
      <c r="F49" s="26"/>
      <c r="G49" s="26"/>
      <c r="H49" s="26"/>
      <c r="I49" s="349"/>
    </row>
    <row r="50" spans="1:9" ht="14.1" customHeight="1">
      <c r="A50" s="23" t="s">
        <v>266</v>
      </c>
      <c r="B50" s="24">
        <f>'- 56 -'!$F50</f>
        <v>931141</v>
      </c>
      <c r="C50" s="24">
        <v>373915</v>
      </c>
      <c r="D50" s="24">
        <v>24000</v>
      </c>
      <c r="E50" s="24">
        <v>113343</v>
      </c>
      <c r="F50" s="24">
        <f>SUM(B50:E50)</f>
        <v>1442399</v>
      </c>
      <c r="G50" s="24">
        <v>0</v>
      </c>
      <c r="H50" s="24">
        <f>SUM(F50,G50)</f>
        <v>1442399</v>
      </c>
      <c r="I50" s="350">
        <f>H50/'- 44 -'!$I50*100</f>
        <v>42.169638774577045</v>
      </c>
    </row>
    <row r="51" spans="1:9" ht="14.1" customHeight="1">
      <c r="A51" s="511" t="s">
        <v>691</v>
      </c>
      <c r="B51" s="358">
        <f>'- 56 -'!$F51</f>
        <v>97096</v>
      </c>
      <c r="C51" s="358">
        <v>0</v>
      </c>
      <c r="D51" s="358">
        <v>0</v>
      </c>
      <c r="E51" s="358">
        <v>5161052</v>
      </c>
      <c r="F51" s="358">
        <f>SUM(B51:E51)</f>
        <v>5258148</v>
      </c>
      <c r="G51" s="358">
        <v>3561149</v>
      </c>
      <c r="H51" s="358">
        <f>SUM(F51,G51)</f>
        <v>8819297</v>
      </c>
      <c r="I51" s="359">
        <f>H51/'- 44 -'!$I51*100</f>
        <v>36.873052225392918</v>
      </c>
    </row>
    <row r="52" spans="1:9" ht="50.1" customHeight="1">
      <c r="A52" s="27"/>
      <c r="B52" s="27"/>
      <c r="C52" s="27"/>
      <c r="D52" s="27"/>
      <c r="E52" s="27"/>
      <c r="F52" s="27"/>
      <c r="G52" s="27"/>
      <c r="H52" s="27"/>
      <c r="I52" s="27"/>
    </row>
    <row r="53" spans="1:9" ht="15" customHeight="1">
      <c r="A53" s="2" t="s">
        <v>588</v>
      </c>
      <c r="E53" s="39"/>
      <c r="F53" s="253"/>
      <c r="G53" s="253"/>
      <c r="H53" s="253"/>
      <c r="I53" s="253"/>
    </row>
    <row r="54" spans="1:9" ht="12" customHeight="1">
      <c r="A54" s="2" t="s">
        <v>611</v>
      </c>
      <c r="E54" s="39"/>
      <c r="F54" s="253"/>
      <c r="G54" s="253"/>
      <c r="H54" s="253"/>
      <c r="I54" s="253"/>
    </row>
    <row r="55" spans="1:9" ht="12" customHeight="1">
      <c r="A55" s="154" t="s">
        <v>612</v>
      </c>
      <c r="E55" s="39"/>
      <c r="F55" s="253"/>
      <c r="G55" s="253"/>
      <c r="H55" s="253"/>
      <c r="I55" s="253"/>
    </row>
    <row r="56" spans="1:9" ht="12" customHeight="1">
      <c r="A56" s="505" t="s">
        <v>693</v>
      </c>
      <c r="E56" s="39"/>
      <c r="F56" s="253"/>
      <c r="G56" s="253"/>
      <c r="H56" s="253"/>
      <c r="I56" s="253"/>
    </row>
    <row r="57" spans="1:9" ht="12" customHeight="1">
      <c r="A57" s="505" t="s">
        <v>694</v>
      </c>
      <c r="E57" s="39"/>
      <c r="F57" s="253"/>
      <c r="G57" s="253"/>
      <c r="H57" s="253"/>
      <c r="I57" s="253"/>
    </row>
    <row r="58" spans="1:9" ht="12" customHeight="1">
      <c r="A58" s="617" t="s">
        <v>652</v>
      </c>
      <c r="B58" s="534"/>
      <c r="C58" s="534"/>
      <c r="D58" s="534"/>
      <c r="E58" s="618"/>
      <c r="F58" s="619"/>
      <c r="G58" s="619"/>
      <c r="H58" s="619"/>
      <c r="I58" s="619"/>
    </row>
    <row r="59" spans="1:9" ht="12" customHeight="1">
      <c r="A59" s="617" t="s">
        <v>653</v>
      </c>
      <c r="B59" s="534"/>
      <c r="C59" s="534"/>
      <c r="D59" s="534"/>
      <c r="E59" s="618"/>
      <c r="F59" s="619"/>
      <c r="G59" s="619"/>
      <c r="H59" s="619"/>
      <c r="I59" s="619"/>
    </row>
    <row r="60" spans="1:9" ht="12" customHeight="1">
      <c r="A60" s="505" t="s">
        <v>673</v>
      </c>
      <c r="B60" s="115"/>
      <c r="C60" s="115"/>
      <c r="D60" s="115"/>
      <c r="E60" s="115"/>
      <c r="F60" s="115"/>
      <c r="G60" s="115"/>
      <c r="H60" s="115"/>
      <c r="I60" s="115"/>
    </row>
    <row r="61" spans="1:9" ht="14.45" customHeight="1">
      <c r="A61" s="2" t="s">
        <v>589</v>
      </c>
      <c r="B61" s="115"/>
      <c r="C61" s="115"/>
      <c r="D61" s="115"/>
      <c r="E61" s="115"/>
      <c r="F61" s="115"/>
      <c r="G61" s="115"/>
      <c r="H61" s="115"/>
      <c r="I61" s="115"/>
    </row>
    <row r="62" spans="1:9">
      <c r="A62" s="624" t="e">
        <f>"(6)  Total provincial contribution to public education is "&amp;TEXT(#REF!,"0.0%")&amp;". See page i for more details."</f>
        <v>#REF!</v>
      </c>
    </row>
  </sheetData>
  <phoneticPr fontId="0" type="noConversion"/>
  <printOptions horizontalCentered="1"/>
  <pageMargins left="0.51181102362204722" right="0.51181102362204722" top="0.59055118110236227" bottom="0" header="0.31496062992125984" footer="0"/>
  <pageSetup scale="82" orientation="portrait" r:id="rId1"/>
  <headerFooter alignWithMargins="0">
    <oddHeader>&amp;C&amp;"Arial,Bold"&amp;10&amp;A</oddHeader>
  </headerFooter>
</worksheet>
</file>

<file path=xl/worksheets/sheet38.xml><?xml version="1.0" encoding="utf-8"?>
<worksheet xmlns="http://schemas.openxmlformats.org/spreadsheetml/2006/main" xmlns:r="http://schemas.openxmlformats.org/officeDocument/2006/relationships">
  <sheetPr codeName="Sheet37"/>
  <dimension ref="A1:I59"/>
  <sheetViews>
    <sheetView showGridLines="0" showZeros="0" workbookViewId="0"/>
  </sheetViews>
  <sheetFormatPr defaultColWidth="15.83203125" defaultRowHeight="12"/>
  <cols>
    <col min="1" max="1" width="33.83203125" style="1" customWidth="1"/>
    <col min="2" max="2" width="16.83203125" style="1" customWidth="1"/>
    <col min="3" max="3" width="8.83203125" style="1" customWidth="1"/>
    <col min="4" max="4" width="15.83203125" style="1"/>
    <col min="5" max="5" width="8.83203125" style="1" customWidth="1"/>
    <col min="6" max="6" width="15.83203125" style="1"/>
    <col min="7" max="7" width="8.83203125" style="1" customWidth="1"/>
    <col min="8" max="8" width="15.83203125" style="1"/>
    <col min="9" max="9" width="8.83203125" style="1" customWidth="1"/>
    <col min="10" max="16384" width="15.83203125" style="1"/>
  </cols>
  <sheetData>
    <row r="1" spans="1:9" ht="6.95" customHeight="1">
      <c r="A1" s="3"/>
    </row>
    <row r="2" spans="1:9" ht="15.95" customHeight="1">
      <c r="A2" s="246"/>
      <c r="B2" s="73" t="str">
        <f>REVYEAR</f>
        <v>ANALYSIS OF OPERATING FUND REVENUE: 2014/2015 BUDGET</v>
      </c>
      <c r="C2" s="128"/>
      <c r="D2" s="128"/>
      <c r="E2" s="128"/>
      <c r="F2" s="128"/>
      <c r="G2" s="256"/>
      <c r="H2" s="257"/>
      <c r="I2" s="248" t="s">
        <v>4</v>
      </c>
    </row>
    <row r="3" spans="1:9" ht="15.95" customHeight="1">
      <c r="A3" s="243"/>
    </row>
    <row r="4" spans="1:9" ht="15.95" customHeight="1">
      <c r="B4" s="4"/>
      <c r="C4" s="4"/>
      <c r="D4" s="4"/>
      <c r="E4" s="4"/>
      <c r="F4" s="4"/>
      <c r="G4" s="4"/>
      <c r="H4" s="4"/>
      <c r="I4" s="75"/>
    </row>
    <row r="5" spans="1:9" ht="15.95" customHeight="1">
      <c r="B5" s="4"/>
      <c r="C5" s="4"/>
      <c r="D5" s="4"/>
      <c r="E5" s="4"/>
      <c r="F5" s="4"/>
      <c r="G5" s="4"/>
      <c r="H5" s="4"/>
      <c r="I5" s="4"/>
    </row>
    <row r="6" spans="1:9" ht="15.95" customHeight="1">
      <c r="B6" s="4"/>
      <c r="C6" s="4"/>
      <c r="D6" s="4"/>
      <c r="E6" s="4"/>
      <c r="F6" s="4"/>
      <c r="G6" s="4"/>
      <c r="H6" s="4"/>
      <c r="I6" s="4"/>
    </row>
    <row r="7" spans="1:9" ht="15.95" customHeight="1">
      <c r="B7" s="351" t="s">
        <v>103</v>
      </c>
      <c r="C7" s="353"/>
      <c r="D7" s="352" t="s">
        <v>104</v>
      </c>
      <c r="E7" s="353"/>
      <c r="F7" s="352" t="s">
        <v>105</v>
      </c>
      <c r="G7" s="353"/>
      <c r="H7" s="364"/>
      <c r="I7" s="353"/>
    </row>
    <row r="8" spans="1:9" ht="15.95" customHeight="1">
      <c r="A8" s="102"/>
      <c r="B8" s="355" t="s">
        <v>122</v>
      </c>
      <c r="C8" s="356"/>
      <c r="D8" s="355" t="s">
        <v>413</v>
      </c>
      <c r="E8" s="356"/>
      <c r="F8" s="355" t="s">
        <v>123</v>
      </c>
      <c r="G8" s="356"/>
      <c r="H8" s="355" t="s">
        <v>124</v>
      </c>
      <c r="I8" s="356"/>
    </row>
    <row r="9" spans="1:9" ht="15.95" customHeight="1">
      <c r="A9" s="35" t="s">
        <v>81</v>
      </c>
      <c r="B9" s="192" t="s">
        <v>126</v>
      </c>
      <c r="C9" s="244" t="s">
        <v>83</v>
      </c>
      <c r="D9" s="244" t="s">
        <v>126</v>
      </c>
      <c r="E9" s="244" t="s">
        <v>83</v>
      </c>
      <c r="F9" s="244" t="s">
        <v>126</v>
      </c>
      <c r="G9" s="244" t="s">
        <v>83</v>
      </c>
      <c r="H9" s="255" t="s">
        <v>126</v>
      </c>
      <c r="I9" s="255" t="s">
        <v>83</v>
      </c>
    </row>
    <row r="10" spans="1:9" ht="5.0999999999999996" customHeight="1">
      <c r="A10" s="37"/>
      <c r="B10" s="245"/>
      <c r="C10" s="245"/>
      <c r="D10" s="245"/>
      <c r="E10" s="245"/>
      <c r="F10" s="245"/>
      <c r="G10" s="245"/>
      <c r="H10" s="245"/>
      <c r="I10" s="245"/>
    </row>
    <row r="11" spans="1:9" ht="14.1" customHeight="1">
      <c r="A11" s="357" t="s">
        <v>230</v>
      </c>
      <c r="B11" s="358">
        <v>0</v>
      </c>
      <c r="C11" s="359">
        <f>B11/'- 44 -'!$I11*100</f>
        <v>0</v>
      </c>
      <c r="D11" s="358">
        <v>6200000</v>
      </c>
      <c r="E11" s="359">
        <f>D11/'- 44 -'!$I11*100</f>
        <v>35.27446434872472</v>
      </c>
      <c r="F11" s="358">
        <v>50000</v>
      </c>
      <c r="G11" s="359">
        <f>F11/'- 44 -'!$I11*100</f>
        <v>0.28447148668326383</v>
      </c>
      <c r="H11" s="358">
        <v>21000</v>
      </c>
      <c r="I11" s="359">
        <f>H11/'- 44 -'!$I11*100</f>
        <v>0.11947802440697083</v>
      </c>
    </row>
    <row r="12" spans="1:9" ht="14.1" customHeight="1">
      <c r="A12" s="23" t="s">
        <v>231</v>
      </c>
      <c r="B12" s="24">
        <v>288079</v>
      </c>
      <c r="C12" s="350">
        <f>B12/'- 44 -'!$I12*100</f>
        <v>0.90163561926256908</v>
      </c>
      <c r="D12" s="24">
        <v>9143345</v>
      </c>
      <c r="E12" s="350">
        <f>D12/'- 44 -'!$I12*100</f>
        <v>28.617030506237235</v>
      </c>
      <c r="F12" s="24">
        <v>348003</v>
      </c>
      <c r="G12" s="350">
        <f>F12/'- 44 -'!$I12*100</f>
        <v>1.0891869952694639</v>
      </c>
      <c r="H12" s="24">
        <v>100000</v>
      </c>
      <c r="I12" s="350">
        <f>H12/'- 44 -'!$I12*100</f>
        <v>0.31298207063429451</v>
      </c>
    </row>
    <row r="13" spans="1:9" ht="14.1" customHeight="1">
      <c r="A13" s="357" t="s">
        <v>232</v>
      </c>
      <c r="B13" s="358">
        <v>20000</v>
      </c>
      <c r="C13" s="359">
        <f>B13/'- 44 -'!$I13*100</f>
        <v>2.230818308772024E-2</v>
      </c>
      <c r="D13" s="358">
        <v>32273600</v>
      </c>
      <c r="E13" s="359">
        <f>D13/'- 44 -'!$I13*100</f>
        <v>35.998268884992392</v>
      </c>
      <c r="F13" s="358">
        <v>307000</v>
      </c>
      <c r="G13" s="359">
        <f>F13/'- 44 -'!$I13*100</f>
        <v>0.34243061039650563</v>
      </c>
      <c r="H13" s="358">
        <v>266500</v>
      </c>
      <c r="I13" s="359">
        <f>H13/'- 44 -'!$I13*100</f>
        <v>0.29725653964387216</v>
      </c>
    </row>
    <row r="14" spans="1:9" ht="14.1" customHeight="1">
      <c r="A14" s="23" t="s">
        <v>566</v>
      </c>
      <c r="B14" s="24">
        <v>55000</v>
      </c>
      <c r="C14" s="350">
        <f>B14/'- 44 -'!$I14*100</f>
        <v>6.9568021670008695E-2</v>
      </c>
      <c r="D14" s="24">
        <v>19318575</v>
      </c>
      <c r="E14" s="350">
        <f>D14/'- 44 -'!$I14*100</f>
        <v>24.435546258794329</v>
      </c>
      <c r="F14" s="24">
        <v>1378065</v>
      </c>
      <c r="G14" s="350">
        <f>F14/'- 44 -'!$I14*100</f>
        <v>1.7430773778669189</v>
      </c>
      <c r="H14" s="24">
        <v>0</v>
      </c>
      <c r="I14" s="350">
        <f>H14/'- 44 -'!$I14*100</f>
        <v>0</v>
      </c>
    </row>
    <row r="15" spans="1:9" ht="14.1" customHeight="1">
      <c r="A15" s="357" t="s">
        <v>233</v>
      </c>
      <c r="B15" s="358">
        <v>0</v>
      </c>
      <c r="C15" s="359">
        <f>B15/'- 44 -'!$I15*100</f>
        <v>0</v>
      </c>
      <c r="D15" s="358">
        <v>7263500</v>
      </c>
      <c r="E15" s="359">
        <f>D15/'- 44 -'!$I15*100</f>
        <v>35.936396313910791</v>
      </c>
      <c r="F15" s="358">
        <v>55000</v>
      </c>
      <c r="G15" s="359">
        <f>F15/'- 44 -'!$I15*100</f>
        <v>0.27211424206857487</v>
      </c>
      <c r="H15" s="358">
        <v>60000</v>
      </c>
      <c r="I15" s="359">
        <f>H15/'- 44 -'!$I15*100</f>
        <v>0.29685190043844528</v>
      </c>
    </row>
    <row r="16" spans="1:9" ht="14.1" customHeight="1">
      <c r="A16" s="23" t="s">
        <v>234</v>
      </c>
      <c r="B16" s="24">
        <v>0</v>
      </c>
      <c r="C16" s="350">
        <f>B16/'- 44 -'!$I16*100</f>
        <v>0</v>
      </c>
      <c r="D16" s="24">
        <v>3180005</v>
      </c>
      <c r="E16" s="350">
        <f>D16/'- 44 -'!$I16*100</f>
        <v>22.909233184505197</v>
      </c>
      <c r="F16" s="24">
        <v>195161</v>
      </c>
      <c r="G16" s="350">
        <f>F16/'- 44 -'!$I16*100</f>
        <v>1.4059691281998674</v>
      </c>
      <c r="H16" s="24">
        <v>0</v>
      </c>
      <c r="I16" s="350">
        <f>H16/'- 44 -'!$I16*100</f>
        <v>0</v>
      </c>
    </row>
    <row r="17" spans="1:9" ht="14.1" customHeight="1">
      <c r="A17" s="357" t="s">
        <v>235</v>
      </c>
      <c r="B17" s="358">
        <v>0</v>
      </c>
      <c r="C17" s="359">
        <f>B17/'- 44 -'!$I17*100</f>
        <v>0</v>
      </c>
      <c r="D17" s="358">
        <v>6776136</v>
      </c>
      <c r="E17" s="359">
        <f>D17/'- 44 -'!$I17*100</f>
        <v>38.812138699519316</v>
      </c>
      <c r="F17" s="358">
        <v>7800</v>
      </c>
      <c r="G17" s="359">
        <f>F17/'- 44 -'!$I17*100</f>
        <v>4.4676594722456969E-2</v>
      </c>
      <c r="H17" s="358">
        <v>926480</v>
      </c>
      <c r="I17" s="359">
        <f>H17/'- 44 -'!$I17*100</f>
        <v>5.3066630100592223</v>
      </c>
    </row>
    <row r="18" spans="1:9" ht="14.1" customHeight="1">
      <c r="A18" s="23" t="s">
        <v>236</v>
      </c>
      <c r="B18" s="535">
        <v>32177691</v>
      </c>
      <c r="C18" s="536">
        <f>B18/'- 44 -'!$I18*100</f>
        <v>24.902130236807</v>
      </c>
      <c r="D18" s="24">
        <v>3123639</v>
      </c>
      <c r="E18" s="350">
        <f>D18/'- 44 -'!$I18*100</f>
        <v>2.4173662799723443</v>
      </c>
      <c r="F18" s="24">
        <v>0</v>
      </c>
      <c r="G18" s="350">
        <f>F18/'- 44 -'!$I18*100</f>
        <v>0</v>
      </c>
      <c r="H18" s="24">
        <v>38654299</v>
      </c>
      <c r="I18" s="350">
        <f>H18/'- 44 -'!$I18*100</f>
        <v>29.914339966484189</v>
      </c>
    </row>
    <row r="19" spans="1:9" ht="14.1" customHeight="1">
      <c r="A19" s="357" t="s">
        <v>237</v>
      </c>
      <c r="B19" s="358">
        <v>0</v>
      </c>
      <c r="C19" s="359">
        <f>B19/'- 44 -'!$I19*100</f>
        <v>0</v>
      </c>
      <c r="D19" s="358">
        <v>13304937</v>
      </c>
      <c r="E19" s="359">
        <f>D19/'- 44 -'!$I19*100</f>
        <v>29.384047162933069</v>
      </c>
      <c r="F19" s="358">
        <v>251000</v>
      </c>
      <c r="G19" s="359">
        <f>F19/'- 44 -'!$I19*100</f>
        <v>0.55433526952410228</v>
      </c>
      <c r="H19" s="358">
        <v>0</v>
      </c>
      <c r="I19" s="359">
        <f>H19/'- 44 -'!$I19*100</f>
        <v>0</v>
      </c>
    </row>
    <row r="20" spans="1:9" ht="14.1" customHeight="1">
      <c r="A20" s="23" t="s">
        <v>238</v>
      </c>
      <c r="B20" s="24">
        <v>0</v>
      </c>
      <c r="C20" s="350">
        <f>B20/'- 44 -'!$I20*100</f>
        <v>0</v>
      </c>
      <c r="D20" s="24">
        <v>22382810</v>
      </c>
      <c r="E20" s="350">
        <f>D20/'- 44 -'!$I20*100</f>
        <v>28.65106032735935</v>
      </c>
      <c r="F20" s="24">
        <v>92000</v>
      </c>
      <c r="G20" s="350">
        <f>F20/'- 44 -'!$I20*100</f>
        <v>0.11776437141346686</v>
      </c>
      <c r="H20" s="24">
        <v>0</v>
      </c>
      <c r="I20" s="350">
        <f>H20/'- 44 -'!$I20*100</f>
        <v>0</v>
      </c>
    </row>
    <row r="21" spans="1:9" ht="14.1" customHeight="1">
      <c r="A21" s="357" t="s">
        <v>239</v>
      </c>
      <c r="B21" s="358">
        <v>0</v>
      </c>
      <c r="C21" s="359">
        <f>B21/'- 44 -'!$I21*100</f>
        <v>0</v>
      </c>
      <c r="D21" s="358">
        <v>11956784</v>
      </c>
      <c r="E21" s="359">
        <f>D21/'- 44 -'!$I21*100</f>
        <v>34.088219865435057</v>
      </c>
      <c r="F21" s="358">
        <v>55000</v>
      </c>
      <c r="G21" s="359">
        <f>F21/'- 44 -'!$I21*100</f>
        <v>0.15680237199224542</v>
      </c>
      <c r="H21" s="358">
        <v>0</v>
      </c>
      <c r="I21" s="359">
        <f>H21/'- 44 -'!$I21*100</f>
        <v>0</v>
      </c>
    </row>
    <row r="22" spans="1:9" ht="14.1" customHeight="1">
      <c r="A22" s="23" t="s">
        <v>240</v>
      </c>
      <c r="B22" s="24">
        <v>23000</v>
      </c>
      <c r="C22" s="350">
        <f>B22/'- 44 -'!$I22*100</f>
        <v>0.11827595415397751</v>
      </c>
      <c r="D22" s="24">
        <v>2969375</v>
      </c>
      <c r="E22" s="350">
        <f>D22/'- 44 -'!$I22*100</f>
        <v>15.269811363737693</v>
      </c>
      <c r="F22" s="24">
        <v>15000</v>
      </c>
      <c r="G22" s="350">
        <f>F22/'- 44 -'!$I22*100</f>
        <v>7.7136491839550542E-2</v>
      </c>
      <c r="H22" s="24">
        <v>0</v>
      </c>
      <c r="I22" s="350">
        <f>H22/'- 44 -'!$I22*100</f>
        <v>0</v>
      </c>
    </row>
    <row r="23" spans="1:9" ht="14.1" customHeight="1">
      <c r="A23" s="357" t="s">
        <v>241</v>
      </c>
      <c r="B23" s="358">
        <v>0</v>
      </c>
      <c r="C23" s="359">
        <f>B23/'- 44 -'!$I23*100</f>
        <v>0</v>
      </c>
      <c r="D23" s="358">
        <v>3377047</v>
      </c>
      <c r="E23" s="359">
        <f>D23/'- 44 -'!$I23*100</f>
        <v>20.55163171112196</v>
      </c>
      <c r="F23" s="358">
        <v>70000</v>
      </c>
      <c r="G23" s="359">
        <f>F23/'- 44 -'!$I23*100</f>
        <v>0.42599768963195866</v>
      </c>
      <c r="H23" s="358">
        <v>975000</v>
      </c>
      <c r="I23" s="359">
        <f>H23/'- 44 -'!$I23*100</f>
        <v>5.9335392484451388</v>
      </c>
    </row>
    <row r="24" spans="1:9" ht="14.1" customHeight="1">
      <c r="A24" s="23" t="s">
        <v>242</v>
      </c>
      <c r="B24" s="24">
        <v>0</v>
      </c>
      <c r="C24" s="350">
        <f>B24/'- 44 -'!$I24*100</f>
        <v>0</v>
      </c>
      <c r="D24" s="24">
        <v>20275242</v>
      </c>
      <c r="E24" s="350">
        <f>D24/'- 44 -'!$I24*100</f>
        <v>36.831121215686068</v>
      </c>
      <c r="F24" s="24">
        <v>181150</v>
      </c>
      <c r="G24" s="350">
        <f>F24/'- 44 -'!$I24*100</f>
        <v>0.32906919721212358</v>
      </c>
      <c r="H24" s="24">
        <v>324315</v>
      </c>
      <c r="I24" s="350">
        <f>H24/'- 44 -'!$I24*100</f>
        <v>0.58913649844797045</v>
      </c>
    </row>
    <row r="25" spans="1:9" ht="14.1" customHeight="1">
      <c r="A25" s="357" t="s">
        <v>243</v>
      </c>
      <c r="B25" s="358">
        <v>0</v>
      </c>
      <c r="C25" s="359">
        <f>B25/'- 44 -'!$I25*100</f>
        <v>0</v>
      </c>
      <c r="D25" s="358">
        <v>55231335</v>
      </c>
      <c r="E25" s="359">
        <f>D25/'- 44 -'!$I25*100</f>
        <v>34.259951116827871</v>
      </c>
      <c r="F25" s="358">
        <v>430000</v>
      </c>
      <c r="G25" s="359">
        <f>F25/'- 44 -'!$I25*100</f>
        <v>0.2667286419970834</v>
      </c>
      <c r="H25" s="358">
        <v>0</v>
      </c>
      <c r="I25" s="359">
        <f>H25/'- 44 -'!$I25*100</f>
        <v>0</v>
      </c>
    </row>
    <row r="26" spans="1:9" ht="14.1" customHeight="1">
      <c r="A26" s="23" t="s">
        <v>244</v>
      </c>
      <c r="B26" s="24">
        <v>528510</v>
      </c>
      <c r="C26" s="350">
        <f>B26/'- 44 -'!$I26*100</f>
        <v>1.3299455802101803</v>
      </c>
      <c r="D26" s="24">
        <v>10631474</v>
      </c>
      <c r="E26" s="350">
        <f>D26/'- 44 -'!$I26*100</f>
        <v>26.753101847494744</v>
      </c>
      <c r="F26" s="24">
        <v>478050</v>
      </c>
      <c r="G26" s="350">
        <f>F26/'- 44 -'!$I26*100</f>
        <v>1.2029677482346155</v>
      </c>
      <c r="H26" s="24">
        <v>336400</v>
      </c>
      <c r="I26" s="350">
        <f>H26/'- 44 -'!$I26*100</f>
        <v>0.84651887983709795</v>
      </c>
    </row>
    <row r="27" spans="1:9" ht="14.1" customHeight="1">
      <c r="A27" s="357" t="s">
        <v>245</v>
      </c>
      <c r="B27" s="358">
        <v>20000</v>
      </c>
      <c r="C27" s="359">
        <f>B27/'- 44 -'!$I27*100</f>
        <v>5.0420383730885032E-2</v>
      </c>
      <c r="D27" s="358">
        <v>8571096</v>
      </c>
      <c r="E27" s="359">
        <f>D27/'- 44 -'!$I27*100</f>
        <v>21.607897465712689</v>
      </c>
      <c r="F27" s="358">
        <v>168400</v>
      </c>
      <c r="G27" s="359">
        <f>F27/'- 44 -'!$I27*100</f>
        <v>0.42453963101405201</v>
      </c>
      <c r="H27" s="358">
        <v>205000</v>
      </c>
      <c r="I27" s="359">
        <f>H27/'- 44 -'!$I27*100</f>
        <v>0.51680893324157162</v>
      </c>
    </row>
    <row r="28" spans="1:9" ht="14.1" customHeight="1">
      <c r="A28" s="23" t="s">
        <v>246</v>
      </c>
      <c r="B28" s="24">
        <v>0</v>
      </c>
      <c r="C28" s="350">
        <f>B28/'- 44 -'!$I28*100</f>
        <v>0</v>
      </c>
      <c r="D28" s="24">
        <v>6866373</v>
      </c>
      <c r="E28" s="350">
        <f>D28/'- 44 -'!$I28*100</f>
        <v>24.943332923203808</v>
      </c>
      <c r="F28" s="24">
        <v>60000</v>
      </c>
      <c r="G28" s="350">
        <f>F28/'- 44 -'!$I28*100</f>
        <v>0.21796077425333993</v>
      </c>
      <c r="H28" s="24">
        <v>6989169</v>
      </c>
      <c r="I28" s="350">
        <f>H28/'- 44 -'!$I28*100</f>
        <v>25.389411443790692</v>
      </c>
    </row>
    <row r="29" spans="1:9" ht="14.1" customHeight="1">
      <c r="A29" s="357" t="s">
        <v>247</v>
      </c>
      <c r="B29" s="358">
        <v>70500</v>
      </c>
      <c r="C29" s="359">
        <f>B29/'- 44 -'!$I29*100</f>
        <v>4.6924530339364598E-2</v>
      </c>
      <c r="D29" s="358">
        <v>64250050</v>
      </c>
      <c r="E29" s="359">
        <f>D29/'- 44 -'!$I29*100</f>
        <v>42.764587525258044</v>
      </c>
      <c r="F29" s="358">
        <v>728000</v>
      </c>
      <c r="G29" s="359">
        <f>F29/'- 44 -'!$I29*100</f>
        <v>0.48455401541925419</v>
      </c>
      <c r="H29" s="358">
        <v>0</v>
      </c>
      <c r="I29" s="359">
        <f>H29/'- 44 -'!$I29*100</f>
        <v>0</v>
      </c>
    </row>
    <row r="30" spans="1:9" ht="14.1" customHeight="1">
      <c r="A30" s="23" t="s">
        <v>248</v>
      </c>
      <c r="B30" s="24">
        <v>0</v>
      </c>
      <c r="C30" s="350">
        <f>B30/'- 44 -'!$I30*100</f>
        <v>0</v>
      </c>
      <c r="D30" s="24">
        <v>4265373</v>
      </c>
      <c r="E30" s="350">
        <f>D30/'- 44 -'!$I30*100</f>
        <v>31.819019694362705</v>
      </c>
      <c r="F30" s="24">
        <v>28600</v>
      </c>
      <c r="G30" s="350">
        <f>F30/'- 44 -'!$I30*100</f>
        <v>0.21335155524704955</v>
      </c>
      <c r="H30" s="24">
        <v>0</v>
      </c>
      <c r="I30" s="350">
        <f>H30/'- 44 -'!$I30*100</f>
        <v>0</v>
      </c>
    </row>
    <row r="31" spans="1:9" ht="14.1" customHeight="1">
      <c r="A31" s="357" t="s">
        <v>249</v>
      </c>
      <c r="B31" s="358">
        <v>20000</v>
      </c>
      <c r="C31" s="359">
        <f>B31/'- 44 -'!$I31*100</f>
        <v>5.6019813535809856E-2</v>
      </c>
      <c r="D31" s="358">
        <v>12037966</v>
      </c>
      <c r="E31" s="359">
        <f>D31/'- 44 -'!$I31*100</f>
        <v>33.718230533520938</v>
      </c>
      <c r="F31" s="358">
        <v>180000</v>
      </c>
      <c r="G31" s="359">
        <f>F31/'- 44 -'!$I31*100</f>
        <v>0.50417832182228872</v>
      </c>
      <c r="H31" s="358">
        <v>785000</v>
      </c>
      <c r="I31" s="359">
        <f>H31/'- 44 -'!$I31*100</f>
        <v>2.1987776812805371</v>
      </c>
    </row>
    <row r="32" spans="1:9" ht="14.1" customHeight="1">
      <c r="A32" s="23" t="s">
        <v>250</v>
      </c>
      <c r="B32" s="24">
        <v>0</v>
      </c>
      <c r="C32" s="350">
        <f>B32/'- 44 -'!$I32*100</f>
        <v>0</v>
      </c>
      <c r="D32" s="24">
        <v>10164168</v>
      </c>
      <c r="E32" s="350">
        <f>D32/'- 44 -'!$I32*100</f>
        <v>37.482948748557078</v>
      </c>
      <c r="F32" s="24">
        <v>56000</v>
      </c>
      <c r="G32" s="350">
        <f>F32/'- 44 -'!$I32*100</f>
        <v>0.20651421050096735</v>
      </c>
      <c r="H32" s="24">
        <v>0</v>
      </c>
      <c r="I32" s="350">
        <f>H32/'- 44 -'!$I32*100</f>
        <v>0</v>
      </c>
    </row>
    <row r="33" spans="1:9" ht="14.1" customHeight="1">
      <c r="A33" s="357" t="s">
        <v>251</v>
      </c>
      <c r="B33" s="358">
        <v>0</v>
      </c>
      <c r="C33" s="359">
        <f>B33/'- 44 -'!$I33*100</f>
        <v>0</v>
      </c>
      <c r="D33" s="358">
        <v>10100156</v>
      </c>
      <c r="E33" s="359">
        <f>D33/'- 44 -'!$I33*100</f>
        <v>36.028559719215579</v>
      </c>
      <c r="F33" s="358">
        <v>20000</v>
      </c>
      <c r="G33" s="359">
        <f>F33/'- 44 -'!$I33*100</f>
        <v>7.1342580687299442E-2</v>
      </c>
      <c r="H33" s="358">
        <v>300000</v>
      </c>
      <c r="I33" s="359">
        <f>H33/'- 44 -'!$I33*100</f>
        <v>1.0701387103094917</v>
      </c>
    </row>
    <row r="34" spans="1:9" ht="14.1" customHeight="1">
      <c r="A34" s="23" t="s">
        <v>252</v>
      </c>
      <c r="B34" s="24">
        <v>20900</v>
      </c>
      <c r="C34" s="350">
        <f>B34/'- 44 -'!$I34*100</f>
        <v>7.7878212932746688E-2</v>
      </c>
      <c r="D34" s="24">
        <v>10191690</v>
      </c>
      <c r="E34" s="350">
        <f>D34/'- 44 -'!$I34*100</f>
        <v>37.976583921748571</v>
      </c>
      <c r="F34" s="24">
        <v>667650</v>
      </c>
      <c r="G34" s="350">
        <f>F34/'- 44 -'!$I34*100</f>
        <v>2.487817649021451</v>
      </c>
      <c r="H34" s="24">
        <v>0</v>
      </c>
      <c r="I34" s="350">
        <f>H34/'- 44 -'!$I34*100</f>
        <v>0</v>
      </c>
    </row>
    <row r="35" spans="1:9" ht="14.1" customHeight="1">
      <c r="A35" s="357" t="s">
        <v>253</v>
      </c>
      <c r="B35" s="358">
        <v>0</v>
      </c>
      <c r="C35" s="359">
        <f>B35/'- 44 -'!$I35*100</f>
        <v>0</v>
      </c>
      <c r="D35" s="358">
        <v>52288079</v>
      </c>
      <c r="E35" s="359">
        <f>D35/'- 44 -'!$I35*100</f>
        <v>30.374264889934409</v>
      </c>
      <c r="F35" s="358">
        <v>215000</v>
      </c>
      <c r="G35" s="359">
        <f>F35/'- 44 -'!$I35*100</f>
        <v>0.12489399259314725</v>
      </c>
      <c r="H35" s="358">
        <v>0</v>
      </c>
      <c r="I35" s="359">
        <f>H35/'- 44 -'!$I35*100</f>
        <v>0</v>
      </c>
    </row>
    <row r="36" spans="1:9" ht="14.1" customHeight="1">
      <c r="A36" s="23" t="s">
        <v>254</v>
      </c>
      <c r="B36" s="24">
        <v>74700</v>
      </c>
      <c r="C36" s="350">
        <f>B36/'- 44 -'!$I36*100</f>
        <v>0.32850579337777175</v>
      </c>
      <c r="D36" s="24">
        <v>7640015</v>
      </c>
      <c r="E36" s="350">
        <f>D36/'- 44 -'!$I36*100</f>
        <v>33.598248848635571</v>
      </c>
      <c r="F36" s="24">
        <v>60450</v>
      </c>
      <c r="G36" s="350">
        <f>F36/'- 44 -'!$I36*100</f>
        <v>0.26583902556474304</v>
      </c>
      <c r="H36" s="24">
        <v>1173000</v>
      </c>
      <c r="I36" s="350">
        <f>H36/'- 44 -'!$I36*100</f>
        <v>5.1584644662935251</v>
      </c>
    </row>
    <row r="37" spans="1:9" ht="14.1" customHeight="1">
      <c r="A37" s="357" t="s">
        <v>255</v>
      </c>
      <c r="B37" s="358">
        <v>15000</v>
      </c>
      <c r="C37" s="359">
        <f>B37/'- 44 -'!$I37*100</f>
        <v>3.2593107644170179E-2</v>
      </c>
      <c r="D37" s="358">
        <v>12831117</v>
      </c>
      <c r="E37" s="359">
        <f>D37/'- 44 -'!$I37*100</f>
        <v>27.880398505062796</v>
      </c>
      <c r="F37" s="358">
        <v>200000</v>
      </c>
      <c r="G37" s="359">
        <f>F37/'- 44 -'!$I37*100</f>
        <v>0.43457476858893573</v>
      </c>
      <c r="H37" s="358">
        <v>0</v>
      </c>
      <c r="I37" s="359">
        <f>H37/'- 44 -'!$I37*100</f>
        <v>0</v>
      </c>
    </row>
    <row r="38" spans="1:9" ht="14.1" customHeight="1">
      <c r="A38" s="23" t="s">
        <v>256</v>
      </c>
      <c r="B38" s="24">
        <v>906000</v>
      </c>
      <c r="C38" s="350">
        <f>B38/'- 44 -'!$I38*100</f>
        <v>0.72187277701429597</v>
      </c>
      <c r="D38" s="24">
        <v>33752259</v>
      </c>
      <c r="E38" s="350">
        <f>D38/'- 44 -'!$I38*100</f>
        <v>26.892755998714975</v>
      </c>
      <c r="F38" s="24">
        <v>1040000</v>
      </c>
      <c r="G38" s="350">
        <f>F38/'- 44 -'!$I38*100</f>
        <v>0.82863983233429117</v>
      </c>
      <c r="H38" s="24">
        <v>200000</v>
      </c>
      <c r="I38" s="350">
        <f>H38/'- 44 -'!$I38*100</f>
        <v>0.15935381391044059</v>
      </c>
    </row>
    <row r="39" spans="1:9" ht="14.1" customHeight="1">
      <c r="A39" s="357" t="s">
        <v>257</v>
      </c>
      <c r="B39" s="358">
        <v>0</v>
      </c>
      <c r="C39" s="359">
        <f>B39/'- 44 -'!$I39*100</f>
        <v>0</v>
      </c>
      <c r="D39" s="358">
        <v>9037691</v>
      </c>
      <c r="E39" s="359">
        <f>D39/'- 44 -'!$I39*100</f>
        <v>42.413405271831451</v>
      </c>
      <c r="F39" s="358">
        <v>100000</v>
      </c>
      <c r="G39" s="359">
        <f>F39/'- 44 -'!$I39*100</f>
        <v>0.46929470449732624</v>
      </c>
      <c r="H39" s="358">
        <v>0</v>
      </c>
      <c r="I39" s="359">
        <f>H39/'- 44 -'!$I39*100</f>
        <v>0</v>
      </c>
    </row>
    <row r="40" spans="1:9" ht="14.1" customHeight="1">
      <c r="A40" s="23" t="s">
        <v>258</v>
      </c>
      <c r="B40" s="24">
        <v>0</v>
      </c>
      <c r="C40" s="350">
        <f>B40/'- 44 -'!$I40*100</f>
        <v>0</v>
      </c>
      <c r="D40" s="24">
        <v>38364455</v>
      </c>
      <c r="E40" s="350">
        <f>D40/'- 44 -'!$I40*100</f>
        <v>38.215485305954594</v>
      </c>
      <c r="F40" s="24">
        <v>769792</v>
      </c>
      <c r="G40" s="350">
        <f>F40/'- 44 -'!$I40*100</f>
        <v>0.76680288732477497</v>
      </c>
      <c r="H40" s="24">
        <v>100000</v>
      </c>
      <c r="I40" s="350">
        <f>H40/'- 44 -'!$I40*100</f>
        <v>9.9611698656880673E-2</v>
      </c>
    </row>
    <row r="41" spans="1:9" ht="14.1" customHeight="1">
      <c r="A41" s="357" t="s">
        <v>259</v>
      </c>
      <c r="B41" s="358">
        <v>0</v>
      </c>
      <c r="C41" s="359">
        <f>B41/'- 44 -'!$I41*100</f>
        <v>0</v>
      </c>
      <c r="D41" s="358">
        <v>23293873</v>
      </c>
      <c r="E41" s="359">
        <f>D41/'- 44 -'!$I41*100</f>
        <v>38.099668648512299</v>
      </c>
      <c r="F41" s="358">
        <v>117000</v>
      </c>
      <c r="G41" s="359">
        <f>F41/'- 44 -'!$I41*100</f>
        <v>0.19136625463167672</v>
      </c>
      <c r="H41" s="358">
        <v>305648</v>
      </c>
      <c r="I41" s="359">
        <f>H41/'- 44 -'!$I41*100</f>
        <v>0.49992062389455316</v>
      </c>
    </row>
    <row r="42" spans="1:9" ht="14.1" customHeight="1">
      <c r="A42" s="23" t="s">
        <v>260</v>
      </c>
      <c r="B42" s="24">
        <v>0</v>
      </c>
      <c r="C42" s="350">
        <f>B42/'- 44 -'!$I42*100</f>
        <v>0</v>
      </c>
      <c r="D42" s="24">
        <v>5203009</v>
      </c>
      <c r="E42" s="350">
        <f>D42/'- 44 -'!$I42*100</f>
        <v>25.37026479430568</v>
      </c>
      <c r="F42" s="24">
        <v>27100</v>
      </c>
      <c r="G42" s="350">
        <f>F42/'- 44 -'!$I42*100</f>
        <v>0.13214164648296473</v>
      </c>
      <c r="H42" s="24">
        <v>183440</v>
      </c>
      <c r="I42" s="350">
        <f>H42/'- 44 -'!$I42*100</f>
        <v>0.89446729265073999</v>
      </c>
    </row>
    <row r="43" spans="1:9" ht="14.1" customHeight="1">
      <c r="A43" s="357" t="s">
        <v>261</v>
      </c>
      <c r="B43" s="358">
        <v>0</v>
      </c>
      <c r="C43" s="359">
        <f>B43/'- 44 -'!$I43*100</f>
        <v>0</v>
      </c>
      <c r="D43" s="358">
        <v>4967577</v>
      </c>
      <c r="E43" s="359">
        <f>D43/'- 44 -'!$I43*100</f>
        <v>39.170775230260269</v>
      </c>
      <c r="F43" s="358">
        <v>35000</v>
      </c>
      <c r="G43" s="359">
        <f>F43/'- 44 -'!$I43*100</f>
        <v>0.27598507945807571</v>
      </c>
      <c r="H43" s="358">
        <v>0</v>
      </c>
      <c r="I43" s="359">
        <f>H43/'- 44 -'!$I43*100</f>
        <v>0</v>
      </c>
    </row>
    <row r="44" spans="1:9" ht="14.1" customHeight="1">
      <c r="A44" s="23" t="s">
        <v>262</v>
      </c>
      <c r="B44" s="24">
        <v>0</v>
      </c>
      <c r="C44" s="350">
        <f>B44/'- 44 -'!$I44*100</f>
        <v>0</v>
      </c>
      <c r="D44" s="24">
        <v>2394044</v>
      </c>
      <c r="E44" s="350">
        <f>D44/'- 44 -'!$I44*100</f>
        <v>21.656840907555122</v>
      </c>
      <c r="F44" s="24">
        <v>19500</v>
      </c>
      <c r="G44" s="350">
        <f>F44/'- 44 -'!$I44*100</f>
        <v>0.17639959737470359</v>
      </c>
      <c r="H44" s="24">
        <v>0</v>
      </c>
      <c r="I44" s="350">
        <f>H44/'- 44 -'!$I44*100</f>
        <v>0</v>
      </c>
    </row>
    <row r="45" spans="1:9" ht="14.1" customHeight="1">
      <c r="A45" s="357" t="s">
        <v>263</v>
      </c>
      <c r="B45" s="358">
        <v>20000</v>
      </c>
      <c r="C45" s="359">
        <f>B45/'- 44 -'!$I45*100</f>
        <v>0.11017779500958491</v>
      </c>
      <c r="D45" s="358">
        <v>5699245</v>
      </c>
      <c r="E45" s="359">
        <f>D45/'- 44 -'!$I45*100</f>
        <v>31.396512365970093</v>
      </c>
      <c r="F45" s="358">
        <v>58500</v>
      </c>
      <c r="G45" s="359">
        <f>F45/'- 44 -'!$I45*100</f>
        <v>0.32227005040303591</v>
      </c>
      <c r="H45" s="358">
        <v>0</v>
      </c>
      <c r="I45" s="359">
        <f>H45/'- 44 -'!$I45*100</f>
        <v>0</v>
      </c>
    </row>
    <row r="46" spans="1:9" ht="14.1" customHeight="1">
      <c r="A46" s="23" t="s">
        <v>264</v>
      </c>
      <c r="B46" s="24">
        <v>3500000</v>
      </c>
      <c r="C46" s="350">
        <f>B46/'- 44 -'!$I46*100</f>
        <v>0.93572529671849158</v>
      </c>
      <c r="D46" s="24">
        <v>129174938</v>
      </c>
      <c r="E46" s="350">
        <f>D46/'- 44 -'!$I46*100</f>
        <v>34.534930625326496</v>
      </c>
      <c r="F46" s="24">
        <v>2225000</v>
      </c>
      <c r="G46" s="350">
        <f>F46/'- 44 -'!$I46*100</f>
        <v>0.59485393862818392</v>
      </c>
      <c r="H46" s="24">
        <v>2500000</v>
      </c>
      <c r="I46" s="350">
        <f>H46/'- 44 -'!$I46*100</f>
        <v>0.66837521194177973</v>
      </c>
    </row>
    <row r="47" spans="1:9" ht="5.0999999999999996" customHeight="1">
      <c r="A47"/>
      <c r="B47"/>
      <c r="C47"/>
      <c r="D47"/>
      <c r="E47"/>
      <c r="F47"/>
      <c r="G47"/>
      <c r="H47"/>
      <c r="I47"/>
    </row>
    <row r="48" spans="1:9" ht="14.1" customHeight="1">
      <c r="A48" s="360" t="s">
        <v>265</v>
      </c>
      <c r="B48" s="361">
        <f>SUM(B11:B46)</f>
        <v>37739380</v>
      </c>
      <c r="C48" s="362">
        <f>B48/'- 44 -'!$I48*100</f>
        <v>1.7283222202426791</v>
      </c>
      <c r="D48" s="361">
        <f>SUM(D11:D46)</f>
        <v>678500978</v>
      </c>
      <c r="E48" s="362">
        <f>D48/'- 44 -'!$I48*100</f>
        <v>31.072802911277002</v>
      </c>
      <c r="F48" s="361">
        <f>SUM(F11:F46)</f>
        <v>10689221</v>
      </c>
      <c r="G48" s="362">
        <f>F48/'- 44 -'!$I48*100</f>
        <v>0.48952627656799536</v>
      </c>
      <c r="H48" s="361">
        <f>SUM(H11:H46)</f>
        <v>54405251</v>
      </c>
      <c r="I48" s="362">
        <f>H48/'- 44 -'!$I48*100</f>
        <v>2.4915566763730683</v>
      </c>
    </row>
    <row r="49" spans="1:9" ht="5.0999999999999996" customHeight="1">
      <c r="A49" s="25" t="s">
        <v>3</v>
      </c>
      <c r="B49" s="26"/>
      <c r="C49" s="349"/>
      <c r="D49" s="26"/>
      <c r="E49" s="349"/>
      <c r="F49" s="26"/>
      <c r="G49" s="349"/>
      <c r="H49" s="26"/>
      <c r="I49" s="349"/>
    </row>
    <row r="50" spans="1:9" ht="14.1" customHeight="1">
      <c r="A50" s="23" t="s">
        <v>266</v>
      </c>
      <c r="B50" s="24">
        <v>0</v>
      </c>
      <c r="C50" s="350">
        <f>B50/'- 44 -'!$I50*100</f>
        <v>0</v>
      </c>
      <c r="D50" s="24">
        <v>1877319</v>
      </c>
      <c r="E50" s="350">
        <f>D50/'- 44 -'!$I50*100</f>
        <v>54.884857861555794</v>
      </c>
      <c r="F50" s="24">
        <v>35750</v>
      </c>
      <c r="G50" s="350">
        <f>F50/'- 44 -'!$I50*100</f>
        <v>1.0451786129851237</v>
      </c>
      <c r="H50" s="24">
        <v>0</v>
      </c>
      <c r="I50" s="350">
        <f>H50/'- 44 -'!$I50*100</f>
        <v>0</v>
      </c>
    </row>
    <row r="51" spans="1:9" ht="14.1" customHeight="1">
      <c r="A51" s="511" t="s">
        <v>691</v>
      </c>
      <c r="B51" s="358">
        <v>4553117</v>
      </c>
      <c r="C51" s="359">
        <f>B51/'- 44 -'!$I51*100</f>
        <v>19.036360940030065</v>
      </c>
      <c r="D51" s="358">
        <v>0</v>
      </c>
      <c r="E51" s="359">
        <f>D51/'- 44 -'!$I51*100</f>
        <v>0</v>
      </c>
      <c r="F51" s="358">
        <v>1551468</v>
      </c>
      <c r="G51" s="359">
        <f>F51/'- 44 -'!$I51*100</f>
        <v>6.4866123218240519</v>
      </c>
      <c r="H51" s="358">
        <v>0</v>
      </c>
      <c r="I51" s="359">
        <f>H51/'- 44 -'!$I51*100</f>
        <v>0</v>
      </c>
    </row>
    <row r="52" spans="1:9" ht="50.1" customHeight="1">
      <c r="A52" s="27"/>
      <c r="B52" s="27"/>
      <c r="C52" s="27"/>
      <c r="D52" s="27"/>
      <c r="E52" s="27"/>
      <c r="F52" s="27"/>
      <c r="G52" s="27"/>
      <c r="H52" s="27"/>
      <c r="I52" s="27"/>
    </row>
    <row r="53" spans="1:9" ht="14.45" customHeight="1">
      <c r="A53" s="327" t="str">
        <f>"(1)  Municipal Government revenue is net of "&amp;"$"&amp;TEXT('- 42 -'!C48,"00,0")&amp;" in Education Property Tax Credit (EPTC) revenue paid directly to school divisions. See"</f>
        <v>(1)  Municipal Government revenue is net of $198,238,868 in Education Property Tax Credit (EPTC) revenue paid directly to school divisions. See</v>
      </c>
      <c r="D53" s="39"/>
      <c r="E53" s="253"/>
      <c r="F53" s="253"/>
      <c r="G53" s="253"/>
      <c r="H53" s="253"/>
      <c r="I53" s="253"/>
    </row>
    <row r="54" spans="1:9" ht="12" customHeight="1">
      <c r="A54" s="1" t="s">
        <v>613</v>
      </c>
    </row>
    <row r="55" spans="1:9" ht="14.45" customHeight="1"/>
    <row r="56" spans="1:9" ht="14.45" customHeight="1"/>
    <row r="57" spans="1:9" ht="14.45" customHeight="1"/>
    <row r="58" spans="1:9" ht="14.45" customHeight="1"/>
    <row r="59" spans="1:9" ht="14.45" customHeight="1"/>
  </sheetData>
  <phoneticPr fontId="0" type="noConversion"/>
  <printOptions horizontalCentered="1"/>
  <pageMargins left="0.51181102362204722" right="0.51181102362204722" top="0.59055118110236227" bottom="0" header="0.31496062992125984" footer="0"/>
  <pageSetup scale="85" orientation="portrait" r:id="rId1"/>
  <headerFooter alignWithMargins="0">
    <oddHeader>&amp;C&amp;"Arial,Bold"&amp;10&amp;A</oddHeader>
  </headerFooter>
</worksheet>
</file>

<file path=xl/worksheets/sheet39.xml><?xml version="1.0" encoding="utf-8"?>
<worksheet xmlns="http://schemas.openxmlformats.org/spreadsheetml/2006/main" xmlns:r="http://schemas.openxmlformats.org/officeDocument/2006/relationships">
  <sheetPr codeName="Sheet38"/>
  <dimension ref="A1:I63"/>
  <sheetViews>
    <sheetView showGridLines="0" showZeros="0" workbookViewId="0"/>
  </sheetViews>
  <sheetFormatPr defaultColWidth="15.83203125" defaultRowHeight="12"/>
  <cols>
    <col min="1" max="1" width="33.83203125" style="1" customWidth="1"/>
    <col min="2" max="2" width="16.83203125" style="1" customWidth="1"/>
    <col min="3" max="3" width="8.83203125" style="1" customWidth="1"/>
    <col min="4" max="4" width="15.83203125" style="1"/>
    <col min="5" max="5" width="8.83203125" style="1" customWidth="1"/>
    <col min="6" max="6" width="15.83203125" style="1"/>
    <col min="7" max="7" width="8.83203125" style="1" customWidth="1"/>
    <col min="8" max="8" width="4.83203125" style="1" customWidth="1"/>
    <col min="9" max="9" width="19.83203125" style="1" customWidth="1"/>
    <col min="10" max="16384" width="15.83203125" style="1"/>
  </cols>
  <sheetData>
    <row r="1" spans="1:9" ht="6.95" customHeight="1">
      <c r="A1" s="3"/>
    </row>
    <row r="2" spans="1:9" ht="15.95" customHeight="1">
      <c r="A2" s="246"/>
      <c r="B2" s="73" t="str">
        <f>REVYEAR</f>
        <v>ANALYSIS OF OPERATING FUND REVENUE: 2014/2015 BUDGET</v>
      </c>
      <c r="C2" s="128"/>
      <c r="D2" s="128"/>
      <c r="E2" s="128"/>
      <c r="F2" s="128"/>
      <c r="G2" s="254"/>
      <c r="H2" s="129"/>
      <c r="I2" s="248" t="s">
        <v>5</v>
      </c>
    </row>
    <row r="3" spans="1:9" ht="15.95" customHeight="1">
      <c r="A3" s="243"/>
    </row>
    <row r="4" spans="1:9" ht="15.95" customHeight="1">
      <c r="B4" s="75"/>
      <c r="C4" s="4"/>
      <c r="D4" s="4"/>
      <c r="E4" s="4"/>
      <c r="F4" s="4"/>
      <c r="G4" s="4"/>
      <c r="H4" s="4"/>
      <c r="I4" s="4"/>
    </row>
    <row r="5" spans="1:9" ht="15.95" customHeight="1">
      <c r="B5" s="4"/>
      <c r="C5" s="4"/>
      <c r="D5" s="4"/>
      <c r="E5" s="4"/>
      <c r="F5" s="4"/>
      <c r="G5" s="4"/>
      <c r="H5" s="4"/>
      <c r="I5" s="4"/>
    </row>
    <row r="6" spans="1:9" ht="15.95" customHeight="1">
      <c r="B6" s="351" t="s">
        <v>101</v>
      </c>
      <c r="C6" s="353"/>
      <c r="D6" s="364"/>
      <c r="E6" s="364"/>
      <c r="F6" s="351" t="s">
        <v>54</v>
      </c>
      <c r="G6" s="353"/>
      <c r="H6" s="4"/>
      <c r="I6" s="441" t="s">
        <v>54</v>
      </c>
    </row>
    <row r="7" spans="1:9" ht="15.95" customHeight="1">
      <c r="B7" s="430" t="s">
        <v>106</v>
      </c>
      <c r="C7" s="439"/>
      <c r="D7" s="440"/>
      <c r="E7" s="440"/>
      <c r="F7" s="430" t="s">
        <v>107</v>
      </c>
      <c r="G7" s="439"/>
      <c r="H7" s="4"/>
      <c r="I7" s="442" t="s">
        <v>108</v>
      </c>
    </row>
    <row r="8" spans="1:9" ht="15.95" customHeight="1">
      <c r="A8" s="102"/>
      <c r="B8" s="355" t="s">
        <v>125</v>
      </c>
      <c r="C8" s="356"/>
      <c r="D8" s="355" t="s">
        <v>44</v>
      </c>
      <c r="E8" s="355"/>
      <c r="F8" s="354" t="s">
        <v>126</v>
      </c>
      <c r="G8" s="356"/>
      <c r="H8" s="4"/>
      <c r="I8" s="443" t="s">
        <v>121</v>
      </c>
    </row>
    <row r="9" spans="1:9" ht="15.95" customHeight="1">
      <c r="A9" s="35" t="s">
        <v>81</v>
      </c>
      <c r="B9" s="192" t="s">
        <v>126</v>
      </c>
      <c r="C9" s="244" t="s">
        <v>83</v>
      </c>
      <c r="D9" s="255" t="s">
        <v>126</v>
      </c>
      <c r="E9" s="255" t="s">
        <v>83</v>
      </c>
      <c r="F9" s="244" t="s">
        <v>126</v>
      </c>
      <c r="G9" s="255" t="s">
        <v>83</v>
      </c>
      <c r="H9" s="4"/>
      <c r="I9" s="255" t="s">
        <v>126</v>
      </c>
    </row>
    <row r="10" spans="1:9" ht="5.0999999999999996" customHeight="1">
      <c r="A10" s="37"/>
      <c r="B10" s="245"/>
      <c r="C10" s="245"/>
      <c r="D10" s="245"/>
      <c r="E10" s="245"/>
      <c r="F10" s="245"/>
      <c r="G10" s="3"/>
      <c r="H10" s="3"/>
      <c r="I10" s="245"/>
    </row>
    <row r="11" spans="1:9" ht="14.1" customHeight="1">
      <c r="A11" s="357" t="s">
        <v>230</v>
      </c>
      <c r="B11" s="358">
        <v>29400</v>
      </c>
      <c r="C11" s="359">
        <f>B11/I11*100</f>
        <v>0.16726923416975917</v>
      </c>
      <c r="D11" s="358">
        <v>87600</v>
      </c>
      <c r="E11" s="359">
        <f>D11/I11*100</f>
        <v>0.49839404466907833</v>
      </c>
      <c r="F11" s="358">
        <f>SUM('- 43 -'!$B11,'- 43 -'!$D11,'- 43 -'!$F11,'- 43 -'!$H11,B11,D11)</f>
        <v>6388000</v>
      </c>
      <c r="G11" s="359">
        <f>F11/I11*100</f>
        <v>36.344077138653788</v>
      </c>
      <c r="I11" s="358">
        <f>SUM('- 42 -'!$H11,F11)</f>
        <v>17576454</v>
      </c>
    </row>
    <row r="12" spans="1:9" ht="14.1" customHeight="1">
      <c r="A12" s="23" t="s">
        <v>231</v>
      </c>
      <c r="B12" s="24">
        <v>153472</v>
      </c>
      <c r="C12" s="350">
        <f t="shared" ref="C12:C46" si="0">B12/I12*100</f>
        <v>0.48033984344386443</v>
      </c>
      <c r="D12" s="24">
        <v>75426</v>
      </c>
      <c r="E12" s="350">
        <f t="shared" ref="E12:E48" si="1">D12/I12*100</f>
        <v>0.23606985659662297</v>
      </c>
      <c r="F12" s="24">
        <f>SUM('- 43 -'!$B12,'- 43 -'!$D12,'- 43 -'!$F12,'- 43 -'!$H12,B12,D12)</f>
        <v>10108325</v>
      </c>
      <c r="G12" s="350">
        <f t="shared" ref="G12:G48" si="2">F12/I12*100</f>
        <v>31.637244891444045</v>
      </c>
      <c r="I12" s="24">
        <f>SUM('- 42 -'!$H12,F12)</f>
        <v>31950712</v>
      </c>
    </row>
    <row r="13" spans="1:9" ht="14.1" customHeight="1">
      <c r="A13" s="357" t="s">
        <v>232</v>
      </c>
      <c r="B13" s="358">
        <v>732500</v>
      </c>
      <c r="C13" s="359">
        <f t="shared" si="0"/>
        <v>0.81703720558775372</v>
      </c>
      <c r="D13" s="358">
        <v>60500</v>
      </c>
      <c r="E13" s="359">
        <f t="shared" si="1"/>
        <v>6.7482253840353723E-2</v>
      </c>
      <c r="F13" s="358">
        <f>SUM('- 43 -'!$B13,'- 43 -'!$D13,'- 43 -'!$F13,'- 43 -'!$H13,B13,D13)</f>
        <v>33660100</v>
      </c>
      <c r="G13" s="359">
        <f t="shared" si="2"/>
        <v>37.544783677548601</v>
      </c>
      <c r="I13" s="358">
        <f>SUM('- 42 -'!$H13,F13)</f>
        <v>89653200</v>
      </c>
    </row>
    <row r="14" spans="1:9" ht="14.1" customHeight="1">
      <c r="A14" s="23" t="s">
        <v>566</v>
      </c>
      <c r="B14" s="24">
        <v>70000</v>
      </c>
      <c r="C14" s="350">
        <f t="shared" si="0"/>
        <v>8.8541118489101969E-2</v>
      </c>
      <c r="D14" s="24">
        <v>5000</v>
      </c>
      <c r="E14" s="350">
        <f t="shared" si="1"/>
        <v>6.3243656063644267E-3</v>
      </c>
      <c r="F14" s="24">
        <f>SUM('- 43 -'!$B14,'- 43 -'!$D14,'- 43 -'!$F14,'- 43 -'!$H14,B14,D14)</f>
        <v>20826640</v>
      </c>
      <c r="G14" s="350">
        <f t="shared" si="2"/>
        <v>26.343057142426723</v>
      </c>
      <c r="I14" s="24">
        <f>SUM('- 42 -'!$H14,F14)</f>
        <v>79059313</v>
      </c>
    </row>
    <row r="15" spans="1:9" ht="14.1" customHeight="1">
      <c r="A15" s="357" t="s">
        <v>233</v>
      </c>
      <c r="B15" s="358">
        <v>38500</v>
      </c>
      <c r="C15" s="359">
        <f t="shared" si="0"/>
        <v>0.19047996944800241</v>
      </c>
      <c r="D15" s="358">
        <v>15000</v>
      </c>
      <c r="E15" s="359">
        <f t="shared" si="1"/>
        <v>7.421297510961132E-2</v>
      </c>
      <c r="F15" s="358">
        <f>SUM('- 43 -'!$B15,'- 43 -'!$D15,'- 43 -'!$F15,'- 43 -'!$H15,B15,D15)</f>
        <v>7432000</v>
      </c>
      <c r="G15" s="359">
        <f t="shared" si="2"/>
        <v>36.77005540097543</v>
      </c>
      <c r="I15" s="358">
        <f>SUM('- 42 -'!$H15,F15)</f>
        <v>20212099</v>
      </c>
    </row>
    <row r="16" spans="1:9" ht="14.1" customHeight="1">
      <c r="A16" s="23" t="s">
        <v>234</v>
      </c>
      <c r="B16" s="24">
        <v>208034</v>
      </c>
      <c r="C16" s="350">
        <f t="shared" si="0"/>
        <v>1.4987081518127658</v>
      </c>
      <c r="D16" s="24">
        <v>52356</v>
      </c>
      <c r="E16" s="350">
        <f t="shared" si="1"/>
        <v>0.37718048009608607</v>
      </c>
      <c r="F16" s="24">
        <f>SUM('- 43 -'!$B16,'- 43 -'!$D16,'- 43 -'!$F16,'- 43 -'!$H16,B16,D16)</f>
        <v>3635556</v>
      </c>
      <c r="G16" s="350">
        <f t="shared" si="2"/>
        <v>26.191090944613922</v>
      </c>
      <c r="I16" s="24">
        <f>SUM('- 42 -'!$H16,F16)</f>
        <v>13880888</v>
      </c>
    </row>
    <row r="17" spans="1:9" ht="14.1" customHeight="1">
      <c r="A17" s="357" t="s">
        <v>235</v>
      </c>
      <c r="B17" s="358">
        <v>16600</v>
      </c>
      <c r="C17" s="359">
        <f t="shared" si="0"/>
        <v>9.508095799907508E-2</v>
      </c>
      <c r="D17" s="358">
        <v>8500</v>
      </c>
      <c r="E17" s="359">
        <f t="shared" si="1"/>
        <v>4.8686032710369767E-2</v>
      </c>
      <c r="F17" s="358">
        <f>SUM('- 43 -'!$B17,'- 43 -'!$D17,'- 43 -'!$F17,'- 43 -'!$H17,B17,D17)</f>
        <v>7735516</v>
      </c>
      <c r="G17" s="359">
        <f t="shared" si="2"/>
        <v>44.307245295010439</v>
      </c>
      <c r="I17" s="358">
        <f>SUM('- 42 -'!$H17,F17)</f>
        <v>17458806</v>
      </c>
    </row>
    <row r="18" spans="1:9" ht="14.1" customHeight="1">
      <c r="A18" s="23" t="s">
        <v>236</v>
      </c>
      <c r="B18" s="24">
        <v>4702500</v>
      </c>
      <c r="C18" s="350">
        <f t="shared" si="0"/>
        <v>3.6392377389224393</v>
      </c>
      <c r="D18" s="24">
        <v>933443</v>
      </c>
      <c r="E18" s="350">
        <f t="shared" si="1"/>
        <v>0.72238617601977206</v>
      </c>
      <c r="F18" s="24">
        <f>SUM('- 43 -'!$B18,'- 43 -'!$D18,'- 43 -'!$F18,'- 43 -'!$H18,B18,D18)</f>
        <v>79591572</v>
      </c>
      <c r="G18" s="350">
        <f t="shared" si="2"/>
        <v>61.595460398205738</v>
      </c>
      <c r="I18" s="24">
        <f>SUM('- 42 -'!$H18,F18)</f>
        <v>129216620</v>
      </c>
    </row>
    <row r="19" spans="1:9" ht="14.1" customHeight="1">
      <c r="A19" s="357" t="s">
        <v>237</v>
      </c>
      <c r="B19" s="358">
        <v>0</v>
      </c>
      <c r="C19" s="359">
        <f t="shared" si="0"/>
        <v>0</v>
      </c>
      <c r="D19" s="358">
        <v>212000</v>
      </c>
      <c r="E19" s="359">
        <f t="shared" si="1"/>
        <v>0.46820349457812621</v>
      </c>
      <c r="F19" s="358">
        <f>SUM('- 43 -'!$B19,'- 43 -'!$D19,'- 43 -'!$F19,'- 43 -'!$H19,B19,D19)</f>
        <v>13767937</v>
      </c>
      <c r="G19" s="359">
        <f t="shared" si="2"/>
        <v>30.406585927035302</v>
      </c>
      <c r="I19" s="358">
        <f>SUM('- 42 -'!$H19,F19)</f>
        <v>45279457</v>
      </c>
    </row>
    <row r="20" spans="1:9" ht="14.1" customHeight="1">
      <c r="A20" s="23" t="s">
        <v>238</v>
      </c>
      <c r="B20" s="24">
        <v>405000</v>
      </c>
      <c r="C20" s="350">
        <f t="shared" si="0"/>
        <v>0.51841924372232695</v>
      </c>
      <c r="D20" s="24">
        <v>64500</v>
      </c>
      <c r="E20" s="350">
        <f t="shared" si="1"/>
        <v>8.2563064740963185E-2</v>
      </c>
      <c r="F20" s="24">
        <f>SUM('- 43 -'!$B20,'- 43 -'!$D20,'- 43 -'!$F20,'- 43 -'!$H20,B20,D20)</f>
        <v>22944310</v>
      </c>
      <c r="G20" s="350">
        <f t="shared" si="2"/>
        <v>29.369807007236108</v>
      </c>
      <c r="I20" s="24">
        <f>SUM('- 42 -'!$H20,F20)</f>
        <v>78122100</v>
      </c>
    </row>
    <row r="21" spans="1:9" ht="14.1" customHeight="1">
      <c r="A21" s="357" t="s">
        <v>239</v>
      </c>
      <c r="B21" s="358">
        <v>214300</v>
      </c>
      <c r="C21" s="359">
        <f t="shared" si="0"/>
        <v>0.61095906032614888</v>
      </c>
      <c r="D21" s="358">
        <v>130931</v>
      </c>
      <c r="E21" s="359">
        <f t="shared" si="1"/>
        <v>0.37327802486030331</v>
      </c>
      <c r="F21" s="358">
        <f>SUM('- 43 -'!$B21,'- 43 -'!$D21,'- 43 -'!$F21,'- 43 -'!$H21,B21,D21)</f>
        <v>12357015</v>
      </c>
      <c r="G21" s="359">
        <f t="shared" si="2"/>
        <v>35.229259322613757</v>
      </c>
      <c r="I21" s="358">
        <f>SUM('- 42 -'!$H21,F21)</f>
        <v>35076000</v>
      </c>
    </row>
    <row r="22" spans="1:9" ht="14.1" customHeight="1">
      <c r="A22" s="23" t="s">
        <v>240</v>
      </c>
      <c r="B22" s="24">
        <v>0</v>
      </c>
      <c r="C22" s="350">
        <f t="shared" si="0"/>
        <v>0</v>
      </c>
      <c r="D22" s="24">
        <v>130000</v>
      </c>
      <c r="E22" s="350">
        <f t="shared" si="1"/>
        <v>0.66851626260943797</v>
      </c>
      <c r="F22" s="24">
        <f>SUM('- 43 -'!$B22,'- 43 -'!$D22,'- 43 -'!$F22,'- 43 -'!$H22,B22,D22)</f>
        <v>3137375</v>
      </c>
      <c r="G22" s="350">
        <f t="shared" si="2"/>
        <v>16.133740072340657</v>
      </c>
      <c r="I22" s="24">
        <f>SUM('- 42 -'!$H22,F22)</f>
        <v>19446049</v>
      </c>
    </row>
    <row r="23" spans="1:9" ht="14.1" customHeight="1">
      <c r="A23" s="357" t="s">
        <v>241</v>
      </c>
      <c r="B23" s="358">
        <v>237500</v>
      </c>
      <c r="C23" s="359">
        <f t="shared" si="0"/>
        <v>1.4453493041084313</v>
      </c>
      <c r="D23" s="358">
        <v>39000</v>
      </c>
      <c r="E23" s="359">
        <f t="shared" si="1"/>
        <v>0.23734156993780559</v>
      </c>
      <c r="F23" s="358">
        <f>SUM('- 43 -'!$B23,'- 43 -'!$D23,'- 43 -'!$F23,'- 43 -'!$H23,B23,D23)</f>
        <v>4698547</v>
      </c>
      <c r="G23" s="359">
        <f t="shared" si="2"/>
        <v>28.593859523245296</v>
      </c>
      <c r="I23" s="358">
        <f>SUM('- 42 -'!$H23,F23)</f>
        <v>16432014</v>
      </c>
    </row>
    <row r="24" spans="1:9" ht="14.1" customHeight="1">
      <c r="A24" s="23" t="s">
        <v>242</v>
      </c>
      <c r="B24" s="24">
        <v>379700</v>
      </c>
      <c r="C24" s="350">
        <f t="shared" si="0"/>
        <v>0.68974647629833463</v>
      </c>
      <c r="D24" s="24">
        <v>98000</v>
      </c>
      <c r="E24" s="350">
        <f t="shared" si="1"/>
        <v>0.17802253009543534</v>
      </c>
      <c r="F24" s="24">
        <f>SUM('- 43 -'!$B24,'- 43 -'!$D24,'- 43 -'!$F24,'- 43 -'!$H24,B24,D24)</f>
        <v>21258407</v>
      </c>
      <c r="G24" s="350">
        <f t="shared" si="2"/>
        <v>38.617095917739931</v>
      </c>
      <c r="I24" s="24">
        <f>SUM('- 42 -'!$H24,F24)</f>
        <v>55049212</v>
      </c>
    </row>
    <row r="25" spans="1:9" ht="14.1" customHeight="1">
      <c r="A25" s="357" t="s">
        <v>243</v>
      </c>
      <c r="B25" s="358">
        <v>1999493</v>
      </c>
      <c r="C25" s="359">
        <f t="shared" si="0"/>
        <v>1.240283843192266</v>
      </c>
      <c r="D25" s="358">
        <v>100000</v>
      </c>
      <c r="E25" s="359">
        <f t="shared" si="1"/>
        <v>6.2029916743507781E-2</v>
      </c>
      <c r="F25" s="358">
        <f>SUM('- 43 -'!$B25,'- 43 -'!$D25,'- 43 -'!$F25,'- 43 -'!$H25,B25,D25)</f>
        <v>57760828</v>
      </c>
      <c r="G25" s="359">
        <f t="shared" si="2"/>
        <v>35.828993518760726</v>
      </c>
      <c r="I25" s="358">
        <f>SUM('- 42 -'!$H25,F25)</f>
        <v>161212533</v>
      </c>
    </row>
    <row r="26" spans="1:9" ht="14.1" customHeight="1">
      <c r="A26" s="23" t="s">
        <v>244</v>
      </c>
      <c r="B26" s="24">
        <v>545640</v>
      </c>
      <c r="C26" s="350">
        <f t="shared" si="0"/>
        <v>1.3730516099712073</v>
      </c>
      <c r="D26" s="24">
        <v>227020</v>
      </c>
      <c r="E26" s="350">
        <f t="shared" si="1"/>
        <v>0.57127442360469083</v>
      </c>
      <c r="F26" s="24">
        <f>SUM('- 43 -'!$B26,'- 43 -'!$D26,'- 43 -'!$F26,'- 43 -'!$H26,B26,D26)</f>
        <v>12747094</v>
      </c>
      <c r="G26" s="350">
        <f t="shared" si="2"/>
        <v>32.076860089352536</v>
      </c>
      <c r="I26" s="24">
        <f>SUM('- 42 -'!$H26,F26)</f>
        <v>39739220</v>
      </c>
    </row>
    <row r="27" spans="1:9" ht="14.1" customHeight="1">
      <c r="A27" s="357" t="s">
        <v>245</v>
      </c>
      <c r="B27" s="358">
        <v>289500</v>
      </c>
      <c r="C27" s="359">
        <f t="shared" si="0"/>
        <v>0.72983505450456088</v>
      </c>
      <c r="D27" s="358">
        <v>89500</v>
      </c>
      <c r="E27" s="359">
        <f t="shared" si="1"/>
        <v>0.22563121719571053</v>
      </c>
      <c r="F27" s="358">
        <f>SUM('- 43 -'!$B27,'- 43 -'!$D27,'- 43 -'!$F27,'- 43 -'!$H27,B27,D27)</f>
        <v>9343496</v>
      </c>
      <c r="G27" s="359">
        <f t="shared" si="2"/>
        <v>23.555132685399467</v>
      </c>
      <c r="I27" s="358">
        <f>SUM('- 42 -'!$H27,F27)</f>
        <v>39666497</v>
      </c>
    </row>
    <row r="28" spans="1:9" ht="14.1" customHeight="1">
      <c r="A28" s="23" t="s">
        <v>246</v>
      </c>
      <c r="B28" s="24">
        <v>10000</v>
      </c>
      <c r="C28" s="350">
        <f t="shared" si="0"/>
        <v>3.632679570888999E-2</v>
      </c>
      <c r="D28" s="24">
        <v>11000</v>
      </c>
      <c r="E28" s="350">
        <f t="shared" si="1"/>
        <v>3.9959475279778986E-2</v>
      </c>
      <c r="F28" s="24">
        <f>SUM('- 43 -'!$B28,'- 43 -'!$D28,'- 43 -'!$F28,'- 43 -'!$H28,B28,D28)</f>
        <v>13936542</v>
      </c>
      <c r="G28" s="350">
        <f t="shared" si="2"/>
        <v>50.626991412236514</v>
      </c>
      <c r="I28" s="24">
        <f>SUM('- 42 -'!$H28,F28)</f>
        <v>27527889</v>
      </c>
    </row>
    <row r="29" spans="1:9" ht="14.1" customHeight="1">
      <c r="A29" s="357" t="s">
        <v>247</v>
      </c>
      <c r="B29" s="358">
        <v>2612750</v>
      </c>
      <c r="C29" s="359">
        <f t="shared" si="0"/>
        <v>1.7390364063003525</v>
      </c>
      <c r="D29" s="358">
        <v>173500</v>
      </c>
      <c r="E29" s="359">
        <f t="shared" si="1"/>
        <v>0.11548093636708875</v>
      </c>
      <c r="F29" s="358">
        <f>SUM('- 43 -'!$B29,'- 43 -'!$D29,'- 43 -'!$F29,'- 43 -'!$H29,B29,D29)</f>
        <v>67834800</v>
      </c>
      <c r="G29" s="359">
        <f t="shared" si="2"/>
        <v>45.150583413684103</v>
      </c>
      <c r="I29" s="358">
        <f>SUM('- 42 -'!$H29,F29)</f>
        <v>150241248</v>
      </c>
    </row>
    <row r="30" spans="1:9" ht="14.1" customHeight="1">
      <c r="A30" s="23" t="s">
        <v>248</v>
      </c>
      <c r="B30" s="24">
        <v>0</v>
      </c>
      <c r="C30" s="350">
        <f t="shared" si="0"/>
        <v>0</v>
      </c>
      <c r="D30" s="24">
        <v>42000</v>
      </c>
      <c r="E30" s="350">
        <f t="shared" si="1"/>
        <v>0.31331347274042243</v>
      </c>
      <c r="F30" s="24">
        <f>SUM('- 43 -'!$B30,'- 43 -'!$D30,'- 43 -'!$F30,'- 43 -'!$H30,B30,D30)</f>
        <v>4335973</v>
      </c>
      <c r="G30" s="350">
        <f t="shared" si="2"/>
        <v>32.345684722350185</v>
      </c>
      <c r="I30" s="24">
        <f>SUM('- 42 -'!$H30,F30)</f>
        <v>13405105</v>
      </c>
    </row>
    <row r="31" spans="1:9" ht="14.1" customHeight="1">
      <c r="A31" s="357" t="s">
        <v>249</v>
      </c>
      <c r="B31" s="358">
        <v>5000</v>
      </c>
      <c r="C31" s="359">
        <f t="shared" si="0"/>
        <v>1.4004953383952464E-2</v>
      </c>
      <c r="D31" s="358">
        <v>28000</v>
      </c>
      <c r="E31" s="359">
        <f t="shared" si="1"/>
        <v>7.8427738950133802E-2</v>
      </c>
      <c r="F31" s="358">
        <f>SUM('- 43 -'!$B31,'- 43 -'!$D31,'- 43 -'!$F31,'- 43 -'!$H31,B31,D31)</f>
        <v>13055966</v>
      </c>
      <c r="G31" s="359">
        <f t="shared" si="2"/>
        <v>36.569639042493662</v>
      </c>
      <c r="I31" s="358">
        <f>SUM('- 42 -'!$H31,F31)</f>
        <v>35701654</v>
      </c>
    </row>
    <row r="32" spans="1:9" ht="14.1" customHeight="1">
      <c r="A32" s="23" t="s">
        <v>250</v>
      </c>
      <c r="B32" s="24">
        <v>93000</v>
      </c>
      <c r="C32" s="350">
        <f t="shared" si="0"/>
        <v>0.34296109958196358</v>
      </c>
      <c r="D32" s="24">
        <v>15000</v>
      </c>
      <c r="E32" s="350">
        <f t="shared" si="1"/>
        <v>5.5316306384187684E-2</v>
      </c>
      <c r="F32" s="24">
        <f>SUM('- 43 -'!$B32,'- 43 -'!$D32,'- 43 -'!$F32,'- 43 -'!$H32,B32,D32)</f>
        <v>10328168</v>
      </c>
      <c r="G32" s="350">
        <f t="shared" si="2"/>
        <v>38.087740365024189</v>
      </c>
      <c r="I32" s="24">
        <f>SUM('- 42 -'!$H32,F32)</f>
        <v>27116778</v>
      </c>
    </row>
    <row r="33" spans="1:9" ht="14.1" customHeight="1">
      <c r="A33" s="357" t="s">
        <v>251</v>
      </c>
      <c r="B33" s="358">
        <v>45000</v>
      </c>
      <c r="C33" s="359">
        <f t="shared" si="0"/>
        <v>0.16052080654642376</v>
      </c>
      <c r="D33" s="358">
        <v>82500</v>
      </c>
      <c r="E33" s="359">
        <f t="shared" si="1"/>
        <v>0.29428814533511022</v>
      </c>
      <c r="F33" s="358">
        <f>SUM('- 43 -'!$B33,'- 43 -'!$D33,'- 43 -'!$F33,'- 43 -'!$H33,B33,D33)</f>
        <v>10547656</v>
      </c>
      <c r="G33" s="359">
        <f t="shared" si="2"/>
        <v>37.624849962093904</v>
      </c>
      <c r="I33" s="358">
        <f>SUM('- 42 -'!$H33,F33)</f>
        <v>28033749</v>
      </c>
    </row>
    <row r="34" spans="1:9" ht="14.1" customHeight="1">
      <c r="A34" s="23" t="s">
        <v>252</v>
      </c>
      <c r="B34" s="24">
        <v>149000</v>
      </c>
      <c r="C34" s="350">
        <f t="shared" si="0"/>
        <v>0.55520831229565815</v>
      </c>
      <c r="D34" s="24">
        <v>34500</v>
      </c>
      <c r="E34" s="350">
        <f t="shared" si="1"/>
        <v>0.12855494479328997</v>
      </c>
      <c r="F34" s="24">
        <f>SUM('- 43 -'!$B34,'- 43 -'!$D34,'- 43 -'!$F34,'- 43 -'!$H34,B34,D34)</f>
        <v>11063740</v>
      </c>
      <c r="G34" s="350">
        <f t="shared" si="2"/>
        <v>41.226043040791716</v>
      </c>
      <c r="I34" s="24">
        <f>SUM('- 42 -'!$H34,F34)</f>
        <v>26836774</v>
      </c>
    </row>
    <row r="35" spans="1:9" ht="14.1" customHeight="1">
      <c r="A35" s="357" t="s">
        <v>253</v>
      </c>
      <c r="B35" s="358">
        <v>735000</v>
      </c>
      <c r="C35" s="359">
        <f t="shared" si="0"/>
        <v>0.42696318398122435</v>
      </c>
      <c r="D35" s="358">
        <v>20000</v>
      </c>
      <c r="E35" s="359">
        <f t="shared" si="1"/>
        <v>1.1618045822618349E-2</v>
      </c>
      <c r="F35" s="358">
        <f>SUM('- 43 -'!$B35,'- 43 -'!$D35,'- 43 -'!$F35,'- 43 -'!$H35,B35,D35)</f>
        <v>53258079</v>
      </c>
      <c r="G35" s="359">
        <f t="shared" si="2"/>
        <v>30.937740112331401</v>
      </c>
      <c r="I35" s="358">
        <f>SUM('- 42 -'!$H35,F35)</f>
        <v>172145990</v>
      </c>
    </row>
    <row r="36" spans="1:9" ht="14.1" customHeight="1">
      <c r="A36" s="23" t="s">
        <v>254</v>
      </c>
      <c r="B36" s="24">
        <v>276135</v>
      </c>
      <c r="C36" s="350">
        <f t="shared" si="0"/>
        <v>1.214350030178996</v>
      </c>
      <c r="D36" s="24">
        <v>48325</v>
      </c>
      <c r="E36" s="350">
        <f t="shared" si="1"/>
        <v>0.21251730207470979</v>
      </c>
      <c r="F36" s="24">
        <f>SUM('- 43 -'!$B36,'- 43 -'!$D36,'- 43 -'!$F36,'- 43 -'!$H36,B36,D36)</f>
        <v>9272625</v>
      </c>
      <c r="G36" s="350">
        <f t="shared" si="2"/>
        <v>40.777925466125318</v>
      </c>
      <c r="I36" s="24">
        <f>SUM('- 42 -'!$H36,F36)</f>
        <v>22739325</v>
      </c>
    </row>
    <row r="37" spans="1:9" ht="14.1" customHeight="1">
      <c r="A37" s="357" t="s">
        <v>255</v>
      </c>
      <c r="B37" s="358">
        <v>0</v>
      </c>
      <c r="C37" s="359">
        <f t="shared" si="0"/>
        <v>0</v>
      </c>
      <c r="D37" s="358">
        <v>56000</v>
      </c>
      <c r="E37" s="359">
        <f t="shared" si="1"/>
        <v>0.121680935204902</v>
      </c>
      <c r="F37" s="358">
        <f>SUM('- 43 -'!$B37,'- 43 -'!$D37,'- 43 -'!$F37,'- 43 -'!$H37,B37,D37)</f>
        <v>13102117</v>
      </c>
      <c r="G37" s="359">
        <f t="shared" si="2"/>
        <v>28.469247316500805</v>
      </c>
      <c r="I37" s="358">
        <f>SUM('- 42 -'!$H37,F37)</f>
        <v>46022000</v>
      </c>
    </row>
    <row r="38" spans="1:9" ht="14.1" customHeight="1">
      <c r="A38" s="23" t="s">
        <v>256</v>
      </c>
      <c r="B38" s="24">
        <v>937600</v>
      </c>
      <c r="C38" s="350">
        <f t="shared" si="0"/>
        <v>0.74705067961214555</v>
      </c>
      <c r="D38" s="24">
        <v>53000</v>
      </c>
      <c r="E38" s="350">
        <f t="shared" si="1"/>
        <v>4.2228760686266763E-2</v>
      </c>
      <c r="F38" s="24">
        <f>SUM('- 43 -'!$B38,'- 43 -'!$D38,'- 43 -'!$F38,'- 43 -'!$H38,B38,D38)</f>
        <v>36888859</v>
      </c>
      <c r="G38" s="350">
        <f t="shared" si="2"/>
        <v>29.391901862272412</v>
      </c>
      <c r="I38" s="24">
        <f>SUM('- 42 -'!$H38,F38)</f>
        <v>125506880</v>
      </c>
    </row>
    <row r="39" spans="1:9" ht="14.1" customHeight="1">
      <c r="A39" s="357" t="s">
        <v>257</v>
      </c>
      <c r="B39" s="358">
        <v>0</v>
      </c>
      <c r="C39" s="359">
        <f t="shared" si="0"/>
        <v>0</v>
      </c>
      <c r="D39" s="358">
        <v>68320</v>
      </c>
      <c r="E39" s="359">
        <f t="shared" si="1"/>
        <v>0.32062214211257328</v>
      </c>
      <c r="F39" s="358">
        <f>SUM('- 43 -'!$B39,'- 43 -'!$D39,'- 43 -'!$F39,'- 43 -'!$H39,B39,D39)</f>
        <v>9206011</v>
      </c>
      <c r="G39" s="359">
        <f t="shared" si="2"/>
        <v>43.203322118441349</v>
      </c>
      <c r="I39" s="358">
        <f>SUM('- 42 -'!$H39,F39)</f>
        <v>21308572</v>
      </c>
    </row>
    <row r="40" spans="1:9" ht="14.1" customHeight="1">
      <c r="A40" s="23" t="s">
        <v>258</v>
      </c>
      <c r="B40" s="24">
        <v>2490000</v>
      </c>
      <c r="C40" s="350">
        <f t="shared" si="0"/>
        <v>2.4803312965563289</v>
      </c>
      <c r="D40" s="24">
        <v>774407</v>
      </c>
      <c r="E40" s="350">
        <f t="shared" si="1"/>
        <v>0.77139996721778992</v>
      </c>
      <c r="F40" s="24">
        <f>SUM('- 43 -'!$B40,'- 43 -'!$D40,'- 43 -'!$F40,'- 43 -'!$H40,B40,D40)</f>
        <v>42498654</v>
      </c>
      <c r="G40" s="350">
        <f t="shared" si="2"/>
        <v>42.333631155710364</v>
      </c>
      <c r="I40" s="24">
        <f>SUM('- 42 -'!$H40,F40)</f>
        <v>100389815</v>
      </c>
    </row>
    <row r="41" spans="1:9" ht="14.1" customHeight="1">
      <c r="A41" s="357" t="s">
        <v>259</v>
      </c>
      <c r="B41" s="358">
        <v>0</v>
      </c>
      <c r="C41" s="359">
        <f t="shared" si="0"/>
        <v>0</v>
      </c>
      <c r="D41" s="358">
        <v>60920</v>
      </c>
      <c r="E41" s="359">
        <f t="shared" si="1"/>
        <v>9.9641301129587578E-2</v>
      </c>
      <c r="F41" s="358">
        <f>SUM('- 43 -'!$B41,'- 43 -'!$D41,'- 43 -'!$F41,'- 43 -'!$H41,B41,D41)</f>
        <v>23777441</v>
      </c>
      <c r="G41" s="359">
        <f t="shared" si="2"/>
        <v>38.890596828168114</v>
      </c>
      <c r="I41" s="358">
        <f>SUM('- 42 -'!$H41,F41)</f>
        <v>61139306</v>
      </c>
    </row>
    <row r="42" spans="1:9" ht="14.1" customHeight="1">
      <c r="A42" s="23" t="s">
        <v>260</v>
      </c>
      <c r="B42" s="24">
        <v>208400</v>
      </c>
      <c r="C42" s="350">
        <f t="shared" si="0"/>
        <v>1.016174137529515</v>
      </c>
      <c r="D42" s="24">
        <v>86100</v>
      </c>
      <c r="E42" s="350">
        <f t="shared" si="1"/>
        <v>0.41983010192558173</v>
      </c>
      <c r="F42" s="24">
        <f>SUM('- 43 -'!$B42,'- 43 -'!$D42,'- 43 -'!$F42,'- 43 -'!$H42,B42,D42)</f>
        <v>5708049</v>
      </c>
      <c r="G42" s="350">
        <f t="shared" si="2"/>
        <v>27.832877972894483</v>
      </c>
      <c r="I42" s="24">
        <f>SUM('- 42 -'!$H42,F42)</f>
        <v>20508296</v>
      </c>
    </row>
    <row r="43" spans="1:9" ht="14.1" customHeight="1">
      <c r="A43" s="357" t="s">
        <v>261</v>
      </c>
      <c r="B43" s="358">
        <v>17855</v>
      </c>
      <c r="C43" s="359">
        <f t="shared" si="0"/>
        <v>0.14079181696354118</v>
      </c>
      <c r="D43" s="358">
        <v>21920</v>
      </c>
      <c r="E43" s="359">
        <f t="shared" si="1"/>
        <v>0.17284551262060055</v>
      </c>
      <c r="F43" s="358">
        <f>SUM('- 43 -'!$B43,'- 43 -'!$D43,'- 43 -'!$F43,'- 43 -'!$H43,B43,D43)</f>
        <v>5042352</v>
      </c>
      <c r="G43" s="359">
        <f t="shared" si="2"/>
        <v>39.760397639302482</v>
      </c>
      <c r="I43" s="358">
        <f>SUM('- 42 -'!$H43,F43)</f>
        <v>12681845</v>
      </c>
    </row>
    <row r="44" spans="1:9" ht="14.1" customHeight="1">
      <c r="A44" s="23" t="s">
        <v>262</v>
      </c>
      <c r="B44" s="24">
        <v>9700</v>
      </c>
      <c r="C44" s="350">
        <f t="shared" si="0"/>
        <v>8.7747492027416663E-2</v>
      </c>
      <c r="D44" s="24">
        <v>1000</v>
      </c>
      <c r="E44" s="350">
        <f t="shared" si="1"/>
        <v>9.0461331987027483E-3</v>
      </c>
      <c r="F44" s="24">
        <f>SUM('- 43 -'!$B44,'- 43 -'!$D44,'- 43 -'!$F44,'- 43 -'!$H44,B44,D44)</f>
        <v>2424244</v>
      </c>
      <c r="G44" s="350">
        <f t="shared" si="2"/>
        <v>21.930034130155946</v>
      </c>
      <c r="I44" s="24">
        <f>SUM('- 42 -'!$H44,F44)</f>
        <v>11054447</v>
      </c>
    </row>
    <row r="45" spans="1:9" ht="14.1" customHeight="1">
      <c r="A45" s="357" t="s">
        <v>263</v>
      </c>
      <c r="B45" s="358">
        <v>236400</v>
      </c>
      <c r="C45" s="359">
        <f t="shared" si="0"/>
        <v>1.3023015370132938</v>
      </c>
      <c r="D45" s="358">
        <v>10600</v>
      </c>
      <c r="E45" s="359">
        <f t="shared" si="1"/>
        <v>5.8394231355080005E-2</v>
      </c>
      <c r="F45" s="358">
        <f>SUM('- 43 -'!$B45,'- 43 -'!$D45,'- 43 -'!$F45,'- 43 -'!$H45,B45,D45)</f>
        <v>6024745</v>
      </c>
      <c r="G45" s="359">
        <f t="shared" si="2"/>
        <v>33.18965597975108</v>
      </c>
      <c r="I45" s="358">
        <f>SUM('- 42 -'!$H45,F45)</f>
        <v>18152478</v>
      </c>
    </row>
    <row r="46" spans="1:9" ht="14.1" customHeight="1">
      <c r="A46" s="23" t="s">
        <v>264</v>
      </c>
      <c r="B46" s="24">
        <v>528500</v>
      </c>
      <c r="C46" s="350">
        <f t="shared" si="0"/>
        <v>0.14129451980449223</v>
      </c>
      <c r="D46" s="24">
        <v>680000</v>
      </c>
      <c r="E46" s="350">
        <f t="shared" si="1"/>
        <v>0.18179805764816406</v>
      </c>
      <c r="F46" s="24">
        <f>SUM('- 43 -'!$B46,'- 43 -'!$D46,'- 43 -'!$F46,'- 43 -'!$H46,B46,D46)</f>
        <v>138608438</v>
      </c>
      <c r="G46" s="350">
        <f t="shared" si="2"/>
        <v>37.056977650067616</v>
      </c>
      <c r="I46" s="24">
        <f>SUM('- 42 -'!$H46,F46)</f>
        <v>374041400</v>
      </c>
    </row>
    <row r="47" spans="1:9" ht="5.0999999999999996" customHeight="1">
      <c r="A47"/>
      <c r="B47"/>
      <c r="C47"/>
      <c r="D47"/>
      <c r="E47"/>
      <c r="F47"/>
      <c r="G47"/>
      <c r="I47"/>
    </row>
    <row r="48" spans="1:9" ht="14.1" customHeight="1">
      <c r="A48" s="360" t="s">
        <v>265</v>
      </c>
      <c r="B48" s="361">
        <f>SUM(B11:B46)</f>
        <v>18376479</v>
      </c>
      <c r="C48" s="362">
        <f>B48/I48*100</f>
        <v>0.84157389404709271</v>
      </c>
      <c r="D48" s="361">
        <f>SUM(D11:D46)</f>
        <v>4595868</v>
      </c>
      <c r="E48" s="362">
        <f t="shared" si="1"/>
        <v>0.21047353681227093</v>
      </c>
      <c r="F48" s="361">
        <f>SUM(F11:F46)</f>
        <v>804307177</v>
      </c>
      <c r="G48" s="362">
        <f t="shared" si="2"/>
        <v>36.834255515320116</v>
      </c>
      <c r="I48" s="361">
        <f>SUM(I11:I46)</f>
        <v>2183584725</v>
      </c>
    </row>
    <row r="49" spans="1:9" ht="5.0999999999999996" customHeight="1">
      <c r="A49" s="25" t="s">
        <v>3</v>
      </c>
      <c r="B49" s="26"/>
      <c r="C49" s="349"/>
      <c r="D49" s="26"/>
      <c r="E49" s="349"/>
      <c r="F49" s="26"/>
      <c r="G49" s="349"/>
      <c r="I49" s="26"/>
    </row>
    <row r="50" spans="1:9" ht="14.1" customHeight="1">
      <c r="A50" s="23" t="s">
        <v>266</v>
      </c>
      <c r="B50" s="24">
        <v>10000</v>
      </c>
      <c r="C50" s="350">
        <f>B50/I50*100</f>
        <v>0.29235765398185276</v>
      </c>
      <c r="D50" s="24">
        <v>55000</v>
      </c>
      <c r="E50" s="350">
        <f>D50/I50*100</f>
        <v>1.6079670969001905</v>
      </c>
      <c r="F50" s="24">
        <f>SUM('- 43 -'!$B50,'- 43 -'!$D50,'- 43 -'!$F50,'- 43 -'!$H50,B50,D50)</f>
        <v>1978069</v>
      </c>
      <c r="G50" s="350">
        <f>F50/I50*100</f>
        <v>57.830361225422955</v>
      </c>
      <c r="I50" s="24">
        <f>SUM('- 42 -'!$H50,F50)</f>
        <v>3420468</v>
      </c>
    </row>
    <row r="51" spans="1:9" ht="14.1" customHeight="1">
      <c r="A51" s="511" t="s">
        <v>691</v>
      </c>
      <c r="B51" s="358">
        <v>7753498</v>
      </c>
      <c r="C51" s="359">
        <f>B51/I51*100</f>
        <v>32.416998393803894</v>
      </c>
      <c r="D51" s="358">
        <v>1240621</v>
      </c>
      <c r="E51" s="359">
        <f>D51/I51*100</f>
        <v>5.1869761189490706</v>
      </c>
      <c r="F51" s="358">
        <f>SUM('- 43 -'!$B51,'- 43 -'!$D51,'- 43 -'!$F51,'- 43 -'!$H51,B51,D51)</f>
        <v>15098704</v>
      </c>
      <c r="G51" s="359">
        <f>F51/I51*100</f>
        <v>63.126947774607075</v>
      </c>
      <c r="I51" s="358">
        <f>SUM('- 42 -'!$H51,F51)</f>
        <v>23918001</v>
      </c>
    </row>
    <row r="52" spans="1:9" ht="50.1" customHeight="1"/>
    <row r="53" spans="1:9" ht="14.45" customHeight="1">
      <c r="I53" s="92"/>
    </row>
    <row r="54" spans="1:9" ht="14.45" customHeight="1"/>
    <row r="55" spans="1:9" ht="14.45" customHeight="1"/>
    <row r="56" spans="1:9" ht="14.45" customHeight="1"/>
    <row r="57" spans="1:9" ht="14.45" customHeight="1"/>
    <row r="58" spans="1:9" ht="14.45" customHeight="1"/>
    <row r="59" spans="1:9" ht="14.45" customHeight="1"/>
    <row r="63" spans="1:9">
      <c r="I63" s="1">
        <v>0</v>
      </c>
    </row>
  </sheetData>
  <phoneticPr fontId="0" type="noConversion"/>
  <printOptions horizontalCentered="1"/>
  <pageMargins left="0.51181102362204722" right="0.51181102362204722" top="0.59055118110236227" bottom="0" header="0.31496062992125984" footer="0"/>
  <pageSetup scale="85" orientation="portrait" r:id="rId1"/>
  <headerFooter alignWithMargins="0">
    <oddHeader>&amp;C&amp;"Arial,Bold"&amp;10&amp;A</oddHeader>
  </headerFooter>
</worksheet>
</file>

<file path=xl/worksheets/sheet4.xml><?xml version="1.0" encoding="utf-8"?>
<worksheet xmlns="http://schemas.openxmlformats.org/spreadsheetml/2006/main" xmlns:r="http://schemas.openxmlformats.org/officeDocument/2006/relationships">
  <sheetPr codeName="Sheet3">
    <pageSetUpPr fitToPage="1"/>
  </sheetPr>
  <dimension ref="A1:I59"/>
  <sheetViews>
    <sheetView showGridLines="0" showZeros="0" workbookViewId="0"/>
  </sheetViews>
  <sheetFormatPr defaultColWidth="12.83203125" defaultRowHeight="12"/>
  <cols>
    <col min="1" max="1" width="29.83203125" style="1" customWidth="1"/>
    <col min="2" max="8" width="14.83203125" style="1" customWidth="1"/>
    <col min="9" max="9" width="15.83203125" style="1" customWidth="1"/>
    <col min="10" max="16384" width="12.83203125" style="1"/>
  </cols>
  <sheetData>
    <row r="1" spans="1:9" ht="6.95" customHeight="1">
      <c r="A1" s="3"/>
      <c r="B1" s="40"/>
      <c r="C1" s="40"/>
      <c r="D1" s="40"/>
      <c r="E1" s="40"/>
      <c r="F1" s="40"/>
      <c r="G1" s="40"/>
      <c r="H1" s="40"/>
      <c r="I1" s="40"/>
    </row>
    <row r="2" spans="1:9" ht="15.95" customHeight="1">
      <c r="A2" s="41"/>
      <c r="B2" s="42" t="s">
        <v>163</v>
      </c>
      <c r="C2" s="43"/>
      <c r="D2" s="43"/>
      <c r="E2" s="43"/>
      <c r="F2" s="43"/>
      <c r="G2" s="43"/>
      <c r="H2" s="44" t="s">
        <v>164</v>
      </c>
    </row>
    <row r="3" spans="1:9" ht="15.95" customHeight="1">
      <c r="A3" s="45"/>
      <c r="B3" s="46" t="str">
        <f>"ESTIMATE SEPTEMBER 30, "&amp;YEAR</f>
        <v>ESTIMATE SEPTEMBER 30, 2014</v>
      </c>
      <c r="C3" s="47"/>
      <c r="D3" s="48"/>
      <c r="E3" s="47"/>
      <c r="F3" s="48"/>
      <c r="G3" s="47"/>
      <c r="H3" s="49"/>
    </row>
    <row r="4" spans="1:9" ht="15.95" customHeight="1">
      <c r="B4" s="40"/>
      <c r="C4" s="40"/>
      <c r="D4" s="40"/>
      <c r="E4" s="40"/>
      <c r="F4" s="40"/>
      <c r="G4" s="50"/>
      <c r="H4" s="40"/>
      <c r="I4" s="40"/>
    </row>
    <row r="5" spans="1:9" ht="15.95" customHeight="1">
      <c r="B5" s="40"/>
      <c r="C5" s="40"/>
      <c r="D5" s="40"/>
      <c r="E5" s="40"/>
      <c r="F5" s="40"/>
      <c r="G5" s="40"/>
      <c r="H5" s="40"/>
      <c r="I5" s="40"/>
    </row>
    <row r="6" spans="1:9" ht="15.95" customHeight="1">
      <c r="B6" s="390" t="s">
        <v>49</v>
      </c>
      <c r="C6" s="389"/>
      <c r="D6" s="389"/>
      <c r="E6" s="389"/>
      <c r="F6" s="389"/>
      <c r="G6" s="389"/>
      <c r="H6" s="391"/>
    </row>
    <row r="7" spans="1:9" ht="15.95" customHeight="1">
      <c r="B7" s="51" t="s">
        <v>385</v>
      </c>
      <c r="C7" s="52"/>
      <c r="D7" s="52"/>
      <c r="E7" s="53" t="s">
        <v>386</v>
      </c>
      <c r="F7" s="52"/>
      <c r="G7" s="52"/>
      <c r="H7" s="54"/>
    </row>
    <row r="8" spans="1:9" ht="15.95" customHeight="1">
      <c r="A8" s="55"/>
      <c r="B8" s="56" t="s">
        <v>69</v>
      </c>
      <c r="C8" s="57" t="s">
        <v>3</v>
      </c>
      <c r="D8" s="58" t="s">
        <v>70</v>
      </c>
      <c r="E8" s="59" t="s">
        <v>69</v>
      </c>
      <c r="F8" s="57" t="s">
        <v>3</v>
      </c>
      <c r="G8" s="58" t="s">
        <v>70</v>
      </c>
      <c r="H8" s="60" t="s">
        <v>44</v>
      </c>
    </row>
    <row r="9" spans="1:9" ht="15.95" customHeight="1">
      <c r="A9" s="61" t="s">
        <v>81</v>
      </c>
      <c r="B9" s="62" t="s">
        <v>85</v>
      </c>
      <c r="C9" s="63" t="s">
        <v>32</v>
      </c>
      <c r="D9" s="63" t="s">
        <v>86</v>
      </c>
      <c r="E9" s="64" t="s">
        <v>85</v>
      </c>
      <c r="F9" s="63" t="s">
        <v>32</v>
      </c>
      <c r="G9" s="63" t="s">
        <v>86</v>
      </c>
      <c r="H9" s="65" t="s">
        <v>87</v>
      </c>
    </row>
    <row r="10" spans="1:9" ht="5.0999999999999996" customHeight="1">
      <c r="A10" s="37"/>
      <c r="B10" s="66"/>
      <c r="C10" s="66"/>
      <c r="D10" s="66"/>
      <c r="E10" s="66"/>
      <c r="F10" s="66"/>
      <c r="G10" s="66"/>
      <c r="H10" s="66"/>
    </row>
    <row r="11" spans="1:9" ht="14.1" customHeight="1">
      <c r="A11" s="357" t="s">
        <v>230</v>
      </c>
      <c r="B11" s="384">
        <v>1546.5</v>
      </c>
      <c r="C11" s="384">
        <v>0</v>
      </c>
      <c r="D11" s="392">
        <v>0</v>
      </c>
      <c r="E11" s="393">
        <v>0</v>
      </c>
      <c r="F11" s="384">
        <v>0</v>
      </c>
      <c r="G11" s="384">
        <v>0</v>
      </c>
      <c r="H11" s="384">
        <v>0</v>
      </c>
    </row>
    <row r="12" spans="1:9" ht="14.1" customHeight="1">
      <c r="A12" s="23" t="s">
        <v>231</v>
      </c>
      <c r="B12" s="67">
        <v>2033.82</v>
      </c>
      <c r="C12" s="67">
        <v>0</v>
      </c>
      <c r="D12" s="68">
        <v>0</v>
      </c>
      <c r="E12" s="69">
        <v>0</v>
      </c>
      <c r="F12" s="67">
        <v>0</v>
      </c>
      <c r="G12" s="67">
        <v>0</v>
      </c>
      <c r="H12" s="67">
        <v>0</v>
      </c>
    </row>
    <row r="13" spans="1:9" ht="14.1" customHeight="1">
      <c r="A13" s="357" t="s">
        <v>232</v>
      </c>
      <c r="B13" s="384">
        <v>5964.2</v>
      </c>
      <c r="C13" s="384">
        <v>0</v>
      </c>
      <c r="D13" s="392">
        <v>313.5</v>
      </c>
      <c r="E13" s="393">
        <v>1090</v>
      </c>
      <c r="F13" s="384">
        <v>0</v>
      </c>
      <c r="G13" s="384">
        <v>367.5</v>
      </c>
      <c r="H13" s="384">
        <v>0</v>
      </c>
    </row>
    <row r="14" spans="1:9" ht="14.1" customHeight="1">
      <c r="A14" s="23" t="s">
        <v>566</v>
      </c>
      <c r="B14" s="67">
        <v>0</v>
      </c>
      <c r="C14" s="67">
        <v>5315</v>
      </c>
      <c r="D14" s="68">
        <v>0</v>
      </c>
      <c r="E14" s="69">
        <v>0</v>
      </c>
      <c r="F14" s="67">
        <v>0</v>
      </c>
      <c r="G14" s="67">
        <v>0</v>
      </c>
      <c r="H14" s="67">
        <v>0</v>
      </c>
    </row>
    <row r="15" spans="1:9" ht="14.1" customHeight="1">
      <c r="A15" s="357" t="s">
        <v>233</v>
      </c>
      <c r="B15" s="384">
        <v>1432.5</v>
      </c>
      <c r="C15" s="384">
        <v>0</v>
      </c>
      <c r="D15" s="392">
        <v>0</v>
      </c>
      <c r="E15" s="393">
        <v>0</v>
      </c>
      <c r="F15" s="384">
        <v>0</v>
      </c>
      <c r="G15" s="384">
        <v>0</v>
      </c>
      <c r="H15" s="384">
        <v>0</v>
      </c>
    </row>
    <row r="16" spans="1:9" ht="14.1" customHeight="1">
      <c r="A16" s="23" t="s">
        <v>234</v>
      </c>
      <c r="B16" s="67">
        <v>558.29999999999995</v>
      </c>
      <c r="C16" s="67">
        <v>0</v>
      </c>
      <c r="D16" s="68">
        <v>0</v>
      </c>
      <c r="E16" s="69">
        <v>292.5</v>
      </c>
      <c r="F16" s="67">
        <v>0</v>
      </c>
      <c r="G16" s="67">
        <v>92.5</v>
      </c>
      <c r="H16" s="67">
        <v>0</v>
      </c>
    </row>
    <row r="17" spans="1:8" ht="14.1" customHeight="1">
      <c r="A17" s="357" t="s">
        <v>235</v>
      </c>
      <c r="B17" s="384">
        <v>1302.5</v>
      </c>
      <c r="C17" s="384">
        <v>0</v>
      </c>
      <c r="D17" s="392">
        <v>0</v>
      </c>
      <c r="E17" s="393">
        <v>0</v>
      </c>
      <c r="F17" s="384">
        <v>0</v>
      </c>
      <c r="G17" s="384">
        <v>0</v>
      </c>
      <c r="H17" s="384">
        <v>0</v>
      </c>
    </row>
    <row r="18" spans="1:8" ht="14.1" customHeight="1">
      <c r="A18" s="23" t="s">
        <v>236</v>
      </c>
      <c r="B18" s="67">
        <v>6126.7</v>
      </c>
      <c r="C18" s="67">
        <v>0</v>
      </c>
      <c r="D18" s="68">
        <v>0</v>
      </c>
      <c r="E18" s="69">
        <v>0</v>
      </c>
      <c r="F18" s="67">
        <v>0</v>
      </c>
      <c r="G18" s="67">
        <v>0</v>
      </c>
      <c r="H18" s="67">
        <v>0</v>
      </c>
    </row>
    <row r="19" spans="1:8" ht="14.1" customHeight="1">
      <c r="A19" s="357" t="s">
        <v>237</v>
      </c>
      <c r="B19" s="384">
        <v>3979.5</v>
      </c>
      <c r="C19" s="384">
        <v>0</v>
      </c>
      <c r="D19" s="392">
        <v>0</v>
      </c>
      <c r="E19" s="393">
        <v>0</v>
      </c>
      <c r="F19" s="384">
        <v>0</v>
      </c>
      <c r="G19" s="384">
        <v>0</v>
      </c>
      <c r="H19" s="384">
        <v>0</v>
      </c>
    </row>
    <row r="20" spans="1:8" ht="14.1" customHeight="1">
      <c r="A20" s="23" t="s">
        <v>238</v>
      </c>
      <c r="B20" s="67">
        <v>7100.1</v>
      </c>
      <c r="C20" s="67">
        <v>0</v>
      </c>
      <c r="D20" s="68">
        <v>0</v>
      </c>
      <c r="E20" s="69">
        <v>0</v>
      </c>
      <c r="F20" s="67">
        <v>0</v>
      </c>
      <c r="G20" s="67">
        <v>0</v>
      </c>
      <c r="H20" s="67">
        <v>0</v>
      </c>
    </row>
    <row r="21" spans="1:8" ht="14.1" customHeight="1">
      <c r="A21" s="357" t="s">
        <v>239</v>
      </c>
      <c r="B21" s="384">
        <v>2021</v>
      </c>
      <c r="C21" s="384">
        <v>0</v>
      </c>
      <c r="D21" s="392">
        <v>0</v>
      </c>
      <c r="E21" s="393">
        <v>447.5</v>
      </c>
      <c r="F21" s="384">
        <v>0</v>
      </c>
      <c r="G21" s="384">
        <v>190.5</v>
      </c>
      <c r="H21" s="384">
        <v>0</v>
      </c>
    </row>
    <row r="22" spans="1:8" ht="14.1" customHeight="1">
      <c r="A22" s="23" t="s">
        <v>240</v>
      </c>
      <c r="B22" s="67">
        <v>884</v>
      </c>
      <c r="C22" s="67">
        <v>0</v>
      </c>
      <c r="D22" s="68">
        <v>0</v>
      </c>
      <c r="E22" s="69">
        <v>534</v>
      </c>
      <c r="F22" s="67">
        <v>0</v>
      </c>
      <c r="G22" s="67">
        <v>143</v>
      </c>
      <c r="H22" s="67">
        <v>0</v>
      </c>
    </row>
    <row r="23" spans="1:8" ht="14.1" customHeight="1">
      <c r="A23" s="357" t="s">
        <v>241</v>
      </c>
      <c r="B23" s="384">
        <v>1127.5</v>
      </c>
      <c r="C23" s="384">
        <v>0</v>
      </c>
      <c r="D23" s="392">
        <v>0</v>
      </c>
      <c r="E23" s="393">
        <v>0</v>
      </c>
      <c r="F23" s="384">
        <v>0</v>
      </c>
      <c r="G23" s="384">
        <v>0</v>
      </c>
      <c r="H23" s="384">
        <v>0</v>
      </c>
    </row>
    <row r="24" spans="1:8" ht="14.1" customHeight="1">
      <c r="A24" s="23" t="s">
        <v>242</v>
      </c>
      <c r="B24" s="67">
        <v>2809</v>
      </c>
      <c r="C24" s="67">
        <v>0</v>
      </c>
      <c r="D24" s="68">
        <v>263</v>
      </c>
      <c r="E24" s="69">
        <v>453.5</v>
      </c>
      <c r="F24" s="67">
        <v>0</v>
      </c>
      <c r="G24" s="67">
        <v>119</v>
      </c>
      <c r="H24" s="67">
        <v>63.5</v>
      </c>
    </row>
    <row r="25" spans="1:8" ht="14.1" customHeight="1">
      <c r="A25" s="357" t="s">
        <v>243</v>
      </c>
      <c r="B25" s="384">
        <v>9277.5</v>
      </c>
      <c r="C25" s="384">
        <v>0</v>
      </c>
      <c r="D25" s="392">
        <v>4313.5</v>
      </c>
      <c r="E25" s="393">
        <v>0</v>
      </c>
      <c r="F25" s="384">
        <v>0</v>
      </c>
      <c r="G25" s="384">
        <v>0</v>
      </c>
      <c r="H25" s="384">
        <v>0</v>
      </c>
    </row>
    <row r="26" spans="1:8" ht="14.1" customHeight="1">
      <c r="A26" s="23" t="s">
        <v>244</v>
      </c>
      <c r="B26" s="67">
        <v>2359.9</v>
      </c>
      <c r="C26" s="67">
        <v>0</v>
      </c>
      <c r="D26" s="68">
        <v>230</v>
      </c>
      <c r="E26" s="69">
        <v>232</v>
      </c>
      <c r="F26" s="67">
        <v>0</v>
      </c>
      <c r="G26" s="67">
        <v>35</v>
      </c>
      <c r="H26" s="67">
        <v>81</v>
      </c>
    </row>
    <row r="27" spans="1:8" ht="14.1" customHeight="1">
      <c r="A27" s="357" t="s">
        <v>245</v>
      </c>
      <c r="B27" s="384">
        <v>2334</v>
      </c>
      <c r="C27" s="384">
        <v>0</v>
      </c>
      <c r="D27" s="392">
        <v>0</v>
      </c>
      <c r="E27" s="393">
        <v>97</v>
      </c>
      <c r="F27" s="384">
        <v>0</v>
      </c>
      <c r="G27" s="384">
        <v>244</v>
      </c>
      <c r="H27" s="384">
        <v>0</v>
      </c>
    </row>
    <row r="28" spans="1:8" ht="14.1" customHeight="1">
      <c r="A28" s="23" t="s">
        <v>246</v>
      </c>
      <c r="B28" s="67">
        <v>1982.5</v>
      </c>
      <c r="C28" s="67">
        <v>0</v>
      </c>
      <c r="D28" s="68">
        <v>0</v>
      </c>
      <c r="E28" s="69">
        <v>0</v>
      </c>
      <c r="F28" s="67">
        <v>0</v>
      </c>
      <c r="G28" s="67">
        <v>0</v>
      </c>
      <c r="H28" s="67">
        <v>0</v>
      </c>
    </row>
    <row r="29" spans="1:8" ht="14.1" customHeight="1">
      <c r="A29" s="357" t="s">
        <v>247</v>
      </c>
      <c r="B29" s="384">
        <v>7953.5</v>
      </c>
      <c r="C29" s="384">
        <v>0</v>
      </c>
      <c r="D29" s="392">
        <v>1304.5</v>
      </c>
      <c r="E29" s="393">
        <v>1860.5</v>
      </c>
      <c r="F29" s="384">
        <v>0</v>
      </c>
      <c r="G29" s="384">
        <v>942</v>
      </c>
      <c r="H29" s="384">
        <v>0</v>
      </c>
    </row>
    <row r="30" spans="1:8" ht="14.1" customHeight="1">
      <c r="A30" s="23" t="s">
        <v>248</v>
      </c>
      <c r="B30" s="67">
        <v>1025.5</v>
      </c>
      <c r="C30" s="67">
        <v>0</v>
      </c>
      <c r="D30" s="68">
        <v>0</v>
      </c>
      <c r="E30" s="69">
        <v>0</v>
      </c>
      <c r="F30" s="67">
        <v>0</v>
      </c>
      <c r="G30" s="67">
        <v>0</v>
      </c>
      <c r="H30" s="67">
        <v>0</v>
      </c>
    </row>
    <row r="31" spans="1:8" ht="14.1" customHeight="1">
      <c r="A31" s="357" t="s">
        <v>249</v>
      </c>
      <c r="B31" s="384">
        <v>2399</v>
      </c>
      <c r="C31" s="384">
        <v>0</v>
      </c>
      <c r="D31" s="392">
        <v>0</v>
      </c>
      <c r="E31" s="393">
        <v>469</v>
      </c>
      <c r="F31" s="384">
        <v>0</v>
      </c>
      <c r="G31" s="384">
        <v>240</v>
      </c>
      <c r="H31" s="384">
        <v>0</v>
      </c>
    </row>
    <row r="32" spans="1:8" ht="14.1" customHeight="1">
      <c r="A32" s="23" t="s">
        <v>250</v>
      </c>
      <c r="B32" s="67">
        <v>1780.5</v>
      </c>
      <c r="C32" s="67">
        <v>0</v>
      </c>
      <c r="D32" s="68">
        <v>110</v>
      </c>
      <c r="E32" s="69">
        <v>100</v>
      </c>
      <c r="F32" s="67">
        <v>0</v>
      </c>
      <c r="G32" s="67">
        <v>73</v>
      </c>
      <c r="H32" s="67">
        <v>0</v>
      </c>
    </row>
    <row r="33" spans="1:9" ht="14.1" customHeight="1">
      <c r="A33" s="357" t="s">
        <v>251</v>
      </c>
      <c r="B33" s="384">
        <v>1510</v>
      </c>
      <c r="C33" s="384">
        <v>0</v>
      </c>
      <c r="D33" s="392">
        <v>0</v>
      </c>
      <c r="E33" s="393">
        <v>226.5</v>
      </c>
      <c r="F33" s="384">
        <v>110</v>
      </c>
      <c r="G33" s="384">
        <v>92</v>
      </c>
      <c r="H33" s="384">
        <v>0</v>
      </c>
    </row>
    <row r="34" spans="1:9" ht="14.1" customHeight="1">
      <c r="A34" s="23" t="s">
        <v>252</v>
      </c>
      <c r="B34" s="67">
        <v>1607.5</v>
      </c>
      <c r="C34" s="67">
        <v>0</v>
      </c>
      <c r="D34" s="68">
        <v>198</v>
      </c>
      <c r="E34" s="69">
        <v>37</v>
      </c>
      <c r="F34" s="67">
        <v>122</v>
      </c>
      <c r="G34" s="67">
        <v>0</v>
      </c>
      <c r="H34" s="67">
        <v>0</v>
      </c>
    </row>
    <row r="35" spans="1:9" ht="14.1" customHeight="1">
      <c r="A35" s="357" t="s">
        <v>253</v>
      </c>
      <c r="B35" s="384">
        <v>8912.5</v>
      </c>
      <c r="C35" s="384">
        <v>0</v>
      </c>
      <c r="D35" s="392">
        <v>1126</v>
      </c>
      <c r="E35" s="393">
        <v>2533.5</v>
      </c>
      <c r="F35" s="384">
        <v>0</v>
      </c>
      <c r="G35" s="384">
        <v>1698.5</v>
      </c>
      <c r="H35" s="384">
        <v>414.5</v>
      </c>
    </row>
    <row r="36" spans="1:9" ht="14.1" customHeight="1">
      <c r="A36" s="23" t="s">
        <v>254</v>
      </c>
      <c r="B36" s="67">
        <v>1638.9</v>
      </c>
      <c r="C36" s="67">
        <v>0</v>
      </c>
      <c r="D36" s="68">
        <v>0</v>
      </c>
      <c r="E36" s="69">
        <v>0</v>
      </c>
      <c r="F36" s="67">
        <v>0</v>
      </c>
      <c r="G36" s="67">
        <v>0</v>
      </c>
      <c r="H36" s="67">
        <v>0</v>
      </c>
    </row>
    <row r="37" spans="1:9" ht="14.1" customHeight="1">
      <c r="A37" s="357" t="s">
        <v>255</v>
      </c>
      <c r="B37" s="384">
        <v>2021</v>
      </c>
      <c r="C37" s="384">
        <v>0</v>
      </c>
      <c r="D37" s="392">
        <v>686</v>
      </c>
      <c r="E37" s="393">
        <v>749.5</v>
      </c>
      <c r="F37" s="384">
        <v>0</v>
      </c>
      <c r="G37" s="384">
        <v>457</v>
      </c>
      <c r="H37" s="384">
        <v>0</v>
      </c>
    </row>
    <row r="38" spans="1:9" ht="14.1" customHeight="1">
      <c r="A38" s="23" t="s">
        <v>256</v>
      </c>
      <c r="B38" s="67">
        <v>5783.5</v>
      </c>
      <c r="C38" s="67">
        <v>0</v>
      </c>
      <c r="D38" s="68">
        <v>301.5</v>
      </c>
      <c r="E38" s="69">
        <v>3116</v>
      </c>
      <c r="F38" s="67">
        <v>0</v>
      </c>
      <c r="G38" s="67">
        <v>1232</v>
      </c>
      <c r="H38" s="67">
        <v>120.5</v>
      </c>
    </row>
    <row r="39" spans="1:9" ht="14.1" customHeight="1">
      <c r="A39" s="357" t="s">
        <v>257</v>
      </c>
      <c r="B39" s="384">
        <v>1530.5</v>
      </c>
      <c r="C39" s="384">
        <v>0</v>
      </c>
      <c r="D39" s="392">
        <v>0</v>
      </c>
      <c r="E39" s="393">
        <v>0</v>
      </c>
      <c r="F39" s="384">
        <v>0</v>
      </c>
      <c r="G39" s="384">
        <v>0</v>
      </c>
      <c r="H39" s="384">
        <v>0</v>
      </c>
    </row>
    <row r="40" spans="1:9" ht="14.1" customHeight="1">
      <c r="A40" s="23" t="s">
        <v>258</v>
      </c>
      <c r="B40" s="67">
        <v>5337.6</v>
      </c>
      <c r="C40" s="67">
        <v>0</v>
      </c>
      <c r="D40" s="68">
        <v>842.5</v>
      </c>
      <c r="E40" s="69">
        <v>930.78</v>
      </c>
      <c r="F40" s="67">
        <v>0</v>
      </c>
      <c r="G40" s="67">
        <v>561.88</v>
      </c>
      <c r="H40" s="67">
        <v>0</v>
      </c>
    </row>
    <row r="41" spans="1:9" ht="14.1" customHeight="1">
      <c r="A41" s="357" t="s">
        <v>259</v>
      </c>
      <c r="B41" s="384">
        <v>1778</v>
      </c>
      <c r="C41" s="384">
        <v>0</v>
      </c>
      <c r="D41" s="392">
        <v>0</v>
      </c>
      <c r="E41" s="393">
        <v>1868</v>
      </c>
      <c r="F41" s="384">
        <v>0</v>
      </c>
      <c r="G41" s="384">
        <v>652.5</v>
      </c>
      <c r="H41" s="384">
        <v>87.5</v>
      </c>
    </row>
    <row r="42" spans="1:9" ht="14.1" customHeight="1">
      <c r="A42" s="23" t="s">
        <v>260</v>
      </c>
      <c r="B42" s="67">
        <v>1003.9</v>
      </c>
      <c r="C42" s="67">
        <v>0</v>
      </c>
      <c r="D42" s="68">
        <v>0</v>
      </c>
      <c r="E42" s="69">
        <v>157</v>
      </c>
      <c r="F42" s="67">
        <v>0</v>
      </c>
      <c r="G42" s="67">
        <v>74</v>
      </c>
      <c r="H42" s="67">
        <v>0</v>
      </c>
    </row>
    <row r="43" spans="1:9" ht="14.1" customHeight="1">
      <c r="A43" s="357" t="s">
        <v>261</v>
      </c>
      <c r="B43" s="384">
        <v>935</v>
      </c>
      <c r="C43" s="384">
        <v>0</v>
      </c>
      <c r="D43" s="392">
        <v>0</v>
      </c>
      <c r="E43" s="393">
        <v>0</v>
      </c>
      <c r="F43" s="384">
        <v>0</v>
      </c>
      <c r="G43" s="384">
        <v>0</v>
      </c>
      <c r="H43" s="384">
        <v>0</v>
      </c>
    </row>
    <row r="44" spans="1:9" ht="14.1" customHeight="1">
      <c r="A44" s="23" t="s">
        <v>262</v>
      </c>
      <c r="B44" s="67">
        <v>659</v>
      </c>
      <c r="C44" s="67">
        <v>43</v>
      </c>
      <c r="D44" s="68">
        <v>0</v>
      </c>
      <c r="E44" s="69">
        <v>0</v>
      </c>
      <c r="F44" s="67">
        <v>0</v>
      </c>
      <c r="G44" s="67">
        <v>0</v>
      </c>
      <c r="H44" s="67">
        <v>0</v>
      </c>
    </row>
    <row r="45" spans="1:9" ht="14.1" customHeight="1">
      <c r="A45" s="357" t="s">
        <v>263</v>
      </c>
      <c r="B45" s="384">
        <v>747</v>
      </c>
      <c r="C45" s="384">
        <v>0</v>
      </c>
      <c r="D45" s="392">
        <v>0</v>
      </c>
      <c r="E45" s="393">
        <v>670</v>
      </c>
      <c r="F45" s="384">
        <v>0</v>
      </c>
      <c r="G45" s="384">
        <v>224</v>
      </c>
      <c r="H45" s="384">
        <v>0</v>
      </c>
    </row>
    <row r="46" spans="1:9" ht="14.1" customHeight="1">
      <c r="A46" s="23" t="s">
        <v>264</v>
      </c>
      <c r="B46" s="67">
        <v>22168.7</v>
      </c>
      <c r="C46" s="67">
        <v>0</v>
      </c>
      <c r="D46" s="68">
        <v>1188.5</v>
      </c>
      <c r="E46" s="69">
        <v>3734</v>
      </c>
      <c r="F46" s="67">
        <v>0</v>
      </c>
      <c r="G46" s="67">
        <v>2306</v>
      </c>
      <c r="H46" s="67">
        <v>179</v>
      </c>
    </row>
    <row r="47" spans="1:9" ht="5.0999999999999996" customHeight="1">
      <c r="A47"/>
      <c r="B47"/>
      <c r="C47"/>
      <c r="D47"/>
      <c r="E47"/>
      <c r="F47"/>
      <c r="G47"/>
      <c r="H47"/>
      <c r="I47"/>
    </row>
    <row r="48" spans="1:9" ht="14.1" customHeight="1">
      <c r="A48" s="360" t="s">
        <v>265</v>
      </c>
      <c r="B48" s="385">
        <f>SUM(B11:B46)</f>
        <v>121631.12</v>
      </c>
      <c r="C48" s="385">
        <f t="shared" ref="C48:H48" si="0">SUM(C11:C46)</f>
        <v>5358</v>
      </c>
      <c r="D48" s="507">
        <f t="shared" si="0"/>
        <v>10877</v>
      </c>
      <c r="E48" s="506">
        <f t="shared" si="0"/>
        <v>19598.28</v>
      </c>
      <c r="F48" s="385">
        <f t="shared" si="0"/>
        <v>232</v>
      </c>
      <c r="G48" s="385">
        <f t="shared" si="0"/>
        <v>9744.380000000001</v>
      </c>
      <c r="H48" s="385">
        <f t="shared" si="0"/>
        <v>946</v>
      </c>
    </row>
    <row r="49" spans="1:9" ht="5.0999999999999996" customHeight="1">
      <c r="A49" s="25" t="s">
        <v>3</v>
      </c>
      <c r="B49" s="70"/>
      <c r="C49" s="70"/>
      <c r="D49" s="70"/>
      <c r="E49" s="70"/>
      <c r="F49" s="70"/>
      <c r="G49" s="70"/>
      <c r="H49" s="70"/>
    </row>
    <row r="50" spans="1:9" ht="14.1" customHeight="1">
      <c r="A50" s="23" t="s">
        <v>266</v>
      </c>
      <c r="B50" s="67">
        <v>175</v>
      </c>
      <c r="C50" s="67">
        <v>0</v>
      </c>
      <c r="D50" s="68">
        <v>0</v>
      </c>
      <c r="E50" s="69">
        <v>0</v>
      </c>
      <c r="F50" s="67">
        <v>0</v>
      </c>
      <c r="G50" s="67">
        <v>0</v>
      </c>
      <c r="H50" s="67">
        <v>0</v>
      </c>
    </row>
    <row r="51" spans="1:9" ht="14.1" customHeight="1">
      <c r="A51" s="511" t="s">
        <v>691</v>
      </c>
      <c r="B51" s="384">
        <v>56</v>
      </c>
      <c r="C51" s="384">
        <v>0</v>
      </c>
      <c r="D51" s="392">
        <v>0</v>
      </c>
      <c r="E51" s="393">
        <v>0</v>
      </c>
      <c r="F51" s="384">
        <v>0</v>
      </c>
      <c r="G51" s="384">
        <v>0</v>
      </c>
      <c r="H51" s="384">
        <v>0</v>
      </c>
    </row>
    <row r="52" spans="1:9" ht="50.1" customHeight="1">
      <c r="A52" s="27"/>
      <c r="B52" s="71"/>
      <c r="C52" s="71"/>
      <c r="D52" s="71"/>
      <c r="E52" s="71"/>
      <c r="F52" s="71"/>
      <c r="G52" s="71"/>
      <c r="H52" s="71"/>
      <c r="I52" s="66"/>
    </row>
    <row r="53" spans="1:9" ht="15" customHeight="1">
      <c r="A53" s="66" t="s">
        <v>598</v>
      </c>
      <c r="C53" s="66"/>
      <c r="D53" s="66"/>
      <c r="E53" s="66"/>
      <c r="F53" s="66"/>
      <c r="G53" s="66"/>
      <c r="H53" s="66"/>
      <c r="I53" s="66"/>
    </row>
    <row r="54" spans="1:9" ht="12" customHeight="1">
      <c r="A54" s="66" t="s">
        <v>599</v>
      </c>
      <c r="C54" s="66"/>
      <c r="D54" s="66"/>
      <c r="E54" s="66"/>
      <c r="F54" s="66"/>
      <c r="G54" s="66"/>
      <c r="H54" s="66"/>
      <c r="I54" s="66"/>
    </row>
    <row r="55" spans="1:9" ht="14.45" customHeight="1"/>
    <row r="56" spans="1:9" ht="14.45" customHeight="1"/>
    <row r="57" spans="1:9" ht="14.45" customHeight="1"/>
    <row r="58" spans="1:9" ht="14.45" customHeight="1"/>
    <row r="59" spans="1:9" ht="14.45" customHeight="1"/>
  </sheetData>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40.xml><?xml version="1.0" encoding="utf-8"?>
<worksheet xmlns="http://schemas.openxmlformats.org/spreadsheetml/2006/main" xmlns:r="http://schemas.openxmlformats.org/officeDocument/2006/relationships">
  <sheetPr codeName="Sheet41">
    <pageSetUpPr fitToPage="1"/>
  </sheetPr>
  <dimension ref="A1:C60"/>
  <sheetViews>
    <sheetView showGridLines="0" showZeros="0" workbookViewId="0"/>
  </sheetViews>
  <sheetFormatPr defaultColWidth="19.83203125" defaultRowHeight="12"/>
  <cols>
    <col min="1" max="1" width="38.83203125" style="1" customWidth="1"/>
    <col min="2" max="2" width="40.83203125" style="1" customWidth="1"/>
    <col min="3" max="3" width="53.83203125" style="1" customWidth="1"/>
    <col min="4" max="16384" width="19.83203125" style="1"/>
  </cols>
  <sheetData>
    <row r="1" spans="1:3" ht="6.95" customHeight="1">
      <c r="A1" s="3"/>
    </row>
    <row r="2" spans="1:3" ht="15.95" customHeight="1">
      <c r="A2" s="259" t="s">
        <v>568</v>
      </c>
      <c r="B2" s="259"/>
      <c r="C2" s="260"/>
    </row>
    <row r="3" spans="1:3" ht="15.95" customHeight="1">
      <c r="A3" s="261" t="str">
        <f>REPLACE(REVYEAR,1,36,"")</f>
        <v>2014/2015 BUDGET</v>
      </c>
      <c r="B3" s="261"/>
      <c r="C3" s="262"/>
    </row>
    <row r="4" spans="1:3" ht="15.95" customHeight="1">
      <c r="B4" s="4"/>
    </row>
    <row r="5" spans="1:3" ht="15.95" customHeight="1">
      <c r="A5"/>
      <c r="B5"/>
      <c r="C5"/>
    </row>
    <row r="6" spans="1:3" ht="15.95" customHeight="1">
      <c r="A6"/>
      <c r="B6"/>
      <c r="C6"/>
    </row>
    <row r="7" spans="1:3" ht="15.95" customHeight="1">
      <c r="B7" s="373" t="s">
        <v>481</v>
      </c>
      <c r="C7"/>
    </row>
    <row r="8" spans="1:3" ht="15.95" customHeight="1">
      <c r="A8" s="330"/>
      <c r="B8" s="432" t="s">
        <v>567</v>
      </c>
      <c r="C8"/>
    </row>
    <row r="9" spans="1:3" ht="15.95" customHeight="1">
      <c r="A9" s="331" t="s">
        <v>81</v>
      </c>
      <c r="B9" s="376" t="s">
        <v>482</v>
      </c>
      <c r="C9"/>
    </row>
    <row r="10" spans="1:3" ht="5.0999999999999996" customHeight="1">
      <c r="A10" s="37"/>
      <c r="B10" s="245"/>
      <c r="C10"/>
    </row>
    <row r="11" spans="1:3" ht="14.1" customHeight="1">
      <c r="A11" s="357" t="s">
        <v>230</v>
      </c>
      <c r="B11" s="522">
        <v>135000</v>
      </c>
      <c r="C11"/>
    </row>
    <row r="12" spans="1:3" ht="14.1" customHeight="1">
      <c r="A12" s="23" t="s">
        <v>231</v>
      </c>
      <c r="B12" s="523">
        <v>286436</v>
      </c>
      <c r="C12"/>
    </row>
    <row r="13" spans="1:3" ht="14.1" customHeight="1">
      <c r="A13" s="357" t="s">
        <v>232</v>
      </c>
      <c r="B13" s="522">
        <v>254500</v>
      </c>
      <c r="C13"/>
    </row>
    <row r="14" spans="1:3" ht="14.1" customHeight="1">
      <c r="A14" s="23" t="s">
        <v>566</v>
      </c>
      <c r="B14" s="523">
        <v>140880</v>
      </c>
      <c r="C14"/>
    </row>
    <row r="15" spans="1:3" ht="14.1" customHeight="1">
      <c r="A15" s="357" t="s">
        <v>233</v>
      </c>
      <c r="B15" s="522">
        <v>335497</v>
      </c>
      <c r="C15"/>
    </row>
    <row r="16" spans="1:3" ht="14.1" customHeight="1">
      <c r="A16" s="23" t="s">
        <v>234</v>
      </c>
      <c r="B16" s="523">
        <v>240000</v>
      </c>
      <c r="C16"/>
    </row>
    <row r="17" spans="1:3" ht="14.1" customHeight="1">
      <c r="A17" s="357" t="s">
        <v>235</v>
      </c>
      <c r="B17" s="522">
        <v>200000</v>
      </c>
      <c r="C17"/>
    </row>
    <row r="18" spans="1:3" ht="14.1" customHeight="1">
      <c r="A18" s="23" t="s">
        <v>236</v>
      </c>
      <c r="B18" s="523">
        <v>1000000</v>
      </c>
      <c r="C18"/>
    </row>
    <row r="19" spans="1:3" ht="14.1" customHeight="1">
      <c r="A19" s="357" t="s">
        <v>237</v>
      </c>
      <c r="B19" s="522">
        <v>1246900</v>
      </c>
      <c r="C19"/>
    </row>
    <row r="20" spans="1:3" ht="14.1" customHeight="1">
      <c r="A20" s="23" t="s">
        <v>238</v>
      </c>
      <c r="B20" s="523">
        <v>1837700</v>
      </c>
      <c r="C20"/>
    </row>
    <row r="21" spans="1:3" ht="14.1" customHeight="1">
      <c r="A21" s="357" t="s">
        <v>239</v>
      </c>
      <c r="B21" s="522">
        <v>250000</v>
      </c>
      <c r="C21"/>
    </row>
    <row r="22" spans="1:3" ht="14.1" customHeight="1">
      <c r="A22" s="23" t="s">
        <v>240</v>
      </c>
      <c r="B22" s="523">
        <v>165000</v>
      </c>
      <c r="C22"/>
    </row>
    <row r="23" spans="1:3" ht="14.1" customHeight="1">
      <c r="A23" s="357" t="s">
        <v>241</v>
      </c>
      <c r="B23" s="522">
        <v>200000</v>
      </c>
      <c r="C23"/>
    </row>
    <row r="24" spans="1:3" ht="14.1" customHeight="1">
      <c r="A24" s="23" t="s">
        <v>242</v>
      </c>
      <c r="B24" s="523">
        <v>485035</v>
      </c>
      <c r="C24"/>
    </row>
    <row r="25" spans="1:3" ht="14.1" customHeight="1">
      <c r="A25" s="357" t="s">
        <v>243</v>
      </c>
      <c r="B25" s="522">
        <v>1022055</v>
      </c>
      <c r="C25"/>
    </row>
    <row r="26" spans="1:3" ht="14.1" customHeight="1">
      <c r="A26" s="23" t="s">
        <v>244</v>
      </c>
      <c r="B26" s="523">
        <v>812972</v>
      </c>
      <c r="C26"/>
    </row>
    <row r="27" spans="1:3" ht="14.1" customHeight="1">
      <c r="A27" s="357" t="s">
        <v>245</v>
      </c>
      <c r="B27" s="522">
        <v>564900</v>
      </c>
      <c r="C27"/>
    </row>
    <row r="28" spans="1:3" ht="14.1" customHeight="1">
      <c r="A28" s="23" t="s">
        <v>246</v>
      </c>
      <c r="B28" s="523">
        <v>54000</v>
      </c>
      <c r="C28"/>
    </row>
    <row r="29" spans="1:3" ht="14.1" customHeight="1">
      <c r="A29" s="357" t="s">
        <v>247</v>
      </c>
      <c r="B29" s="522">
        <v>1143500</v>
      </c>
      <c r="C29"/>
    </row>
    <row r="30" spans="1:3" ht="14.1" customHeight="1">
      <c r="A30" s="23" t="s">
        <v>248</v>
      </c>
      <c r="B30" s="523">
        <v>180000</v>
      </c>
      <c r="C30"/>
    </row>
    <row r="31" spans="1:3" ht="14.1" customHeight="1">
      <c r="A31" s="357" t="s">
        <v>249</v>
      </c>
      <c r="B31" s="522">
        <v>586000</v>
      </c>
      <c r="C31"/>
    </row>
    <row r="32" spans="1:3" ht="14.1" customHeight="1">
      <c r="A32" s="23" t="s">
        <v>250</v>
      </c>
      <c r="B32" s="523">
        <v>375100</v>
      </c>
      <c r="C32"/>
    </row>
    <row r="33" spans="1:3" ht="14.1" customHeight="1">
      <c r="A33" s="357" t="s">
        <v>251</v>
      </c>
      <c r="B33" s="522">
        <v>805025</v>
      </c>
      <c r="C33"/>
    </row>
    <row r="34" spans="1:3" ht="14.1" customHeight="1">
      <c r="A34" s="23" t="s">
        <v>252</v>
      </c>
      <c r="B34" s="523">
        <v>362374</v>
      </c>
      <c r="C34"/>
    </row>
    <row r="35" spans="1:3" ht="14.1" customHeight="1">
      <c r="A35" s="357" t="s">
        <v>253</v>
      </c>
      <c r="B35" s="522">
        <v>1655000</v>
      </c>
      <c r="C35"/>
    </row>
    <row r="36" spans="1:3" ht="14.1" customHeight="1">
      <c r="A36" s="23" t="s">
        <v>254</v>
      </c>
      <c r="B36" s="523">
        <v>340000</v>
      </c>
      <c r="C36"/>
    </row>
    <row r="37" spans="1:3" ht="14.1" customHeight="1">
      <c r="A37" s="357" t="s">
        <v>255</v>
      </c>
      <c r="B37" s="522">
        <v>758000</v>
      </c>
      <c r="C37"/>
    </row>
    <row r="38" spans="1:3" ht="14.1" customHeight="1">
      <c r="A38" s="23" t="s">
        <v>256</v>
      </c>
      <c r="B38" s="523">
        <v>2038725</v>
      </c>
      <c r="C38"/>
    </row>
    <row r="39" spans="1:3" ht="14.1" customHeight="1">
      <c r="A39" s="357" t="s">
        <v>257</v>
      </c>
      <c r="B39" s="522">
        <v>343500</v>
      </c>
      <c r="C39"/>
    </row>
    <row r="40" spans="1:3" ht="14.1" customHeight="1">
      <c r="A40" s="23" t="s">
        <v>258</v>
      </c>
      <c r="B40" s="523">
        <v>1070830</v>
      </c>
      <c r="C40"/>
    </row>
    <row r="41" spans="1:3" ht="14.1" customHeight="1">
      <c r="A41" s="357" t="s">
        <v>259</v>
      </c>
      <c r="B41" s="522">
        <v>1075652</v>
      </c>
      <c r="C41"/>
    </row>
    <row r="42" spans="1:3" ht="14.1" customHeight="1">
      <c r="A42" s="23" t="s">
        <v>260</v>
      </c>
      <c r="B42" s="523">
        <v>198000</v>
      </c>
      <c r="C42"/>
    </row>
    <row r="43" spans="1:3" ht="14.1" customHeight="1">
      <c r="A43" s="357" t="s">
        <v>261</v>
      </c>
      <c r="B43" s="522">
        <v>212000</v>
      </c>
      <c r="C43"/>
    </row>
    <row r="44" spans="1:3" ht="14.1" customHeight="1">
      <c r="A44" s="23" t="s">
        <v>262</v>
      </c>
      <c r="B44" s="523">
        <v>100000</v>
      </c>
      <c r="C44"/>
    </row>
    <row r="45" spans="1:3" ht="14.1" customHeight="1">
      <c r="A45" s="357" t="s">
        <v>263</v>
      </c>
      <c r="B45" s="522">
        <v>525200</v>
      </c>
      <c r="C45"/>
    </row>
    <row r="46" spans="1:3" ht="14.1" customHeight="1">
      <c r="A46" s="23" t="s">
        <v>264</v>
      </c>
      <c r="B46" s="523">
        <v>1912400</v>
      </c>
      <c r="C46"/>
    </row>
    <row r="47" spans="1:3" ht="5.0999999999999996" customHeight="1">
      <c r="A47"/>
      <c r="B47" s="524"/>
      <c r="C47"/>
    </row>
    <row r="48" spans="1:3" ht="14.1" customHeight="1">
      <c r="A48" s="360" t="s">
        <v>265</v>
      </c>
      <c r="B48" s="525">
        <f>SUM(B11:B46)</f>
        <v>22912181</v>
      </c>
      <c r="C48"/>
    </row>
    <row r="49" spans="1:3" ht="5.0999999999999996" customHeight="1">
      <c r="A49" s="25" t="s">
        <v>3</v>
      </c>
      <c r="B49" s="526"/>
      <c r="C49"/>
    </row>
    <row r="50" spans="1:3" ht="14.1" customHeight="1">
      <c r="A50" s="23" t="s">
        <v>266</v>
      </c>
      <c r="B50" s="523">
        <v>45500</v>
      </c>
      <c r="C50"/>
    </row>
    <row r="51" spans="1:3" ht="14.1" customHeight="1">
      <c r="A51" s="511" t="s">
        <v>691</v>
      </c>
      <c r="B51" s="522">
        <v>322049</v>
      </c>
      <c r="C51"/>
    </row>
    <row r="52" spans="1:3" ht="14.1" customHeight="1">
      <c r="A52" s="319"/>
      <c r="B52" s="320"/>
      <c r="C52"/>
    </row>
    <row r="53" spans="1:3" ht="50.1" customHeight="1">
      <c r="A53" s="27"/>
      <c r="B53" s="27"/>
      <c r="C53" s="605"/>
    </row>
    <row r="54" spans="1:3" ht="14.45" customHeight="1">
      <c r="A54" s="154" t="s">
        <v>587</v>
      </c>
    </row>
    <row r="55" spans="1:3" ht="14.45" customHeight="1"/>
    <row r="56" spans="1:3" ht="14.45" customHeight="1"/>
    <row r="57" spans="1:3" ht="14.45" customHeight="1"/>
    <row r="58" spans="1:3" ht="14.45" customHeight="1"/>
    <row r="59" spans="1:3" ht="14.45" customHeight="1"/>
    <row r="60" spans="1:3" ht="14.45" customHeight="1"/>
  </sheetData>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41.xml><?xml version="1.0" encoding="utf-8"?>
<worksheet xmlns="http://schemas.openxmlformats.org/spreadsheetml/2006/main" xmlns:r="http://schemas.openxmlformats.org/officeDocument/2006/relationships">
  <sheetPr codeName="Sheet42">
    <pageSetUpPr fitToPage="1"/>
  </sheetPr>
  <dimension ref="A1:D59"/>
  <sheetViews>
    <sheetView showGridLines="0" showZeros="0" workbookViewId="0"/>
  </sheetViews>
  <sheetFormatPr defaultColWidth="15.83203125" defaultRowHeight="12"/>
  <cols>
    <col min="1" max="1" width="35.83203125" style="1" customWidth="1"/>
    <col min="2" max="3" width="25.83203125" style="1" customWidth="1"/>
    <col min="4" max="4" width="45.83203125" style="1" customWidth="1"/>
    <col min="5" max="16384" width="15.83203125" style="1"/>
  </cols>
  <sheetData>
    <row r="1" spans="1:4" ht="6.95" customHeight="1">
      <c r="A1" s="3"/>
    </row>
    <row r="2" spans="1:4" ht="17.100000000000001" customHeight="1">
      <c r="A2" s="321"/>
      <c r="B2" s="322" t="s">
        <v>539</v>
      </c>
      <c r="C2" s="160"/>
      <c r="D2" s="171"/>
    </row>
    <row r="3" spans="1:4" ht="15" customHeight="1">
      <c r="A3" s="323"/>
      <c r="B3" s="261" t="s">
        <v>675</v>
      </c>
      <c r="C3" s="175"/>
      <c r="D3" s="324"/>
    </row>
    <row r="4" spans="1:4" ht="15.95" customHeight="1">
      <c r="A4" s="158"/>
      <c r="B4" s="4"/>
      <c r="C4" s="75"/>
    </row>
    <row r="5" spans="1:4" ht="15.95" customHeight="1">
      <c r="A5" s="1" t="str">
        <f>REPLACE(A4,5,5,"")</f>
        <v/>
      </c>
      <c r="B5" s="4"/>
      <c r="C5" s="4"/>
    </row>
    <row r="6" spans="1:4" ht="15.95" customHeight="1">
      <c r="B6"/>
      <c r="C6"/>
    </row>
    <row r="7" spans="1:4" ht="15.95" customHeight="1">
      <c r="B7" s="447" t="s">
        <v>444</v>
      </c>
      <c r="C7" s="447"/>
    </row>
    <row r="8" spans="1:4" ht="15.95" customHeight="1">
      <c r="A8" s="102"/>
      <c r="B8" s="448" t="s">
        <v>113</v>
      </c>
      <c r="C8" s="448" t="s">
        <v>77</v>
      </c>
    </row>
    <row r="9" spans="1:4" ht="15.95" customHeight="1">
      <c r="A9" s="35" t="s">
        <v>81</v>
      </c>
      <c r="B9" s="449" t="s">
        <v>146</v>
      </c>
      <c r="C9" s="449" t="s">
        <v>445</v>
      </c>
    </row>
    <row r="10" spans="1:4" ht="5.0999999999999996" customHeight="1">
      <c r="A10" s="37"/>
      <c r="B10" s="245"/>
      <c r="C10" s="598">
        <v>1.1390000000000001E-2</v>
      </c>
    </row>
    <row r="11" spans="1:4" ht="14.1" customHeight="1">
      <c r="A11" s="357" t="s">
        <v>230</v>
      </c>
      <c r="B11" s="358">
        <f>'- 48 -'!D11</f>
        <v>132273990</v>
      </c>
      <c r="C11" s="358">
        <f t="shared" ref="C11:C46" si="0">B11*C$10</f>
        <v>1506600.7461000001</v>
      </c>
    </row>
    <row r="12" spans="1:4" ht="14.1" customHeight="1">
      <c r="A12" s="23" t="s">
        <v>231</v>
      </c>
      <c r="B12" s="24">
        <f>'- 48 -'!D12</f>
        <v>163958020</v>
      </c>
      <c r="C12" s="24">
        <f t="shared" si="0"/>
        <v>1867481.8478000001</v>
      </c>
    </row>
    <row r="13" spans="1:4" ht="14.1" customHeight="1">
      <c r="A13" s="357" t="s">
        <v>232</v>
      </c>
      <c r="B13" s="358">
        <f>'- 48 -'!D13</f>
        <v>816560210</v>
      </c>
      <c r="C13" s="358">
        <f t="shared" si="0"/>
        <v>9300620.7919000015</v>
      </c>
    </row>
    <row r="14" spans="1:4" ht="14.1" customHeight="1">
      <c r="A14" s="23" t="s">
        <v>566</v>
      </c>
      <c r="B14" s="24">
        <f>'- 48 -'!D14</f>
        <v>0</v>
      </c>
      <c r="C14" s="24">
        <f t="shared" si="0"/>
        <v>0</v>
      </c>
    </row>
    <row r="15" spans="1:4" ht="14.1" customHeight="1">
      <c r="A15" s="357" t="s">
        <v>233</v>
      </c>
      <c r="B15" s="358">
        <f>'- 48 -'!D15</f>
        <v>109334670</v>
      </c>
      <c r="C15" s="358">
        <f t="shared" si="0"/>
        <v>1245321.8913</v>
      </c>
    </row>
    <row r="16" spans="1:4" ht="14.1" customHeight="1">
      <c r="A16" s="23" t="s">
        <v>234</v>
      </c>
      <c r="B16" s="24">
        <f>'- 48 -'!D16</f>
        <v>32874790</v>
      </c>
      <c r="C16" s="24">
        <f t="shared" si="0"/>
        <v>374443.85810000001</v>
      </c>
    </row>
    <row r="17" spans="1:3" ht="14.1" customHeight="1">
      <c r="A17" s="357" t="s">
        <v>235</v>
      </c>
      <c r="B17" s="358">
        <f>'- 48 -'!D17</f>
        <v>415012660</v>
      </c>
      <c r="C17" s="358">
        <f t="shared" si="0"/>
        <v>4726994.1973999999</v>
      </c>
    </row>
    <row r="18" spans="1:3" ht="14.1" customHeight="1">
      <c r="A18" s="23" t="s">
        <v>236</v>
      </c>
      <c r="B18" s="24">
        <f>'- 48 -'!D18</f>
        <v>67493710</v>
      </c>
      <c r="C18" s="24">
        <f t="shared" si="0"/>
        <v>768753.35690000001</v>
      </c>
    </row>
    <row r="19" spans="1:3" ht="14.1" customHeight="1">
      <c r="A19" s="357" t="s">
        <v>237</v>
      </c>
      <c r="B19" s="358">
        <f>'- 48 -'!D19</f>
        <v>247405680</v>
      </c>
      <c r="C19" s="358">
        <f t="shared" si="0"/>
        <v>2817950.6952000004</v>
      </c>
    </row>
    <row r="20" spans="1:3" ht="14.1" customHeight="1">
      <c r="A20" s="23" t="s">
        <v>238</v>
      </c>
      <c r="B20" s="24">
        <f>'- 48 -'!D20</f>
        <v>338837390</v>
      </c>
      <c r="C20" s="24">
        <f t="shared" si="0"/>
        <v>3859357.8721000003</v>
      </c>
    </row>
    <row r="21" spans="1:3" ht="14.1" customHeight="1">
      <c r="A21" s="357" t="s">
        <v>239</v>
      </c>
      <c r="B21" s="358">
        <f>'- 48 -'!D21</f>
        <v>232737810</v>
      </c>
      <c r="C21" s="358">
        <f t="shared" si="0"/>
        <v>2650883.6559000001</v>
      </c>
    </row>
    <row r="22" spans="1:3" ht="14.1" customHeight="1">
      <c r="A22" s="23" t="s">
        <v>240</v>
      </c>
      <c r="B22" s="24">
        <f>'- 48 -'!D22</f>
        <v>63034680</v>
      </c>
      <c r="C22" s="24">
        <f t="shared" si="0"/>
        <v>717965.00520000001</v>
      </c>
    </row>
    <row r="23" spans="1:3" ht="14.1" customHeight="1">
      <c r="A23" s="357" t="s">
        <v>241</v>
      </c>
      <c r="B23" s="358">
        <f>'- 48 -'!D23</f>
        <v>27385290</v>
      </c>
      <c r="C23" s="358">
        <f t="shared" si="0"/>
        <v>311918.45310000004</v>
      </c>
    </row>
    <row r="24" spans="1:3" ht="14.1" customHeight="1">
      <c r="A24" s="23" t="s">
        <v>242</v>
      </c>
      <c r="B24" s="24">
        <f>'- 48 -'!D24</f>
        <v>216069280</v>
      </c>
      <c r="C24" s="24">
        <f t="shared" si="0"/>
        <v>2461029.0992000001</v>
      </c>
    </row>
    <row r="25" spans="1:3" ht="14.1" customHeight="1">
      <c r="A25" s="357" t="s">
        <v>243</v>
      </c>
      <c r="B25" s="358">
        <f>'- 48 -'!D25</f>
        <v>1110121040</v>
      </c>
      <c r="C25" s="358">
        <f t="shared" si="0"/>
        <v>12644278.6456</v>
      </c>
    </row>
    <row r="26" spans="1:3" ht="14.1" customHeight="1">
      <c r="A26" s="23" t="s">
        <v>244</v>
      </c>
      <c r="B26" s="24">
        <f>'- 48 -'!D26</f>
        <v>123119770</v>
      </c>
      <c r="C26" s="24">
        <f t="shared" si="0"/>
        <v>1402334.1803000001</v>
      </c>
    </row>
    <row r="27" spans="1:3" ht="14.1" customHeight="1">
      <c r="A27" s="357" t="s">
        <v>245</v>
      </c>
      <c r="B27" s="358">
        <f>'- 48 -'!D27</f>
        <v>122521140</v>
      </c>
      <c r="C27" s="358">
        <f t="shared" si="0"/>
        <v>1395515.7846000001</v>
      </c>
    </row>
    <row r="28" spans="1:3" ht="14.1" customHeight="1">
      <c r="A28" s="23" t="s">
        <v>246</v>
      </c>
      <c r="B28" s="24">
        <f>'- 48 -'!D28</f>
        <v>174333830</v>
      </c>
      <c r="C28" s="24">
        <f t="shared" si="0"/>
        <v>1985662.3237000001</v>
      </c>
    </row>
    <row r="29" spans="1:3" ht="14.1" customHeight="1">
      <c r="A29" s="357" t="s">
        <v>247</v>
      </c>
      <c r="B29" s="358">
        <f>'- 48 -'!D29</f>
        <v>1221183820</v>
      </c>
      <c r="C29" s="358">
        <f t="shared" si="0"/>
        <v>13909283.709800001</v>
      </c>
    </row>
    <row r="30" spans="1:3" ht="14.1" customHeight="1">
      <c r="A30" s="23" t="s">
        <v>248</v>
      </c>
      <c r="B30" s="24">
        <f>'- 48 -'!D30</f>
        <v>85613660</v>
      </c>
      <c r="C30" s="24">
        <f t="shared" si="0"/>
        <v>975139.58740000008</v>
      </c>
    </row>
    <row r="31" spans="1:3" ht="14.1" customHeight="1">
      <c r="A31" s="357" t="s">
        <v>249</v>
      </c>
      <c r="B31" s="358">
        <f>'- 48 -'!D31</f>
        <v>310931710</v>
      </c>
      <c r="C31" s="358">
        <f t="shared" si="0"/>
        <v>3541512.1769000003</v>
      </c>
    </row>
    <row r="32" spans="1:3" ht="14.1" customHeight="1">
      <c r="A32" s="23" t="s">
        <v>250</v>
      </c>
      <c r="B32" s="24">
        <f>'- 48 -'!D32</f>
        <v>127524080</v>
      </c>
      <c r="C32" s="24">
        <f t="shared" si="0"/>
        <v>1452499.2712000001</v>
      </c>
    </row>
    <row r="33" spans="1:4" ht="14.1" customHeight="1">
      <c r="A33" s="357" t="s">
        <v>251</v>
      </c>
      <c r="B33" s="358">
        <f>'- 48 -'!D33</f>
        <v>157127140</v>
      </c>
      <c r="C33" s="358">
        <f t="shared" si="0"/>
        <v>1789678.1246000002</v>
      </c>
    </row>
    <row r="34" spans="1:4" ht="14.1" customHeight="1">
      <c r="A34" s="23" t="s">
        <v>252</v>
      </c>
      <c r="B34" s="24">
        <f>'- 48 -'!D34</f>
        <v>216116670</v>
      </c>
      <c r="C34" s="24">
        <f t="shared" si="0"/>
        <v>2461568.8713000002</v>
      </c>
    </row>
    <row r="35" spans="1:4" ht="14.1" customHeight="1">
      <c r="A35" s="357" t="s">
        <v>253</v>
      </c>
      <c r="B35" s="358">
        <f>'- 48 -'!D35</f>
        <v>873576840</v>
      </c>
      <c r="C35" s="358">
        <f t="shared" si="0"/>
        <v>9950040.2076000012</v>
      </c>
    </row>
    <row r="36" spans="1:4" ht="14.1" customHeight="1">
      <c r="A36" s="23" t="s">
        <v>254</v>
      </c>
      <c r="B36" s="24">
        <f>'- 48 -'!D36</f>
        <v>167125050</v>
      </c>
      <c r="C36" s="24">
        <f t="shared" si="0"/>
        <v>1903554.3195000002</v>
      </c>
    </row>
    <row r="37" spans="1:4" ht="14.1" customHeight="1">
      <c r="A37" s="357" t="s">
        <v>255</v>
      </c>
      <c r="B37" s="358">
        <f>'- 48 -'!D37</f>
        <v>162935650</v>
      </c>
      <c r="C37" s="358">
        <f t="shared" si="0"/>
        <v>1855837.0535000002</v>
      </c>
    </row>
    <row r="38" spans="1:4" ht="14.1" customHeight="1">
      <c r="A38" s="23" t="s">
        <v>256</v>
      </c>
      <c r="B38" s="24">
        <f>'- 48 -'!D38</f>
        <v>319488890</v>
      </c>
      <c r="C38" s="24">
        <f t="shared" si="0"/>
        <v>3638978.4571000002</v>
      </c>
    </row>
    <row r="39" spans="1:4" ht="14.1" customHeight="1">
      <c r="A39" s="357" t="s">
        <v>257</v>
      </c>
      <c r="B39" s="358">
        <f>'- 48 -'!D39</f>
        <v>374353950</v>
      </c>
      <c r="C39" s="358">
        <f t="shared" si="0"/>
        <v>4263891.4905000003</v>
      </c>
    </row>
    <row r="40" spans="1:4" ht="14.1" customHeight="1">
      <c r="A40" s="23" t="s">
        <v>258</v>
      </c>
      <c r="B40" s="24">
        <f>'- 48 -'!D40</f>
        <v>1421528950</v>
      </c>
      <c r="C40" s="24">
        <f t="shared" si="0"/>
        <v>16191214.740500001</v>
      </c>
    </row>
    <row r="41" spans="1:4" ht="14.1" customHeight="1">
      <c r="A41" s="357" t="s">
        <v>259</v>
      </c>
      <c r="B41" s="358">
        <f>'- 48 -'!D41</f>
        <v>355014220</v>
      </c>
      <c r="C41" s="358">
        <f t="shared" si="0"/>
        <v>4043611.9658000004</v>
      </c>
    </row>
    <row r="42" spans="1:4" ht="14.1" customHeight="1">
      <c r="A42" s="23" t="s">
        <v>260</v>
      </c>
      <c r="B42" s="24">
        <f>'- 48 -'!D42</f>
        <v>72225690</v>
      </c>
      <c r="C42" s="24">
        <f t="shared" si="0"/>
        <v>822650.6091</v>
      </c>
    </row>
    <row r="43" spans="1:4" ht="14.1" customHeight="1">
      <c r="A43" s="357" t="s">
        <v>261</v>
      </c>
      <c r="B43" s="358">
        <f>'- 48 -'!D43</f>
        <v>57585250</v>
      </c>
      <c r="C43" s="358">
        <f t="shared" si="0"/>
        <v>655895.99750000006</v>
      </c>
    </row>
    <row r="44" spans="1:4" ht="14.1" customHeight="1">
      <c r="A44" s="23" t="s">
        <v>262</v>
      </c>
      <c r="B44" s="24">
        <f>'- 48 -'!D44</f>
        <v>13186850</v>
      </c>
      <c r="C44" s="24">
        <f t="shared" si="0"/>
        <v>150198.22150000001</v>
      </c>
    </row>
    <row r="45" spans="1:4" ht="14.1" customHeight="1">
      <c r="A45" s="357" t="s">
        <v>263</v>
      </c>
      <c r="B45" s="358">
        <f>'- 48 -'!D45</f>
        <v>88439080</v>
      </c>
      <c r="C45" s="358">
        <f t="shared" si="0"/>
        <v>1007321.1212000001</v>
      </c>
    </row>
    <row r="46" spans="1:4" ht="14.1" customHeight="1">
      <c r="A46" s="23" t="s">
        <v>264</v>
      </c>
      <c r="B46" s="24">
        <f>'- 48 -'!D46</f>
        <v>4101084700</v>
      </c>
      <c r="C46" s="24">
        <f t="shared" si="0"/>
        <v>46711354.733000003</v>
      </c>
      <c r="D46"/>
    </row>
    <row r="47" spans="1:4" ht="6" customHeight="1">
      <c r="A47"/>
      <c r="B47"/>
      <c r="C47"/>
      <c r="D47"/>
    </row>
    <row r="48" spans="1:4" ht="14.1" customHeight="1">
      <c r="A48" s="360" t="s">
        <v>270</v>
      </c>
      <c r="B48" s="361">
        <f>SUM(B11:B46)</f>
        <v>14518116160</v>
      </c>
      <c r="C48" s="361">
        <f>SUM(C11:C46)</f>
        <v>165361343.06239998</v>
      </c>
      <c r="D48"/>
    </row>
    <row r="49" spans="1:4" ht="6" customHeight="1">
      <c r="A49" s="25"/>
      <c r="B49" s="26"/>
      <c r="C49" s="26"/>
      <c r="D49"/>
    </row>
    <row r="50" spans="1:4" ht="14.1" customHeight="1">
      <c r="A50" s="23" t="s">
        <v>268</v>
      </c>
      <c r="B50" s="24">
        <f>'- 48 -'!D50</f>
        <v>3482490</v>
      </c>
      <c r="C50" s="24">
        <v>0</v>
      </c>
      <c r="D50"/>
    </row>
    <row r="51" spans="1:4" ht="14.1" customHeight="1">
      <c r="A51" s="357" t="s">
        <v>269</v>
      </c>
      <c r="B51" s="358">
        <f>'- 48 -'!D51</f>
        <v>49087090</v>
      </c>
      <c r="C51" s="358">
        <f>B51*C$10</f>
        <v>559101.95510000002</v>
      </c>
      <c r="D51"/>
    </row>
    <row r="52" spans="1:4" ht="6" customHeight="1">
      <c r="A52" s="154"/>
      <c r="B52" s="170"/>
      <c r="C52" s="170"/>
      <c r="D52"/>
    </row>
    <row r="53" spans="1:4" ht="14.45" customHeight="1">
      <c r="A53" s="360" t="s">
        <v>265</v>
      </c>
      <c r="B53" s="361">
        <f>SUM(B48,B50:B51)</f>
        <v>14570685740</v>
      </c>
      <c r="C53" s="361">
        <f>SUM(C48,C50:C51)</f>
        <v>165920445.01749998</v>
      </c>
      <c r="D53" s="604"/>
    </row>
    <row r="54" spans="1:4" ht="29.1" customHeight="1">
      <c r="A54" s="325"/>
      <c r="B54" s="325"/>
      <c r="C54" s="325"/>
      <c r="D54" s="27"/>
    </row>
    <row r="55" spans="1:4" ht="14.45" customHeight="1">
      <c r="A55" s="505" t="s">
        <v>659</v>
      </c>
      <c r="B55" s="39"/>
      <c r="C55" s="39"/>
      <c r="D55" s="39"/>
    </row>
    <row r="56" spans="1:4" ht="14.45" customHeight="1">
      <c r="A56" s="28"/>
      <c r="B56" s="39"/>
      <c r="C56" s="39"/>
      <c r="D56" s="39"/>
    </row>
    <row r="57" spans="1:4" ht="14.45" customHeight="1">
      <c r="A57" s="29"/>
      <c r="B57" s="39"/>
      <c r="C57" s="39"/>
      <c r="D57" s="39"/>
    </row>
    <row r="58" spans="1:4" ht="14.45" customHeight="1">
      <c r="B58" s="115"/>
      <c r="C58" s="115"/>
    </row>
    <row r="59" spans="1:4" ht="14.45" customHeight="1"/>
  </sheetData>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42.xml><?xml version="1.0" encoding="utf-8"?>
<worksheet xmlns="http://schemas.openxmlformats.org/spreadsheetml/2006/main" xmlns:r="http://schemas.openxmlformats.org/officeDocument/2006/relationships">
  <sheetPr codeName="Sheet43">
    <pageSetUpPr fitToPage="1"/>
  </sheetPr>
  <dimension ref="A1:L57"/>
  <sheetViews>
    <sheetView showGridLines="0" showZeros="0" workbookViewId="0"/>
  </sheetViews>
  <sheetFormatPr defaultColWidth="15.83203125" defaultRowHeight="12"/>
  <cols>
    <col min="1" max="1" width="30.83203125" style="1" customWidth="1"/>
    <col min="2" max="2" width="18.83203125" style="1" customWidth="1"/>
    <col min="3" max="3" width="15.83203125" style="1"/>
    <col min="4" max="4" width="16.83203125" style="1" customWidth="1"/>
    <col min="5" max="5" width="17.83203125" style="1" customWidth="1"/>
    <col min="6" max="6" width="15.83203125" style="1"/>
    <col min="7" max="7" width="16" style="1" customWidth="1"/>
    <col min="8" max="8" width="0" style="1" hidden="1" customWidth="1"/>
    <col min="9" max="9" width="21" style="1" hidden="1" customWidth="1"/>
    <col min="10" max="10" width="0" style="1" hidden="1" customWidth="1"/>
    <col min="11" max="16384" width="15.83203125" style="1"/>
  </cols>
  <sheetData>
    <row r="1" spans="1:12" ht="6.95" customHeight="1">
      <c r="A1" s="3"/>
    </row>
    <row r="2" spans="1:12" ht="15.95" customHeight="1">
      <c r="A2" s="259" t="s">
        <v>96</v>
      </c>
      <c r="B2" s="260"/>
      <c r="C2" s="260"/>
      <c r="D2" s="260"/>
      <c r="E2" s="260"/>
      <c r="F2" s="260"/>
      <c r="G2" s="260"/>
    </row>
    <row r="3" spans="1:12" ht="15.95" customHeight="1">
      <c r="A3" s="261" t="str">
        <f>TAXYEAR</f>
        <v>FOR THE 2014 TAXATION YEAR (2014 IS A REASSESSMENT YEAR)</v>
      </c>
      <c r="B3" s="262"/>
      <c r="C3" s="262"/>
      <c r="D3" s="262"/>
      <c r="E3" s="263"/>
      <c r="F3" s="263"/>
      <c r="G3" s="262"/>
    </row>
    <row r="4" spans="1:12" ht="15.95" customHeight="1">
      <c r="B4" s="4"/>
      <c r="C4" s="4"/>
      <c r="D4" s="4"/>
      <c r="E4" s="75"/>
      <c r="F4" s="75"/>
      <c r="G4" s="75"/>
    </row>
    <row r="5" spans="1:12" ht="15.95" customHeight="1">
      <c r="B5" s="4"/>
      <c r="C5" s="4"/>
      <c r="D5" s="4"/>
      <c r="E5" s="4"/>
      <c r="F5" s="4"/>
      <c r="G5" s="4"/>
    </row>
    <row r="6" spans="1:12" ht="15.95" customHeight="1">
      <c r="B6" s="244" t="s">
        <v>540</v>
      </c>
      <c r="C6" s="192"/>
      <c r="D6" s="192"/>
      <c r="E6" s="190"/>
      <c r="F6" s="4"/>
      <c r="G6" s="4"/>
      <c r="H6" s="155" t="s">
        <v>135</v>
      </c>
    </row>
    <row r="7" spans="1:12" ht="15.95" customHeight="1">
      <c r="B7" s="446" t="s">
        <v>110</v>
      </c>
      <c r="C7" s="446" t="s">
        <v>111</v>
      </c>
      <c r="D7" s="447"/>
      <c r="E7" s="373"/>
      <c r="F7" s="444"/>
      <c r="G7" s="373" t="s">
        <v>112</v>
      </c>
      <c r="H7" s="155" t="s">
        <v>126</v>
      </c>
    </row>
    <row r="8" spans="1:12" ht="15.95" customHeight="1">
      <c r="A8" s="32"/>
      <c r="B8" s="450" t="s">
        <v>132</v>
      </c>
      <c r="C8" s="450" t="s">
        <v>133</v>
      </c>
      <c r="D8" s="451" t="s">
        <v>3</v>
      </c>
      <c r="E8" s="452"/>
      <c r="F8" s="432" t="s">
        <v>112</v>
      </c>
      <c r="G8" s="432" t="s">
        <v>134</v>
      </c>
      <c r="H8" s="155" t="s">
        <v>208</v>
      </c>
    </row>
    <row r="9" spans="1:12" ht="15.95" customHeight="1">
      <c r="A9" s="264" t="s">
        <v>81</v>
      </c>
      <c r="B9" s="449" t="s">
        <v>145</v>
      </c>
      <c r="C9" s="449" t="s">
        <v>143</v>
      </c>
      <c r="D9" s="449" t="s">
        <v>146</v>
      </c>
      <c r="E9" s="376" t="s">
        <v>54</v>
      </c>
      <c r="F9" s="376" t="s">
        <v>415</v>
      </c>
      <c r="G9" s="376" t="s">
        <v>414</v>
      </c>
      <c r="H9" s="155" t="s">
        <v>209</v>
      </c>
    </row>
    <row r="10" spans="1:12" ht="5.0999999999999996" customHeight="1">
      <c r="A10" s="22"/>
      <c r="B10" s="245"/>
      <c r="C10" s="3"/>
      <c r="D10" s="245"/>
      <c r="E10" s="245"/>
      <c r="F10" s="3"/>
      <c r="G10" s="3"/>
    </row>
    <row r="11" spans="1:12" ht="14.1" customHeight="1">
      <c r="A11" s="357" t="s">
        <v>230</v>
      </c>
      <c r="B11" s="358">
        <v>246171580</v>
      </c>
      <c r="C11" s="358">
        <v>193797620</v>
      </c>
      <c r="D11" s="358">
        <v>132273990</v>
      </c>
      <c r="E11" s="358">
        <v>572243190</v>
      </c>
      <c r="F11" s="358">
        <f>'- 51 -'!C11</f>
        <v>7548718</v>
      </c>
      <c r="G11" s="359">
        <f t="shared" ref="G11:G46" si="0">F11/E11*1000</f>
        <v>13.191450998307207</v>
      </c>
      <c r="I11" s="258" t="str">
        <f>A11</f>
        <v xml:space="preserve"> BEAUTIFUL PLAINS</v>
      </c>
      <c r="J11" s="265">
        <f>G11</f>
        <v>13.191450998307207</v>
      </c>
      <c r="K11" s="1">
        <f>F11-'- 51 -'!C11</f>
        <v>0</v>
      </c>
    </row>
    <row r="12" spans="1:12" ht="14.1" customHeight="1">
      <c r="A12" s="23" t="s">
        <v>231</v>
      </c>
      <c r="B12" s="24">
        <v>280258160</v>
      </c>
      <c r="C12" s="24">
        <v>233313040</v>
      </c>
      <c r="D12" s="24">
        <v>163958020</v>
      </c>
      <c r="E12" s="24">
        <v>677529220</v>
      </c>
      <c r="F12" s="24">
        <f>'- 51 -'!C12</f>
        <v>11382491</v>
      </c>
      <c r="G12" s="350">
        <f t="shared" si="0"/>
        <v>16.800000153498914</v>
      </c>
      <c r="I12" s="258" t="str">
        <f>A12</f>
        <v xml:space="preserve"> BORDER LAND</v>
      </c>
      <c r="J12" s="265">
        <f>G12</f>
        <v>16.800000153498914</v>
      </c>
      <c r="K12" s="99">
        <f>F12-'- 51 -'!C12</f>
        <v>0</v>
      </c>
    </row>
    <row r="13" spans="1:12" ht="14.1" customHeight="1">
      <c r="A13" s="357" t="s">
        <v>232</v>
      </c>
      <c r="B13" s="358">
        <v>1744668360</v>
      </c>
      <c r="C13" s="358">
        <v>61704490</v>
      </c>
      <c r="D13" s="358">
        <v>816560210</v>
      </c>
      <c r="E13" s="358">
        <v>2622933060</v>
      </c>
      <c r="F13" s="358">
        <f>'- 51 -'!C13</f>
        <v>40665635</v>
      </c>
      <c r="G13" s="359">
        <f t="shared" si="0"/>
        <v>15.503878318572109</v>
      </c>
      <c r="I13" s="258" t="str">
        <f>A13</f>
        <v xml:space="preserve"> BRANDON</v>
      </c>
      <c r="J13" s="265">
        <f>G13</f>
        <v>15.503878318572109</v>
      </c>
      <c r="K13" s="1">
        <f>F13-'- 51 -'!C13</f>
        <v>0</v>
      </c>
    </row>
    <row r="14" spans="1:12" ht="14.1" customHeight="1">
      <c r="A14" s="23" t="s">
        <v>566</v>
      </c>
      <c r="B14" s="24"/>
      <c r="C14" s="24"/>
      <c r="D14" s="24"/>
      <c r="E14" s="24"/>
      <c r="F14" s="24">
        <f>'- 51 -'!C14</f>
        <v>0</v>
      </c>
      <c r="G14" s="350"/>
      <c r="I14" s="258" t="str">
        <f>A15</f>
        <v xml:space="preserve"> EVERGREEN</v>
      </c>
      <c r="J14" s="265">
        <f>G15</f>
        <v>11.445407414871621</v>
      </c>
      <c r="K14" s="1">
        <f>F14-'- 51 -'!C14</f>
        <v>0</v>
      </c>
      <c r="L14" s="623"/>
    </row>
    <row r="15" spans="1:12" ht="14.1" customHeight="1">
      <c r="A15" s="357" t="s">
        <v>233</v>
      </c>
      <c r="B15" s="358">
        <v>648426430</v>
      </c>
      <c r="C15" s="358">
        <v>73563610</v>
      </c>
      <c r="D15" s="358">
        <v>109334670</v>
      </c>
      <c r="E15" s="358">
        <v>831324710</v>
      </c>
      <c r="F15" s="358">
        <f>'- 51 -'!C15</f>
        <v>9514850</v>
      </c>
      <c r="G15" s="359">
        <f t="shared" si="0"/>
        <v>11.445407414871621</v>
      </c>
      <c r="I15" s="258" t="str">
        <f t="shared" ref="I15:I45" si="1">A16</f>
        <v xml:space="preserve"> FLIN FLON</v>
      </c>
      <c r="J15" s="265">
        <f t="shared" ref="J15:J45" si="2">G16</f>
        <v>19.759731717131807</v>
      </c>
      <c r="K15" s="1">
        <f>F15-'- 51 -'!C15</f>
        <v>0</v>
      </c>
    </row>
    <row r="16" spans="1:12" ht="14.1" customHeight="1">
      <c r="A16" s="23" t="s">
        <v>234</v>
      </c>
      <c r="B16" s="24">
        <v>86184620</v>
      </c>
      <c r="C16" s="24">
        <v>0</v>
      </c>
      <c r="D16" s="24">
        <v>32874790</v>
      </c>
      <c r="E16" s="24">
        <v>119059410</v>
      </c>
      <c r="F16" s="24">
        <f>'- 51 -'!C16</f>
        <v>3888172</v>
      </c>
      <c r="G16" s="350">
        <f>(F16-H16)/E16*1000</f>
        <v>19.759731717131807</v>
      </c>
      <c r="H16" s="627">
        <v>1535590</v>
      </c>
      <c r="I16" s="258" t="str">
        <f t="shared" si="1"/>
        <v xml:space="preserve"> FORT LA BOSSE</v>
      </c>
      <c r="J16" s="265">
        <f t="shared" si="2"/>
        <v>9.7989453264793145</v>
      </c>
      <c r="K16" s="1">
        <f>F16-'- 51 -'!C16</f>
        <v>0</v>
      </c>
    </row>
    <row r="17" spans="1:11" ht="14.1" customHeight="1">
      <c r="A17" s="357" t="s">
        <v>235</v>
      </c>
      <c r="B17" s="358">
        <v>250282160</v>
      </c>
      <c r="C17" s="358">
        <v>138599450</v>
      </c>
      <c r="D17" s="358">
        <v>415012660</v>
      </c>
      <c r="E17" s="358">
        <v>803894270</v>
      </c>
      <c r="F17" s="358">
        <f>'- 51 -'!C17</f>
        <v>7877316</v>
      </c>
      <c r="G17" s="359">
        <f t="shared" si="0"/>
        <v>9.7989453264793145</v>
      </c>
      <c r="I17" s="258" t="str">
        <f t="shared" si="1"/>
        <v xml:space="preserve"> FRONTIER</v>
      </c>
      <c r="J17" s="265">
        <f t="shared" si="2"/>
        <v>15.399089808959722</v>
      </c>
      <c r="K17" s="1">
        <f>F17-'- 51 -'!C17</f>
        <v>0</v>
      </c>
    </row>
    <row r="18" spans="1:11" ht="14.1" customHeight="1">
      <c r="A18" s="23" t="s">
        <v>236</v>
      </c>
      <c r="B18" s="24">
        <v>126560490</v>
      </c>
      <c r="C18" s="24">
        <v>19085670</v>
      </c>
      <c r="D18" s="24">
        <v>67493710</v>
      </c>
      <c r="E18" s="24">
        <v>213139870</v>
      </c>
      <c r="F18" s="24">
        <f>'- 51 -'!C18</f>
        <v>3282160</v>
      </c>
      <c r="G18" s="350">
        <f>(F18-H18)/E18*1000</f>
        <v>15.399089808959722</v>
      </c>
      <c r="I18" s="258" t="str">
        <f t="shared" si="1"/>
        <v xml:space="preserve"> GARDEN VALLEY</v>
      </c>
      <c r="J18" s="265">
        <f t="shared" si="2"/>
        <v>18.048591468952221</v>
      </c>
      <c r="K18" s="1">
        <f>F18-'- 51 -'!C18</f>
        <v>0</v>
      </c>
    </row>
    <row r="19" spans="1:11" ht="14.1" customHeight="1">
      <c r="A19" s="357" t="s">
        <v>237</v>
      </c>
      <c r="B19" s="358">
        <v>496022910</v>
      </c>
      <c r="C19" s="358">
        <v>168675550</v>
      </c>
      <c r="D19" s="358">
        <v>247405680</v>
      </c>
      <c r="E19" s="358">
        <v>912104140</v>
      </c>
      <c r="F19" s="358">
        <f>'- 51 -'!C19</f>
        <v>16462195</v>
      </c>
      <c r="G19" s="359">
        <f t="shared" si="0"/>
        <v>18.048591468952221</v>
      </c>
      <c r="I19" s="258" t="str">
        <f t="shared" si="1"/>
        <v xml:space="preserve"> HANOVER</v>
      </c>
      <c r="J19" s="265">
        <f t="shared" si="2"/>
        <v>15.592550945418797</v>
      </c>
      <c r="K19" s="1">
        <f>F19-'- 51 -'!C19</f>
        <v>0</v>
      </c>
    </row>
    <row r="20" spans="1:11" ht="14.1" customHeight="1">
      <c r="A20" s="23" t="s">
        <v>238</v>
      </c>
      <c r="B20" s="24">
        <v>1226461880</v>
      </c>
      <c r="C20" s="24">
        <v>175097160</v>
      </c>
      <c r="D20" s="24">
        <v>338837390</v>
      </c>
      <c r="E20" s="24">
        <v>1740396430</v>
      </c>
      <c r="F20" s="24">
        <f>'- 51 -'!C20</f>
        <v>27137220</v>
      </c>
      <c r="G20" s="350">
        <f t="shared" si="0"/>
        <v>15.592550945418797</v>
      </c>
      <c r="I20" s="258" t="str">
        <f t="shared" si="1"/>
        <v xml:space="preserve"> INTERLAKE</v>
      </c>
      <c r="J20" s="265">
        <f t="shared" si="2"/>
        <v>14.002574922053272</v>
      </c>
      <c r="K20" s="1">
        <f>F20-'- 51 -'!C20</f>
        <v>0</v>
      </c>
    </row>
    <row r="21" spans="1:11" ht="14.1" customHeight="1">
      <c r="A21" s="357" t="s">
        <v>239</v>
      </c>
      <c r="B21" s="358">
        <v>686088710</v>
      </c>
      <c r="C21" s="358">
        <v>170985110</v>
      </c>
      <c r="D21" s="358">
        <v>232737810</v>
      </c>
      <c r="E21" s="358">
        <v>1089811630</v>
      </c>
      <c r="F21" s="358">
        <f>'- 51 -'!C21</f>
        <v>15260169</v>
      </c>
      <c r="G21" s="359">
        <f t="shared" si="0"/>
        <v>14.002574922053272</v>
      </c>
      <c r="I21" s="258" t="str">
        <f t="shared" si="1"/>
        <v xml:space="preserve"> KELSEY</v>
      </c>
      <c r="J21" s="265">
        <f t="shared" si="2"/>
        <v>20.045892611289585</v>
      </c>
      <c r="K21" s="1">
        <f>F21-'- 51 -'!C21</f>
        <v>0</v>
      </c>
    </row>
    <row r="22" spans="1:11" ht="14.1" customHeight="1">
      <c r="A22" s="23" t="s">
        <v>240</v>
      </c>
      <c r="B22" s="24">
        <v>139940720</v>
      </c>
      <c r="C22" s="24">
        <v>13399300</v>
      </c>
      <c r="D22" s="24">
        <v>63034680</v>
      </c>
      <c r="E22" s="24">
        <v>216374700</v>
      </c>
      <c r="F22" s="24">
        <f>'- 51 -'!C22</f>
        <v>4337424</v>
      </c>
      <c r="G22" s="350">
        <f t="shared" si="0"/>
        <v>20.045892611289585</v>
      </c>
      <c r="I22" s="258" t="str">
        <f t="shared" si="1"/>
        <v xml:space="preserve"> LAKESHORE</v>
      </c>
      <c r="J22" s="265">
        <f t="shared" si="2"/>
        <v>18.741523598823758</v>
      </c>
      <c r="K22" s="1">
        <f>F22-'- 51 -'!C22</f>
        <v>0</v>
      </c>
    </row>
    <row r="23" spans="1:11" ht="14.1" customHeight="1">
      <c r="A23" s="357" t="s">
        <v>241</v>
      </c>
      <c r="B23" s="358">
        <v>122125460</v>
      </c>
      <c r="C23" s="358">
        <v>85723220</v>
      </c>
      <c r="D23" s="358">
        <v>27385290</v>
      </c>
      <c r="E23" s="358">
        <v>235233970</v>
      </c>
      <c r="F23" s="358">
        <f>'- 51 -'!C23</f>
        <v>4408643</v>
      </c>
      <c r="G23" s="359">
        <f t="shared" si="0"/>
        <v>18.741523598823758</v>
      </c>
      <c r="H23" s="267"/>
      <c r="I23" s="258" t="str">
        <f t="shared" si="1"/>
        <v xml:space="preserve"> LORD SELKIRK</v>
      </c>
      <c r="J23" s="265">
        <f t="shared" si="2"/>
        <v>14.133029629070325</v>
      </c>
      <c r="K23" s="1">
        <f>H23*E23</f>
        <v>0</v>
      </c>
    </row>
    <row r="24" spans="1:11" ht="14.1" customHeight="1">
      <c r="A24" s="23" t="s">
        <v>242</v>
      </c>
      <c r="B24" s="24">
        <v>1483431220</v>
      </c>
      <c r="C24" s="24">
        <v>62608450</v>
      </c>
      <c r="D24" s="24">
        <v>216069280</v>
      </c>
      <c r="E24" s="24">
        <v>1762108950</v>
      </c>
      <c r="F24" s="24">
        <f>'- 51 -'!C24</f>
        <v>24903938</v>
      </c>
      <c r="G24" s="350">
        <f t="shared" si="0"/>
        <v>14.133029629070325</v>
      </c>
      <c r="I24" s="258" t="str">
        <f t="shared" si="1"/>
        <v xml:space="preserve"> LOUIS RIEL</v>
      </c>
      <c r="J24" s="265">
        <f t="shared" si="2"/>
        <v>12.484783995009286</v>
      </c>
      <c r="K24" s="1">
        <f>F24-'- 51 -'!C24</f>
        <v>0</v>
      </c>
    </row>
    <row r="25" spans="1:11" ht="14.1" customHeight="1">
      <c r="A25" s="357" t="s">
        <v>243</v>
      </c>
      <c r="B25" s="358">
        <v>5570568940</v>
      </c>
      <c r="C25" s="358">
        <v>16066170</v>
      </c>
      <c r="D25" s="358">
        <v>1110121040</v>
      </c>
      <c r="E25" s="358">
        <v>6696756150</v>
      </c>
      <c r="F25" s="358">
        <f>'- 51 -'!C25</f>
        <v>83607554</v>
      </c>
      <c r="G25" s="359">
        <f t="shared" si="0"/>
        <v>12.484783995009286</v>
      </c>
      <c r="I25" s="258" t="str">
        <f t="shared" si="1"/>
        <v xml:space="preserve"> MOUNTAIN VIEW</v>
      </c>
      <c r="J25" s="265">
        <f t="shared" si="2"/>
        <v>16.547459983579991</v>
      </c>
      <c r="K25" s="1">
        <f>F25-'- 51 -'!C25</f>
        <v>0</v>
      </c>
    </row>
    <row r="26" spans="1:11" ht="14.1" customHeight="1">
      <c r="A26" s="23" t="s">
        <v>244</v>
      </c>
      <c r="B26" s="24">
        <v>461318740</v>
      </c>
      <c r="C26" s="24">
        <v>245475810</v>
      </c>
      <c r="D26" s="24">
        <v>123119770</v>
      </c>
      <c r="E26" s="24">
        <v>829914320</v>
      </c>
      <c r="F26" s="24">
        <f>'- 51 -'!C26</f>
        <v>13732974</v>
      </c>
      <c r="G26" s="350">
        <f t="shared" si="0"/>
        <v>16.547459983579991</v>
      </c>
      <c r="I26" s="258" t="str">
        <f t="shared" si="1"/>
        <v xml:space="preserve"> MYSTERY LAKE</v>
      </c>
      <c r="J26" s="265">
        <f t="shared" si="2"/>
        <v>17.726462227685616</v>
      </c>
      <c r="K26" s="1">
        <f>F26-'- 51 -'!C26</f>
        <v>0</v>
      </c>
    </row>
    <row r="27" spans="1:11" ht="14.1" customHeight="1">
      <c r="A27" s="357" t="s">
        <v>245</v>
      </c>
      <c r="B27" s="358">
        <v>318295640</v>
      </c>
      <c r="C27" s="358">
        <v>0</v>
      </c>
      <c r="D27" s="358">
        <v>122521140</v>
      </c>
      <c r="E27" s="358">
        <v>440816780</v>
      </c>
      <c r="F27" s="358">
        <f>'- 51 -'!C27</f>
        <v>7814122</v>
      </c>
      <c r="G27" s="359">
        <f t="shared" si="0"/>
        <v>17.726462227685616</v>
      </c>
      <c r="I27" s="258" t="str">
        <f t="shared" si="1"/>
        <v xml:space="preserve"> PARK WEST</v>
      </c>
      <c r="J27" s="265">
        <f t="shared" si="2"/>
        <v>12.784190530898323</v>
      </c>
      <c r="K27" s="1">
        <f>F27-'- 51 -'!C27</f>
        <v>0</v>
      </c>
    </row>
    <row r="28" spans="1:11" ht="14.1" customHeight="1">
      <c r="A28" s="23" t="s">
        <v>246</v>
      </c>
      <c r="B28" s="24">
        <v>213334180</v>
      </c>
      <c r="C28" s="24">
        <v>255331950</v>
      </c>
      <c r="D28" s="24">
        <v>174333830</v>
      </c>
      <c r="E28" s="24">
        <v>642999960</v>
      </c>
      <c r="F28" s="24">
        <f>'- 51 -'!C28</f>
        <v>8220234</v>
      </c>
      <c r="G28" s="350">
        <f t="shared" si="0"/>
        <v>12.784190530898323</v>
      </c>
      <c r="I28" s="258" t="str">
        <f t="shared" si="1"/>
        <v xml:space="preserve"> PEMBINA TRAILS</v>
      </c>
      <c r="J28" s="265">
        <f t="shared" si="2"/>
        <v>12.149599950433091</v>
      </c>
      <c r="K28" s="1">
        <f>F28-'- 51 -'!C28</f>
        <v>0</v>
      </c>
    </row>
    <row r="29" spans="1:11" ht="14.1" customHeight="1">
      <c r="A29" s="357" t="s">
        <v>247</v>
      </c>
      <c r="B29" s="358">
        <v>5533643430</v>
      </c>
      <c r="C29" s="358">
        <v>18078470</v>
      </c>
      <c r="D29" s="358">
        <v>1221183820</v>
      </c>
      <c r="E29" s="358">
        <v>6772905720</v>
      </c>
      <c r="F29" s="358">
        <f>'- 51 -'!C29</f>
        <v>82288095</v>
      </c>
      <c r="G29" s="359">
        <f t="shared" si="0"/>
        <v>12.149599950433091</v>
      </c>
      <c r="I29" s="258" t="str">
        <f t="shared" si="1"/>
        <v xml:space="preserve"> PINE CREEK</v>
      </c>
      <c r="J29" s="265">
        <f t="shared" si="2"/>
        <v>14.145540122933898</v>
      </c>
    </row>
    <row r="30" spans="1:11" ht="14.1" customHeight="1">
      <c r="A30" s="23" t="s">
        <v>248</v>
      </c>
      <c r="B30" s="24">
        <v>122344630</v>
      </c>
      <c r="C30" s="24">
        <v>162725470</v>
      </c>
      <c r="D30" s="24">
        <v>85613660</v>
      </c>
      <c r="E30" s="24">
        <v>370683760</v>
      </c>
      <c r="F30" s="24">
        <f>'- 51 -'!C30</f>
        <v>5243522</v>
      </c>
      <c r="G30" s="350">
        <f t="shared" si="0"/>
        <v>14.145540122933898</v>
      </c>
      <c r="I30" s="258" t="str">
        <f t="shared" si="1"/>
        <v xml:space="preserve"> PORTAGE LA PRAIRIE</v>
      </c>
      <c r="J30" s="265">
        <f t="shared" si="2"/>
        <v>14.53646802063893</v>
      </c>
      <c r="K30" s="1">
        <f>F30-'- 51 -'!C30</f>
        <v>0</v>
      </c>
    </row>
    <row r="31" spans="1:11" ht="14.1" customHeight="1">
      <c r="A31" s="357" t="s">
        <v>249</v>
      </c>
      <c r="B31" s="358">
        <v>490228710</v>
      </c>
      <c r="C31" s="358">
        <v>226268800</v>
      </c>
      <c r="D31" s="358">
        <v>310931710</v>
      </c>
      <c r="E31" s="358">
        <v>1027429220</v>
      </c>
      <c r="F31" s="358">
        <f>'- 51 -'!C31</f>
        <v>14935192</v>
      </c>
      <c r="G31" s="359">
        <f t="shared" si="0"/>
        <v>14.53646802063893</v>
      </c>
      <c r="I31" s="258" t="str">
        <f t="shared" si="1"/>
        <v xml:space="preserve"> PRAIRIE ROSE</v>
      </c>
      <c r="J31" s="265">
        <f t="shared" si="2"/>
        <v>12.937327383458204</v>
      </c>
      <c r="K31" s="1">
        <f>F31-'- 51 -'!C31</f>
        <v>0</v>
      </c>
    </row>
    <row r="32" spans="1:11" ht="14.1" customHeight="1">
      <c r="A32" s="23" t="s">
        <v>250</v>
      </c>
      <c r="B32" s="24">
        <v>416699220</v>
      </c>
      <c r="C32" s="24">
        <v>405921010</v>
      </c>
      <c r="D32" s="24">
        <v>127524080</v>
      </c>
      <c r="E32" s="24">
        <v>950144310</v>
      </c>
      <c r="F32" s="24">
        <f>'- 51 -'!C32</f>
        <v>12292328</v>
      </c>
      <c r="G32" s="350">
        <f t="shared" si="0"/>
        <v>12.937327383458204</v>
      </c>
      <c r="I32" s="258" t="str">
        <f t="shared" si="1"/>
        <v xml:space="preserve"> PRAIRIE SPIRIT</v>
      </c>
      <c r="J32" s="265">
        <f t="shared" si="2"/>
        <v>14.126698638773998</v>
      </c>
      <c r="K32" s="1">
        <f>F32-'- 51 -'!C32</f>
        <v>0</v>
      </c>
    </row>
    <row r="33" spans="1:11" ht="14.1" customHeight="1">
      <c r="A33" s="357" t="s">
        <v>251</v>
      </c>
      <c r="B33" s="358">
        <v>255885140</v>
      </c>
      <c r="C33" s="358">
        <v>494122170</v>
      </c>
      <c r="D33" s="358">
        <v>157127140</v>
      </c>
      <c r="E33" s="358">
        <v>907134450</v>
      </c>
      <c r="F33" s="358">
        <f>'- 51 -'!C33</f>
        <v>12814815</v>
      </c>
      <c r="G33" s="359">
        <f t="shared" si="0"/>
        <v>14.126698638773998</v>
      </c>
      <c r="I33" s="258" t="str">
        <f t="shared" si="1"/>
        <v xml:space="preserve"> RED RIVER VALLEY</v>
      </c>
      <c r="J33" s="265">
        <f t="shared" si="2"/>
        <v>15.359471480886524</v>
      </c>
      <c r="K33" s="1">
        <f>F33-'- 51 -'!C33</f>
        <v>0</v>
      </c>
    </row>
    <row r="34" spans="1:11" ht="14.1" customHeight="1">
      <c r="A34" s="23" t="s">
        <v>252</v>
      </c>
      <c r="B34" s="24">
        <v>425098790</v>
      </c>
      <c r="C34" s="24">
        <v>325864040</v>
      </c>
      <c r="D34" s="24">
        <v>216116670</v>
      </c>
      <c r="E34" s="24">
        <v>967079500</v>
      </c>
      <c r="F34" s="24">
        <f>'- 51 -'!C34</f>
        <v>14853830</v>
      </c>
      <c r="G34" s="350">
        <f t="shared" si="0"/>
        <v>15.359471480886524</v>
      </c>
      <c r="I34" s="258" t="str">
        <f t="shared" si="1"/>
        <v xml:space="preserve"> RIVER EAST TRANSCONA</v>
      </c>
      <c r="J34" s="265">
        <f t="shared" si="2"/>
        <v>13.297131264911027</v>
      </c>
      <c r="K34" s="1">
        <f>F34-'- 51 -'!C34</f>
        <v>0</v>
      </c>
    </row>
    <row r="35" spans="1:11" ht="14.1" customHeight="1">
      <c r="A35" s="357" t="s">
        <v>253</v>
      </c>
      <c r="B35" s="358">
        <v>4805790710</v>
      </c>
      <c r="C35" s="358">
        <v>14233460</v>
      </c>
      <c r="D35" s="358">
        <v>873576840</v>
      </c>
      <c r="E35" s="358">
        <v>5693601010</v>
      </c>
      <c r="F35" s="358">
        <f>'- 51 -'!C35</f>
        <v>75708560</v>
      </c>
      <c r="G35" s="359">
        <f t="shared" si="0"/>
        <v>13.297131264911027</v>
      </c>
      <c r="I35" s="258" t="str">
        <f t="shared" si="1"/>
        <v xml:space="preserve"> ROLLING RIVER</v>
      </c>
      <c r="J35" s="265">
        <f t="shared" si="2"/>
        <v>13.258150836731502</v>
      </c>
      <c r="K35" s="1">
        <f>F35-'- 51 -'!C35</f>
        <v>0</v>
      </c>
    </row>
    <row r="36" spans="1:11" ht="14.1" customHeight="1">
      <c r="A36" s="23" t="s">
        <v>254</v>
      </c>
      <c r="B36" s="24">
        <v>395286210</v>
      </c>
      <c r="C36" s="24">
        <v>171611540</v>
      </c>
      <c r="D36" s="24">
        <v>167125050</v>
      </c>
      <c r="E36" s="24">
        <v>734022800</v>
      </c>
      <c r="F36" s="24">
        <f>'- 51 -'!C36</f>
        <v>9731785</v>
      </c>
      <c r="G36" s="350">
        <f t="shared" si="0"/>
        <v>13.258150836731502</v>
      </c>
      <c r="I36" s="258" t="str">
        <f t="shared" si="1"/>
        <v xml:space="preserve"> SEINE RIVER</v>
      </c>
      <c r="J36" s="265">
        <f t="shared" si="2"/>
        <v>14.499335449878744</v>
      </c>
      <c r="K36" s="1">
        <f>F36-'- 51 -'!C36</f>
        <v>0</v>
      </c>
    </row>
    <row r="37" spans="1:11" ht="14.1" customHeight="1">
      <c r="A37" s="357" t="s">
        <v>255</v>
      </c>
      <c r="B37" s="358">
        <v>1147867580</v>
      </c>
      <c r="C37" s="358">
        <v>107073270</v>
      </c>
      <c r="D37" s="358">
        <v>162935650</v>
      </c>
      <c r="E37" s="358">
        <v>1417876500</v>
      </c>
      <c r="F37" s="358">
        <f>'- 51 -'!C37</f>
        <v>20558267</v>
      </c>
      <c r="G37" s="359">
        <f t="shared" si="0"/>
        <v>14.499335449878744</v>
      </c>
      <c r="I37" s="258" t="str">
        <f t="shared" si="1"/>
        <v xml:space="preserve"> SEVEN OAKS</v>
      </c>
      <c r="J37" s="265">
        <f t="shared" si="2"/>
        <v>14.933318426763881</v>
      </c>
      <c r="K37" s="1">
        <f>F37-'- 51 -'!C37</f>
        <v>0</v>
      </c>
    </row>
    <row r="38" spans="1:11" ht="14.1" customHeight="1">
      <c r="A38" s="23" t="s">
        <v>256</v>
      </c>
      <c r="B38" s="24">
        <v>2649269950</v>
      </c>
      <c r="C38" s="24">
        <v>12477060</v>
      </c>
      <c r="D38" s="24">
        <v>319488890</v>
      </c>
      <c r="E38" s="24">
        <v>2981235900</v>
      </c>
      <c r="F38" s="24">
        <f>'- 51 -'!C38</f>
        <v>44519745</v>
      </c>
      <c r="G38" s="350">
        <f t="shared" si="0"/>
        <v>14.933318426763881</v>
      </c>
      <c r="I38" s="258" t="str">
        <f t="shared" si="1"/>
        <v xml:space="preserve"> SOUTHWEST HORIZON</v>
      </c>
      <c r="J38" s="265">
        <f t="shared" si="2"/>
        <v>11.307003974110645</v>
      </c>
      <c r="K38" s="1">
        <f>F38-'- 51 -'!C38</f>
        <v>0</v>
      </c>
    </row>
    <row r="39" spans="1:11" ht="14.1" customHeight="1">
      <c r="A39" s="357" t="s">
        <v>257</v>
      </c>
      <c r="B39" s="358">
        <v>247943410</v>
      </c>
      <c r="C39" s="358">
        <v>309755200</v>
      </c>
      <c r="D39" s="358">
        <v>374353950</v>
      </c>
      <c r="E39" s="358">
        <v>932052560</v>
      </c>
      <c r="F39" s="358">
        <f>'- 51 -'!C39</f>
        <v>10538722</v>
      </c>
      <c r="G39" s="359">
        <f t="shared" si="0"/>
        <v>11.307003974110645</v>
      </c>
      <c r="I39" s="258" t="str">
        <f t="shared" si="1"/>
        <v xml:space="preserve"> ST. JAMES-ASSINIBOIA</v>
      </c>
      <c r="J39" s="265">
        <f t="shared" si="2"/>
        <v>12.150705147562073</v>
      </c>
      <c r="K39" s="1">
        <f>F39-'- 51 -'!C39</f>
        <v>0</v>
      </c>
    </row>
    <row r="40" spans="1:11" ht="14.1" customHeight="1">
      <c r="A40" s="23" t="s">
        <v>258</v>
      </c>
      <c r="B40" s="24">
        <v>2752776340</v>
      </c>
      <c r="C40" s="24">
        <v>15935390</v>
      </c>
      <c r="D40" s="24">
        <v>1421528950</v>
      </c>
      <c r="E40" s="24">
        <v>4190240680</v>
      </c>
      <c r="F40" s="24">
        <f>'- 51 -'!C40</f>
        <v>50914379</v>
      </c>
      <c r="G40" s="350">
        <f t="shared" si="0"/>
        <v>12.150705147562073</v>
      </c>
      <c r="I40" s="258" t="str">
        <f t="shared" si="1"/>
        <v xml:space="preserve"> SUNRISE</v>
      </c>
      <c r="J40" s="265">
        <f t="shared" si="2"/>
        <v>13.778411867481402</v>
      </c>
      <c r="K40" s="1">
        <f>F40-'- 51 -'!C40</f>
        <v>0</v>
      </c>
    </row>
    <row r="41" spans="1:11" ht="14.1" customHeight="1">
      <c r="A41" s="357" t="s">
        <v>259</v>
      </c>
      <c r="B41" s="358">
        <v>1595429110</v>
      </c>
      <c r="C41" s="358">
        <v>184403580</v>
      </c>
      <c r="D41" s="358">
        <v>355014220</v>
      </c>
      <c r="E41" s="358">
        <v>2134846910</v>
      </c>
      <c r="F41" s="358">
        <f>'- 51 -'!C41</f>
        <v>29414800</v>
      </c>
      <c r="G41" s="359">
        <f t="shared" si="0"/>
        <v>13.778411867481402</v>
      </c>
      <c r="I41" s="258" t="str">
        <f t="shared" si="1"/>
        <v xml:space="preserve"> SWAN VALLEY</v>
      </c>
      <c r="J41" s="265">
        <f t="shared" si="2"/>
        <v>16.303344583292652</v>
      </c>
      <c r="K41" s="1">
        <f>F41-'- 51 -'!C41</f>
        <v>0</v>
      </c>
    </row>
    <row r="42" spans="1:11" ht="14.1" customHeight="1">
      <c r="A42" s="23" t="s">
        <v>260</v>
      </c>
      <c r="B42" s="24">
        <v>187083430</v>
      </c>
      <c r="C42" s="24">
        <v>149972360</v>
      </c>
      <c r="D42" s="24">
        <v>72225690</v>
      </c>
      <c r="E42" s="24">
        <v>409281480</v>
      </c>
      <c r="F42" s="24">
        <f>'- 51 -'!C42</f>
        <v>6672657</v>
      </c>
      <c r="G42" s="350">
        <f t="shared" si="0"/>
        <v>16.303344583292652</v>
      </c>
      <c r="I42" s="258" t="str">
        <f t="shared" si="1"/>
        <v xml:space="preserve"> TURTLE MOUNTAIN</v>
      </c>
      <c r="J42" s="265">
        <f t="shared" si="2"/>
        <v>14.551783702463959</v>
      </c>
      <c r="K42" s="1">
        <f>F42-'- 51 -'!C42</f>
        <v>0</v>
      </c>
    </row>
    <row r="43" spans="1:11" ht="14.1" customHeight="1">
      <c r="A43" s="357" t="s">
        <v>261</v>
      </c>
      <c r="B43" s="358">
        <v>189082680</v>
      </c>
      <c r="C43" s="358">
        <v>161038240</v>
      </c>
      <c r="D43" s="358">
        <v>57585250</v>
      </c>
      <c r="E43" s="358">
        <v>407706170</v>
      </c>
      <c r="F43" s="358">
        <f>'- 51 -'!C43</f>
        <v>5932852</v>
      </c>
      <c r="G43" s="359">
        <f t="shared" si="0"/>
        <v>14.551783702463959</v>
      </c>
      <c r="I43" s="258" t="str">
        <f t="shared" si="1"/>
        <v xml:space="preserve"> TURTLE RIVER</v>
      </c>
      <c r="J43" s="265">
        <f t="shared" si="2"/>
        <v>18.699481204322574</v>
      </c>
      <c r="K43" s="1">
        <f>F43-'- 51 -'!C43</f>
        <v>0</v>
      </c>
    </row>
    <row r="44" spans="1:11" ht="14.1" customHeight="1">
      <c r="A44" s="23" t="s">
        <v>262</v>
      </c>
      <c r="B44" s="24">
        <v>77442890</v>
      </c>
      <c r="C44" s="24">
        <v>74148040</v>
      </c>
      <c r="D44" s="24">
        <v>13186850</v>
      </c>
      <c r="E44" s="24">
        <v>164777780</v>
      </c>
      <c r="F44" s="24">
        <f>'- 51 -'!C44</f>
        <v>3081259</v>
      </c>
      <c r="G44" s="350">
        <f t="shared" si="0"/>
        <v>18.699481204322574</v>
      </c>
      <c r="I44" s="258" t="str">
        <f t="shared" si="1"/>
        <v xml:space="preserve"> WESTERN</v>
      </c>
      <c r="J44" s="265">
        <f t="shared" si="2"/>
        <v>17.058503766076356</v>
      </c>
      <c r="K44" s="1">
        <f>F44-'- 51 -'!C44</f>
        <v>0</v>
      </c>
    </row>
    <row r="45" spans="1:11" ht="14.1" customHeight="1">
      <c r="A45" s="357" t="s">
        <v>263</v>
      </c>
      <c r="B45" s="358">
        <v>281515410</v>
      </c>
      <c r="C45" s="358">
        <v>65385860</v>
      </c>
      <c r="D45" s="358">
        <v>88439080</v>
      </c>
      <c r="E45" s="358">
        <v>435340350</v>
      </c>
      <c r="F45" s="358">
        <f>'- 51 -'!C45</f>
        <v>7426255</v>
      </c>
      <c r="G45" s="359">
        <f t="shared" si="0"/>
        <v>17.058503766076356</v>
      </c>
      <c r="I45" s="258" t="str">
        <f t="shared" si="1"/>
        <v xml:space="preserve"> WINNIPEG</v>
      </c>
      <c r="J45" s="265">
        <f t="shared" si="2"/>
        <v>15.04641358769644</v>
      </c>
      <c r="K45" s="1">
        <f>F45-'- 51 -'!C45</f>
        <v>0</v>
      </c>
    </row>
    <row r="46" spans="1:11" ht="14.1" customHeight="1">
      <c r="A46" s="23" t="s">
        <v>264</v>
      </c>
      <c r="B46" s="24">
        <v>6401894890</v>
      </c>
      <c r="C46" s="24">
        <v>4780620</v>
      </c>
      <c r="D46" s="24">
        <v>4101084700</v>
      </c>
      <c r="E46" s="24">
        <v>10507760210</v>
      </c>
      <c r="F46" s="24">
        <f>'- 51 -'!C46</f>
        <v>158104106</v>
      </c>
      <c r="G46" s="350">
        <f t="shared" si="0"/>
        <v>15.04641358769644</v>
      </c>
      <c r="K46" s="1">
        <f>F46-'- 51 -'!C46</f>
        <v>0</v>
      </c>
    </row>
    <row r="47" spans="1:11" ht="5.0999999999999996" customHeight="1">
      <c r="A47"/>
      <c r="B47"/>
      <c r="C47"/>
      <c r="D47"/>
      <c r="E47"/>
      <c r="F47"/>
      <c r="G47"/>
      <c r="K47" s="1">
        <f>F47-'- 51 -'!C47</f>
        <v>0</v>
      </c>
    </row>
    <row r="48" spans="1:11" ht="14.1" customHeight="1">
      <c r="A48" s="360" t="s">
        <v>270</v>
      </c>
      <c r="B48" s="361">
        <f>SUM(B11:B46)</f>
        <v>42075422730</v>
      </c>
      <c r="C48" s="361">
        <f>SUM(C11:C46)</f>
        <v>4817221180</v>
      </c>
      <c r="D48" s="361">
        <f>SUM(D11:D46)</f>
        <v>14518116160</v>
      </c>
      <c r="E48" s="361">
        <f>SUM(E11:E46)</f>
        <v>61410760070</v>
      </c>
      <c r="F48" s="361">
        <f>SUM(F11:F46)</f>
        <v>855074984</v>
      </c>
      <c r="G48" s="362">
        <f>F48/E48*1000</f>
        <v>13.923862577589491</v>
      </c>
      <c r="K48" s="1">
        <f>F48-'- 51 -'!C48</f>
        <v>0</v>
      </c>
    </row>
    <row r="49" spans="1:10" ht="5.0999999999999996" customHeight="1">
      <c r="A49" s="154"/>
      <c r="B49" s="170"/>
      <c r="C49" s="170"/>
      <c r="D49" s="170"/>
      <c r="E49" s="170"/>
      <c r="F49" s="170"/>
      <c r="G49"/>
    </row>
    <row r="50" spans="1:10" ht="14.1" customHeight="1">
      <c r="A50" s="23" t="s">
        <v>268</v>
      </c>
      <c r="B50" s="24">
        <v>61994750</v>
      </c>
      <c r="C50" s="24">
        <v>383760</v>
      </c>
      <c r="D50" s="24">
        <v>3482490</v>
      </c>
      <c r="E50" s="24">
        <v>65861000</v>
      </c>
      <c r="F50"/>
      <c r="G50"/>
    </row>
    <row r="51" spans="1:10" ht="14.1" customHeight="1">
      <c r="A51" s="357" t="s">
        <v>269</v>
      </c>
      <c r="B51" s="358">
        <v>16614060</v>
      </c>
      <c r="C51" s="358">
        <v>13567190</v>
      </c>
      <c r="D51" s="358">
        <v>49087090</v>
      </c>
      <c r="E51" s="358">
        <v>79268340</v>
      </c>
      <c r="F51"/>
      <c r="G51"/>
    </row>
    <row r="52" spans="1:10" ht="5.0999999999999996" customHeight="1">
      <c r="A52" s="154"/>
      <c r="B52" s="170"/>
      <c r="C52" s="170"/>
      <c r="D52" s="170"/>
      <c r="E52" s="170"/>
      <c r="F52"/>
      <c r="G52"/>
    </row>
    <row r="53" spans="1:10" ht="14.1" customHeight="1">
      <c r="A53" s="360" t="s">
        <v>265</v>
      </c>
      <c r="B53" s="361">
        <f>SUM(B48,B50:B51)</f>
        <v>42154031540</v>
      </c>
      <c r="C53" s="361">
        <f>SUM(C48,C50:C51)</f>
        <v>4831172130</v>
      </c>
      <c r="D53" s="361">
        <f>SUM(D48,D50:D51)</f>
        <v>14570685740</v>
      </c>
      <c r="E53" s="361">
        <f>SUM(E48,E50:E51)</f>
        <v>61555889410</v>
      </c>
      <c r="F53" s="604"/>
      <c r="G53" s="604"/>
    </row>
    <row r="54" spans="1:10" ht="30" customHeight="1">
      <c r="A54" s="27"/>
      <c r="B54" s="27"/>
      <c r="C54" s="27"/>
      <c r="D54" s="27"/>
      <c r="E54" s="27"/>
      <c r="F54" s="27"/>
      <c r="G54" s="27"/>
    </row>
    <row r="55" spans="1:10" ht="15" customHeight="1">
      <c r="A55" s="158" t="s">
        <v>660</v>
      </c>
      <c r="B55" s="39"/>
      <c r="C55" s="39"/>
      <c r="D55" s="39"/>
      <c r="E55" s="39"/>
      <c r="F55" s="39"/>
      <c r="G55" s="39"/>
      <c r="H55" s="39"/>
      <c r="I55" s="39"/>
      <c r="J55" s="39"/>
    </row>
    <row r="56" spans="1:10" ht="12" customHeight="1">
      <c r="A56" s="1" t="s">
        <v>643</v>
      </c>
      <c r="B56" s="39"/>
      <c r="C56" s="39"/>
      <c r="D56" s="39"/>
      <c r="E56" s="39"/>
      <c r="F56" s="39"/>
      <c r="G56" s="39"/>
      <c r="H56" s="39"/>
      <c r="I56" s="39"/>
      <c r="J56" s="39"/>
    </row>
    <row r="57" spans="1:10" ht="12" customHeight="1">
      <c r="A57" s="1" t="s">
        <v>586</v>
      </c>
      <c r="B57" s="39"/>
      <c r="C57" s="39"/>
      <c r="D57" s="39"/>
      <c r="E57" s="39"/>
      <c r="F57" s="39"/>
      <c r="G57" s="39"/>
      <c r="H57" s="39"/>
      <c r="I57" s="39"/>
      <c r="J57" s="39"/>
    </row>
  </sheetData>
  <phoneticPr fontId="0" type="noConversion"/>
  <printOptions horizontalCentered="1"/>
  <pageMargins left="0.5" right="0.5" top="0.6" bottom="0" header="0.3" footer="0"/>
  <pageSetup scale="89" orientation="portrait" r:id="rId1"/>
  <headerFooter alignWithMargins="0">
    <oddHeader>&amp;C&amp;"Arial,Bold"&amp;10&amp;A</oddHeader>
  </headerFooter>
  <legacyDrawing r:id="rId2"/>
</worksheet>
</file>

<file path=xl/worksheets/sheet43.xml><?xml version="1.0" encoding="utf-8"?>
<worksheet xmlns="http://schemas.openxmlformats.org/spreadsheetml/2006/main" xmlns:r="http://schemas.openxmlformats.org/officeDocument/2006/relationships">
  <sheetPr codeName="Sheet55"/>
  <dimension ref="A1:F56"/>
  <sheetViews>
    <sheetView showGridLines="0" showZeros="0" workbookViewId="0"/>
  </sheetViews>
  <sheetFormatPr defaultColWidth="13.6640625" defaultRowHeight="12"/>
  <cols>
    <col min="1" max="1" width="37.5" style="1" customWidth="1"/>
    <col min="2" max="2" width="23.1640625" style="1" customWidth="1"/>
    <col min="3" max="3" width="19.83203125" style="1" customWidth="1"/>
    <col min="4" max="4" width="19.6640625" style="1" customWidth="1"/>
    <col min="5" max="5" width="13.6640625" style="1"/>
    <col min="6" max="6" width="15.6640625" style="1" customWidth="1"/>
    <col min="7" max="16384" width="13.6640625" style="1"/>
  </cols>
  <sheetData>
    <row r="1" spans="1:6" ht="6.95" customHeight="1">
      <c r="A1" s="3"/>
    </row>
    <row r="2" spans="1:6" ht="15.95" customHeight="1">
      <c r="A2" s="666" t="s">
        <v>541</v>
      </c>
      <c r="B2" s="666"/>
      <c r="C2" s="666"/>
      <c r="D2" s="666"/>
      <c r="E2" s="666"/>
      <c r="F2" s="666"/>
    </row>
    <row r="3" spans="1:6" ht="15.95" customHeight="1">
      <c r="A3" s="667" t="str">
        <f>+'- 51 -'!B3</f>
        <v>FOR THE 2014 TAXATION YEAR (2014 IS A REASSESSMENT YEAR)</v>
      </c>
      <c r="B3" s="667"/>
      <c r="C3" s="667"/>
      <c r="D3" s="667"/>
      <c r="E3" s="667"/>
      <c r="F3" s="667"/>
    </row>
    <row r="4" spans="1:6" ht="15.95" customHeight="1">
      <c r="B4" s="4"/>
      <c r="C4" s="4"/>
      <c r="D4" s="4"/>
    </row>
    <row r="5" spans="1:6" ht="15.95" customHeight="1">
      <c r="B5" s="4"/>
      <c r="C5" s="4"/>
      <c r="D5" s="4"/>
    </row>
    <row r="6" spans="1:6" ht="15.95" customHeight="1">
      <c r="B6" s="534"/>
      <c r="C6" s="534"/>
      <c r="D6" s="534"/>
    </row>
    <row r="7" spans="1:6" ht="15.95" customHeight="1">
      <c r="B7" s="453"/>
      <c r="C7" s="532"/>
      <c r="D7" s="441"/>
    </row>
    <row r="8" spans="1:6" ht="15.95" customHeight="1">
      <c r="A8" s="17"/>
      <c r="B8" s="455" t="s">
        <v>486</v>
      </c>
      <c r="C8" s="432" t="s">
        <v>487</v>
      </c>
      <c r="D8" s="432" t="s">
        <v>488</v>
      </c>
    </row>
    <row r="9" spans="1:6" ht="15.95" customHeight="1">
      <c r="A9" s="19" t="s">
        <v>81</v>
      </c>
      <c r="B9" s="457" t="s">
        <v>134</v>
      </c>
      <c r="C9" s="376" t="s">
        <v>489</v>
      </c>
      <c r="D9" s="376" t="s">
        <v>134</v>
      </c>
    </row>
    <row r="10" spans="1:6" ht="5.0999999999999996" customHeight="1">
      <c r="A10" s="22"/>
      <c r="B10" s="245"/>
      <c r="C10" s="245"/>
      <c r="D10" s="245"/>
    </row>
    <row r="11" spans="1:6" ht="14.1" customHeight="1">
      <c r="A11" s="357" t="s">
        <v>230</v>
      </c>
      <c r="B11" s="358">
        <v>8053049</v>
      </c>
      <c r="C11" s="358">
        <v>504331</v>
      </c>
      <c r="D11" s="358">
        <v>7548718</v>
      </c>
    </row>
    <row r="12" spans="1:6" ht="14.1" customHeight="1">
      <c r="A12" s="23" t="s">
        <v>231</v>
      </c>
      <c r="B12" s="24">
        <v>14119446</v>
      </c>
      <c r="C12" s="24">
        <v>2736955</v>
      </c>
      <c r="D12" s="24">
        <v>11382491</v>
      </c>
    </row>
    <row r="13" spans="1:6" ht="14.1" customHeight="1">
      <c r="A13" s="357" t="s">
        <v>232</v>
      </c>
      <c r="B13" s="358">
        <v>42513648</v>
      </c>
      <c r="C13" s="358">
        <v>1848013</v>
      </c>
      <c r="D13" s="358">
        <v>40665635</v>
      </c>
    </row>
    <row r="14" spans="1:6" ht="14.1" customHeight="1">
      <c r="A14" s="23" t="s">
        <v>566</v>
      </c>
      <c r="B14" s="24">
        <v>0</v>
      </c>
      <c r="C14" s="24">
        <v>0</v>
      </c>
      <c r="D14" s="24">
        <v>0</v>
      </c>
    </row>
    <row r="15" spans="1:6" ht="14.1" customHeight="1">
      <c r="A15" s="357" t="s">
        <v>233</v>
      </c>
      <c r="B15" s="358">
        <v>11110167</v>
      </c>
      <c r="C15" s="358">
        <v>1595317</v>
      </c>
      <c r="D15" s="358">
        <v>9514850</v>
      </c>
    </row>
    <row r="16" spans="1:6" ht="14.1" customHeight="1">
      <c r="A16" s="23" t="s">
        <v>234</v>
      </c>
      <c r="B16" s="24">
        <v>4640885</v>
      </c>
      <c r="C16" s="24">
        <v>752713</v>
      </c>
      <c r="D16" s="24">
        <v>3888172</v>
      </c>
    </row>
    <row r="17" spans="1:4" ht="14.1" customHeight="1">
      <c r="A17" s="357" t="s">
        <v>235</v>
      </c>
      <c r="B17" s="358">
        <v>8365101</v>
      </c>
      <c r="C17" s="358">
        <v>487785</v>
      </c>
      <c r="D17" s="358">
        <v>7877316</v>
      </c>
    </row>
    <row r="18" spans="1:4" ht="14.1" customHeight="1">
      <c r="A18" s="23" t="s">
        <v>236</v>
      </c>
      <c r="B18" s="24">
        <v>3600634</v>
      </c>
      <c r="C18" s="24">
        <v>318474</v>
      </c>
      <c r="D18" s="24">
        <v>3282160</v>
      </c>
    </row>
    <row r="19" spans="1:4" ht="14.1" customHeight="1">
      <c r="A19" s="357" t="s">
        <v>237</v>
      </c>
      <c r="B19" s="358">
        <v>17108368</v>
      </c>
      <c r="C19" s="358">
        <v>646173</v>
      </c>
      <c r="D19" s="358">
        <v>16462195</v>
      </c>
    </row>
    <row r="20" spans="1:4" ht="14.1" customHeight="1">
      <c r="A20" s="23" t="s">
        <v>238</v>
      </c>
      <c r="B20" s="24">
        <v>28645346</v>
      </c>
      <c r="C20" s="24">
        <v>1508126</v>
      </c>
      <c r="D20" s="24">
        <v>27137220</v>
      </c>
    </row>
    <row r="21" spans="1:4" ht="14.1" customHeight="1">
      <c r="A21" s="357" t="s">
        <v>239</v>
      </c>
      <c r="B21" s="358">
        <v>16549720</v>
      </c>
      <c r="C21" s="358">
        <v>1289551</v>
      </c>
      <c r="D21" s="358">
        <v>15260169</v>
      </c>
    </row>
    <row r="22" spans="1:4" ht="14.1" customHeight="1">
      <c r="A22" s="23" t="s">
        <v>240</v>
      </c>
      <c r="B22" s="24">
        <v>4646831</v>
      </c>
      <c r="C22" s="24">
        <v>309407</v>
      </c>
      <c r="D22" s="24">
        <v>4337424</v>
      </c>
    </row>
    <row r="23" spans="1:4" ht="14.1" customHeight="1">
      <c r="A23" s="357" t="s">
        <v>241</v>
      </c>
      <c r="B23" s="358">
        <v>4848716</v>
      </c>
      <c r="C23" s="358">
        <v>440073</v>
      </c>
      <c r="D23" s="358">
        <v>4408643</v>
      </c>
    </row>
    <row r="24" spans="1:4" ht="14.1" customHeight="1">
      <c r="A24" s="23" t="s">
        <v>242</v>
      </c>
      <c r="B24" s="24">
        <v>27596841</v>
      </c>
      <c r="C24" s="24">
        <v>2692903</v>
      </c>
      <c r="D24" s="24">
        <v>24903938</v>
      </c>
    </row>
    <row r="25" spans="1:4" ht="14.1" customHeight="1">
      <c r="A25" s="357" t="s">
        <v>243</v>
      </c>
      <c r="B25" s="358">
        <v>90148557</v>
      </c>
      <c r="C25" s="358">
        <v>6541003</v>
      </c>
      <c r="D25" s="358">
        <v>83607554</v>
      </c>
    </row>
    <row r="26" spans="1:4" ht="14.1" customHeight="1">
      <c r="A26" s="23" t="s">
        <v>244</v>
      </c>
      <c r="B26" s="24">
        <v>14423334</v>
      </c>
      <c r="C26" s="24">
        <v>690360</v>
      </c>
      <c r="D26" s="24">
        <v>13732974</v>
      </c>
    </row>
    <row r="27" spans="1:4" ht="14.1" customHeight="1">
      <c r="A27" s="357" t="s">
        <v>245</v>
      </c>
      <c r="B27" s="358">
        <v>8900172</v>
      </c>
      <c r="C27" s="358">
        <v>1086050</v>
      </c>
      <c r="D27" s="358">
        <v>7814122</v>
      </c>
    </row>
    <row r="28" spans="1:4" ht="14.1" customHeight="1">
      <c r="A28" s="23" t="s">
        <v>246</v>
      </c>
      <c r="B28" s="24">
        <v>9037587</v>
      </c>
      <c r="C28" s="24">
        <v>817353</v>
      </c>
      <c r="D28" s="24">
        <v>8220234</v>
      </c>
    </row>
    <row r="29" spans="1:4" ht="14.1" customHeight="1">
      <c r="A29" s="357" t="s">
        <v>247</v>
      </c>
      <c r="B29" s="358">
        <v>87147784</v>
      </c>
      <c r="C29" s="358">
        <v>4859689</v>
      </c>
      <c r="D29" s="358">
        <v>82288095</v>
      </c>
    </row>
    <row r="30" spans="1:4" ht="14.1" customHeight="1">
      <c r="A30" s="23" t="s">
        <v>248</v>
      </c>
      <c r="B30" s="24">
        <v>5575737</v>
      </c>
      <c r="C30" s="24">
        <v>332215</v>
      </c>
      <c r="D30" s="24">
        <v>5243522</v>
      </c>
    </row>
    <row r="31" spans="1:4" ht="14.1" customHeight="1">
      <c r="A31" s="357" t="s">
        <v>249</v>
      </c>
      <c r="B31" s="358">
        <v>15458228</v>
      </c>
      <c r="C31" s="358">
        <v>523036</v>
      </c>
      <c r="D31" s="358">
        <v>14935192</v>
      </c>
    </row>
    <row r="32" spans="1:4" ht="14.1" customHeight="1">
      <c r="A32" s="23" t="s">
        <v>250</v>
      </c>
      <c r="B32" s="24">
        <v>13445437</v>
      </c>
      <c r="C32" s="24">
        <v>1153109</v>
      </c>
      <c r="D32" s="24">
        <v>12292328</v>
      </c>
    </row>
    <row r="33" spans="1:4" ht="14.1" customHeight="1">
      <c r="A33" s="357" t="s">
        <v>251</v>
      </c>
      <c r="B33" s="358">
        <v>13708800</v>
      </c>
      <c r="C33" s="358">
        <v>893985</v>
      </c>
      <c r="D33" s="358">
        <v>12814815</v>
      </c>
    </row>
    <row r="34" spans="1:4" ht="14.1" customHeight="1">
      <c r="A34" s="23" t="s">
        <v>252</v>
      </c>
      <c r="B34" s="24">
        <v>15723706</v>
      </c>
      <c r="C34" s="24">
        <v>869876</v>
      </c>
      <c r="D34" s="24">
        <v>14853830</v>
      </c>
    </row>
    <row r="35" spans="1:4" ht="14.1" customHeight="1">
      <c r="A35" s="357" t="s">
        <v>253</v>
      </c>
      <c r="B35" s="358">
        <v>77199083</v>
      </c>
      <c r="C35" s="358">
        <v>1490523</v>
      </c>
      <c r="D35" s="358">
        <v>75708560</v>
      </c>
    </row>
    <row r="36" spans="1:4" ht="14.1" customHeight="1">
      <c r="A36" s="23" t="s">
        <v>254</v>
      </c>
      <c r="B36" s="24">
        <v>10495676</v>
      </c>
      <c r="C36" s="24">
        <v>763891</v>
      </c>
      <c r="D36" s="24">
        <v>9731785</v>
      </c>
    </row>
    <row r="37" spans="1:4" ht="14.1" customHeight="1">
      <c r="A37" s="357" t="s">
        <v>255</v>
      </c>
      <c r="B37" s="358">
        <v>23137361</v>
      </c>
      <c r="C37" s="358">
        <v>2579094</v>
      </c>
      <c r="D37" s="358">
        <v>20558267</v>
      </c>
    </row>
    <row r="38" spans="1:4" ht="14.1" customHeight="1">
      <c r="A38" s="23" t="s">
        <v>256</v>
      </c>
      <c r="B38" s="24">
        <v>49883579</v>
      </c>
      <c r="C38" s="24">
        <v>5363834</v>
      </c>
      <c r="D38" s="24">
        <v>44519745</v>
      </c>
    </row>
    <row r="39" spans="1:4" ht="14.1" customHeight="1">
      <c r="A39" s="357" t="s">
        <v>257</v>
      </c>
      <c r="B39" s="358">
        <v>11297178</v>
      </c>
      <c r="C39" s="358">
        <v>758456</v>
      </c>
      <c r="D39" s="358">
        <v>10538722</v>
      </c>
    </row>
    <row r="40" spans="1:4" ht="14.1" customHeight="1">
      <c r="A40" s="23" t="s">
        <v>258</v>
      </c>
      <c r="B40" s="24">
        <v>54394902</v>
      </c>
      <c r="C40" s="24">
        <v>3480523</v>
      </c>
      <c r="D40" s="24">
        <v>50914379</v>
      </c>
    </row>
    <row r="41" spans="1:4" ht="14.1" customHeight="1">
      <c r="A41" s="357" t="s">
        <v>259</v>
      </c>
      <c r="B41" s="358">
        <v>32394497</v>
      </c>
      <c r="C41" s="358">
        <v>2979697</v>
      </c>
      <c r="D41" s="358">
        <v>29414800</v>
      </c>
    </row>
    <row r="42" spans="1:4" ht="14.1" customHeight="1">
      <c r="A42" s="23" t="s">
        <v>260</v>
      </c>
      <c r="B42" s="24">
        <v>7729154</v>
      </c>
      <c r="C42" s="24">
        <v>1056497</v>
      </c>
      <c r="D42" s="24">
        <v>6672657</v>
      </c>
    </row>
    <row r="43" spans="1:4" ht="14.1" customHeight="1">
      <c r="A43" s="357" t="s">
        <v>261</v>
      </c>
      <c r="B43" s="358">
        <v>5932852</v>
      </c>
      <c r="C43" s="358">
        <v>0</v>
      </c>
      <c r="D43" s="358">
        <v>5932852</v>
      </c>
    </row>
    <row r="44" spans="1:4" ht="14.1" customHeight="1">
      <c r="A44" s="23" t="s">
        <v>262</v>
      </c>
      <c r="B44" s="24">
        <v>3550178</v>
      </c>
      <c r="C44" s="24">
        <v>468919</v>
      </c>
      <c r="D44" s="24">
        <v>3081259</v>
      </c>
    </row>
    <row r="45" spans="1:4" ht="14.1" customHeight="1">
      <c r="A45" s="357" t="s">
        <v>263</v>
      </c>
      <c r="B45" s="358">
        <v>7426255</v>
      </c>
      <c r="C45" s="358">
        <v>0</v>
      </c>
      <c r="D45" s="358">
        <v>7426255</v>
      </c>
    </row>
    <row r="46" spans="1:4" ht="14.1" customHeight="1">
      <c r="A46" s="23" t="s">
        <v>264</v>
      </c>
      <c r="B46" s="24">
        <v>167684502</v>
      </c>
      <c r="C46" s="24">
        <v>9580396</v>
      </c>
      <c r="D46" s="24">
        <v>158104106</v>
      </c>
    </row>
    <row r="47" spans="1:4" ht="5.0999999999999996" customHeight="1">
      <c r="A47"/>
      <c r="B47"/>
      <c r="C47"/>
      <c r="D47"/>
    </row>
    <row r="48" spans="1:4" ht="14.1" customHeight="1">
      <c r="A48" s="360" t="s">
        <v>265</v>
      </c>
      <c r="B48" s="361">
        <f>SUM(B11:B47)</f>
        <v>916493311</v>
      </c>
      <c r="C48" s="361">
        <f>SUM(C11:C47)</f>
        <v>61418327</v>
      </c>
      <c r="D48" s="361">
        <f>SUM(D11:D47)</f>
        <v>855074984</v>
      </c>
    </row>
    <row r="49" spans="1:6" s="205" customFormat="1" ht="49.5" customHeight="1">
      <c r="A49" s="533"/>
      <c r="B49" s="533"/>
      <c r="C49" s="533"/>
      <c r="D49" s="533"/>
      <c r="E49" s="27"/>
      <c r="F49" s="27"/>
    </row>
    <row r="50" spans="1:6" s="205" customFormat="1" ht="14.25" customHeight="1">
      <c r="A50" s="2" t="s">
        <v>615</v>
      </c>
      <c r="B50" s="1"/>
      <c r="C50" s="1"/>
      <c r="D50" s="1"/>
      <c r="E50" s="1"/>
      <c r="F50" s="1"/>
    </row>
    <row r="51" spans="1:6">
      <c r="A51" s="505" t="s">
        <v>661</v>
      </c>
    </row>
    <row r="52" spans="1:6">
      <c r="A52" s="1" t="s">
        <v>654</v>
      </c>
    </row>
    <row r="53" spans="1:6" ht="14.45" customHeight="1"/>
    <row r="54" spans="1:6" ht="14.45" customHeight="1"/>
    <row r="55" spans="1:6" ht="14.45" customHeight="1"/>
    <row r="56" spans="1:6" ht="14.45" customHeight="1"/>
  </sheetData>
  <mergeCells count="2">
    <mergeCell ref="A2:F2"/>
    <mergeCell ref="A3:F3"/>
  </mergeCells>
  <phoneticPr fontId="0" type="noConversion"/>
  <printOptions horizontalCentered="1"/>
  <pageMargins left="0.51181102362204722" right="0.51181102362204722" top="0.59055118110236227" bottom="0" header="0.31496062992125984" footer="0"/>
  <pageSetup scale="88" orientation="portrait" r:id="rId1"/>
  <headerFooter alignWithMargins="0">
    <oddHeader>&amp;C&amp;"Arial,Regular"&amp;10 &amp;A</oddHeader>
  </headerFooter>
</worksheet>
</file>

<file path=xl/worksheets/sheet44.xml><?xml version="1.0" encoding="utf-8"?>
<worksheet xmlns="http://schemas.openxmlformats.org/spreadsheetml/2006/main" xmlns:r="http://schemas.openxmlformats.org/officeDocument/2006/relationships">
  <sheetPr codeName="Sheet44">
    <pageSetUpPr fitToPage="1"/>
  </sheetPr>
  <dimension ref="A1:F58"/>
  <sheetViews>
    <sheetView showGridLines="0" showZeros="0" workbookViewId="0"/>
  </sheetViews>
  <sheetFormatPr defaultColWidth="15.83203125" defaultRowHeight="12"/>
  <cols>
    <col min="1" max="1" width="38.6640625" style="1" customWidth="1"/>
    <col min="2" max="2" width="24.1640625" style="1" customWidth="1"/>
    <col min="3" max="3" width="24" style="1" customWidth="1"/>
    <col min="4" max="4" width="20.33203125" style="1" customWidth="1"/>
    <col min="5" max="5" width="3.83203125" style="1" customWidth="1"/>
    <col min="6" max="6" width="25" style="1" customWidth="1"/>
    <col min="7" max="16384" width="15.83203125" style="1"/>
  </cols>
  <sheetData>
    <row r="1" spans="1:6" ht="6.95" customHeight="1">
      <c r="A1" s="3"/>
    </row>
    <row r="2" spans="1:6" ht="15.95" customHeight="1">
      <c r="A2" s="41"/>
      <c r="B2" s="259" t="s">
        <v>332</v>
      </c>
      <c r="C2" s="278"/>
      <c r="D2" s="278"/>
      <c r="E2" s="279"/>
      <c r="F2" s="279"/>
    </row>
    <row r="3" spans="1:6" ht="15.95" customHeight="1">
      <c r="A3" s="45"/>
      <c r="B3" s="261" t="str">
        <f>TAXYEAR</f>
        <v>FOR THE 2014 TAXATION YEAR (2014 IS A REASSESSMENT YEAR)</v>
      </c>
      <c r="C3" s="280"/>
      <c r="D3" s="280"/>
      <c r="E3" s="281"/>
      <c r="F3" s="281"/>
    </row>
    <row r="4" spans="1:6" ht="15.95" customHeight="1">
      <c r="B4" s="4"/>
      <c r="C4" s="4"/>
      <c r="D4" s="4"/>
      <c r="E4" s="4"/>
      <c r="F4" s="4"/>
    </row>
    <row r="5" spans="1:6" ht="15.95" customHeight="1">
      <c r="B5" s="4"/>
      <c r="C5" s="4"/>
      <c r="D5" s="4"/>
      <c r="E5" s="4"/>
      <c r="F5" s="4"/>
    </row>
    <row r="6" spans="1:6" ht="15.95" customHeight="1">
      <c r="B6" s="4"/>
      <c r="C6" s="4"/>
      <c r="D6" s="4"/>
      <c r="E6" s="4"/>
      <c r="F6" s="534"/>
    </row>
    <row r="7" spans="1:6" ht="15.95" customHeight="1">
      <c r="B7" s="453" t="s">
        <v>77</v>
      </c>
      <c r="C7" s="454"/>
      <c r="D7" s="454"/>
      <c r="E7" s="4"/>
      <c r="F7" s="441" t="s">
        <v>113</v>
      </c>
    </row>
    <row r="8" spans="1:6" ht="15.95" customHeight="1">
      <c r="A8" s="17"/>
      <c r="B8" s="455" t="s">
        <v>136</v>
      </c>
      <c r="C8" s="456"/>
      <c r="D8" s="456"/>
      <c r="E8" s="4"/>
      <c r="F8" s="432" t="s">
        <v>60</v>
      </c>
    </row>
    <row r="9" spans="1:6" ht="15.95" customHeight="1">
      <c r="A9" s="19" t="s">
        <v>81</v>
      </c>
      <c r="B9" s="457" t="s">
        <v>134</v>
      </c>
      <c r="C9" s="458" t="s">
        <v>147</v>
      </c>
      <c r="D9" s="458" t="s">
        <v>54</v>
      </c>
      <c r="E9" s="4"/>
      <c r="F9" s="376" t="s">
        <v>402</v>
      </c>
    </row>
    <row r="10" spans="1:6" ht="5.0999999999999996" customHeight="1">
      <c r="A10" s="22"/>
      <c r="B10" s="245"/>
      <c r="C10" s="245"/>
      <c r="D10" s="245"/>
      <c r="E10" s="245"/>
      <c r="F10" s="245"/>
    </row>
    <row r="11" spans="1:6" ht="14.1" customHeight="1">
      <c r="A11" s="357" t="s">
        <v>230</v>
      </c>
      <c r="B11" s="358">
        <f>'- 46 -'!C11</f>
        <v>1506600.7461000001</v>
      </c>
      <c r="C11" s="358">
        <v>7548718</v>
      </c>
      <c r="D11" s="358">
        <f t="shared" ref="D11:D46" si="0">SUM(B11,C11)</f>
        <v>9055318.746100001</v>
      </c>
      <c r="F11" s="358">
        <f>+Data!O11</f>
        <v>387567</v>
      </c>
    </row>
    <row r="12" spans="1:6" ht="14.1" customHeight="1">
      <c r="A12" s="23" t="s">
        <v>231</v>
      </c>
      <c r="B12" s="24">
        <f>'- 46 -'!C12</f>
        <v>1867481.8478000001</v>
      </c>
      <c r="C12" s="24">
        <v>11382491</v>
      </c>
      <c r="D12" s="24">
        <f t="shared" si="0"/>
        <v>13249972.8478</v>
      </c>
      <c r="F12" s="24">
        <f>+Data!O12</f>
        <v>312187</v>
      </c>
    </row>
    <row r="13" spans="1:6" ht="14.1" customHeight="1">
      <c r="A13" s="357" t="s">
        <v>232</v>
      </c>
      <c r="B13" s="358">
        <f>'- 46 -'!C13</f>
        <v>9300620.7919000015</v>
      </c>
      <c r="C13" s="358">
        <v>40665635</v>
      </c>
      <c r="D13" s="358">
        <f t="shared" si="0"/>
        <v>49966255.791900001</v>
      </c>
      <c r="F13" s="358">
        <f>+Data!O13</f>
        <v>330782</v>
      </c>
    </row>
    <row r="14" spans="1:6" ht="14.1" customHeight="1">
      <c r="A14" s="23" t="s">
        <v>566</v>
      </c>
      <c r="B14" s="24">
        <f>'- 46 -'!C14</f>
        <v>0</v>
      </c>
      <c r="C14" s="24">
        <v>0</v>
      </c>
      <c r="D14" s="24">
        <f t="shared" si="0"/>
        <v>0</v>
      </c>
      <c r="F14" s="24">
        <f>+Data!O14</f>
        <v>380178</v>
      </c>
    </row>
    <row r="15" spans="1:6" ht="14.1" customHeight="1">
      <c r="A15" s="357" t="s">
        <v>233</v>
      </c>
      <c r="B15" s="358">
        <f>'- 46 -'!C15</f>
        <v>1245321.8913</v>
      </c>
      <c r="C15" s="358">
        <v>9514850</v>
      </c>
      <c r="D15" s="358">
        <f t="shared" si="0"/>
        <v>10760171.8913</v>
      </c>
      <c r="F15" s="358">
        <f>+Data!O15</f>
        <v>556723</v>
      </c>
    </row>
    <row r="16" spans="1:6" ht="14.1" customHeight="1">
      <c r="A16" s="23" t="s">
        <v>234</v>
      </c>
      <c r="B16" s="24">
        <f>'- 46 -'!C16</f>
        <v>374443.85810000001</v>
      </c>
      <c r="C16" s="24">
        <v>3888172</v>
      </c>
      <c r="D16" s="24">
        <f t="shared" si="0"/>
        <v>4262615.8580999998</v>
      </c>
      <c r="F16" s="24">
        <f>+Data!O16</f>
        <v>171478</v>
      </c>
    </row>
    <row r="17" spans="1:6" ht="14.1" customHeight="1">
      <c r="A17" s="357" t="s">
        <v>235</v>
      </c>
      <c r="B17" s="358">
        <f>'- 46 -'!C17</f>
        <v>4726994.1973999999</v>
      </c>
      <c r="C17" s="358">
        <v>7877316</v>
      </c>
      <c r="D17" s="358">
        <f t="shared" si="0"/>
        <v>12604310.1974</v>
      </c>
      <c r="F17" s="358">
        <f>+Data!O17</f>
        <v>633237</v>
      </c>
    </row>
    <row r="18" spans="1:6" ht="14.1" customHeight="1">
      <c r="A18" s="23" t="s">
        <v>236</v>
      </c>
      <c r="B18" s="24">
        <f>'- 46 -'!C18</f>
        <v>768753.35690000001</v>
      </c>
      <c r="C18" s="24">
        <v>3282160</v>
      </c>
      <c r="D18" s="24">
        <f t="shared" si="0"/>
        <v>4050913.3569</v>
      </c>
      <c r="F18" s="24">
        <f>+Data!O18</f>
        <v>84926</v>
      </c>
    </row>
    <row r="19" spans="1:6" ht="14.1" customHeight="1">
      <c r="A19" s="357" t="s">
        <v>237</v>
      </c>
      <c r="B19" s="358">
        <f>'- 46 -'!C19</f>
        <v>2817950.6952000004</v>
      </c>
      <c r="C19" s="358">
        <v>16462195</v>
      </c>
      <c r="D19" s="358">
        <f t="shared" si="0"/>
        <v>19280145.6952</v>
      </c>
      <c r="F19" s="358">
        <f>+Data!O19</f>
        <v>219557</v>
      </c>
    </row>
    <row r="20" spans="1:6" ht="14.1" customHeight="1">
      <c r="A20" s="23" t="s">
        <v>238</v>
      </c>
      <c r="B20" s="24">
        <f>'- 46 -'!C20</f>
        <v>3859357.8721000003</v>
      </c>
      <c r="C20" s="24">
        <v>27137220</v>
      </c>
      <c r="D20" s="24">
        <f t="shared" si="0"/>
        <v>30996577.872099999</v>
      </c>
      <c r="F20" s="24">
        <f>+Data!O20</f>
        <v>228578</v>
      </c>
    </row>
    <row r="21" spans="1:6" ht="14.1" customHeight="1">
      <c r="A21" s="357" t="s">
        <v>239</v>
      </c>
      <c r="B21" s="358">
        <f>'- 46 -'!C21</f>
        <v>2650883.6559000001</v>
      </c>
      <c r="C21" s="358">
        <v>15260169</v>
      </c>
      <c r="D21" s="358">
        <f t="shared" si="0"/>
        <v>17911052.655900002</v>
      </c>
      <c r="F21" s="358">
        <f>+Data!O21</f>
        <v>377069</v>
      </c>
    </row>
    <row r="22" spans="1:6" ht="14.1" customHeight="1">
      <c r="A22" s="23" t="s">
        <v>240</v>
      </c>
      <c r="B22" s="24">
        <f>'- 46 -'!C22</f>
        <v>717965.00520000001</v>
      </c>
      <c r="C22" s="24">
        <v>4337424</v>
      </c>
      <c r="D22" s="24">
        <f t="shared" si="0"/>
        <v>5055389.0052000005</v>
      </c>
      <c r="F22" s="24">
        <f>+Data!O22</f>
        <v>138197</v>
      </c>
    </row>
    <row r="23" spans="1:6" ht="14.1" customHeight="1">
      <c r="A23" s="357" t="s">
        <v>241</v>
      </c>
      <c r="B23" s="358">
        <f>'- 46 -'!C23</f>
        <v>311918.45310000004</v>
      </c>
      <c r="C23" s="358">
        <v>4408643</v>
      </c>
      <c r="D23" s="358">
        <f t="shared" si="0"/>
        <v>4720561.4530999996</v>
      </c>
      <c r="F23" s="358">
        <f>+Data!O23</f>
        <v>221961</v>
      </c>
    </row>
    <row r="24" spans="1:6" ht="14.1" customHeight="1">
      <c r="A24" s="23" t="s">
        <v>242</v>
      </c>
      <c r="B24" s="24">
        <f>'- 46 -'!C24</f>
        <v>2461029.0992000001</v>
      </c>
      <c r="C24" s="24">
        <v>24903938</v>
      </c>
      <c r="D24" s="24">
        <f t="shared" si="0"/>
        <v>27364967.099199999</v>
      </c>
      <c r="F24" s="24">
        <f>+Data!O24</f>
        <v>418643</v>
      </c>
    </row>
    <row r="25" spans="1:6" ht="14.1" customHeight="1">
      <c r="A25" s="357" t="s">
        <v>243</v>
      </c>
      <c r="B25" s="358">
        <f>'- 46 -'!C25</f>
        <v>12644278.6456</v>
      </c>
      <c r="C25" s="358">
        <v>83607554</v>
      </c>
      <c r="D25" s="358">
        <f t="shared" si="0"/>
        <v>96251832.645600006</v>
      </c>
      <c r="F25" s="358">
        <f>+Data!O25</f>
        <v>434934</v>
      </c>
    </row>
    <row r="26" spans="1:6" ht="14.1" customHeight="1">
      <c r="A26" s="23" t="s">
        <v>244</v>
      </c>
      <c r="B26" s="24">
        <f>'- 46 -'!C26</f>
        <v>1402334.1803000001</v>
      </c>
      <c r="C26" s="24">
        <v>13732974</v>
      </c>
      <c r="D26" s="24">
        <f t="shared" si="0"/>
        <v>15135308.180300001</v>
      </c>
      <c r="F26" s="24">
        <f>+Data!O26</f>
        <v>288425</v>
      </c>
    </row>
    <row r="27" spans="1:6" ht="14.1" customHeight="1">
      <c r="A27" s="357" t="s">
        <v>245</v>
      </c>
      <c r="B27" s="358">
        <f>'- 46 -'!C27</f>
        <v>1395515.7846000001</v>
      </c>
      <c r="C27" s="358">
        <v>7814122</v>
      </c>
      <c r="D27" s="358">
        <f t="shared" si="0"/>
        <v>9209637.7846000008</v>
      </c>
      <c r="F27" s="358">
        <f>+Data!O27</f>
        <v>186626</v>
      </c>
    </row>
    <row r="28" spans="1:6" ht="14.1" customHeight="1">
      <c r="A28" s="23" t="s">
        <v>246</v>
      </c>
      <c r="B28" s="24">
        <f>'- 46 -'!C28</f>
        <v>1985662.3237000001</v>
      </c>
      <c r="C28" s="24">
        <v>8220234</v>
      </c>
      <c r="D28" s="24">
        <f t="shared" si="0"/>
        <v>10205896.3237</v>
      </c>
      <c r="F28" s="24">
        <f>+Data!O28</f>
        <v>407336</v>
      </c>
    </row>
    <row r="29" spans="1:6" ht="14.1" customHeight="1">
      <c r="A29" s="357" t="s">
        <v>247</v>
      </c>
      <c r="B29" s="358">
        <f>'- 46 -'!C29</f>
        <v>13909283.709800001</v>
      </c>
      <c r="C29" s="358">
        <v>82288095</v>
      </c>
      <c r="D29" s="358">
        <f t="shared" si="0"/>
        <v>96197378.709800005</v>
      </c>
      <c r="F29" s="358">
        <f>+Data!O29</f>
        <v>551535</v>
      </c>
    </row>
    <row r="30" spans="1:6" ht="14.1" customHeight="1">
      <c r="A30" s="23" t="s">
        <v>248</v>
      </c>
      <c r="B30" s="24">
        <f>'- 46 -'!C30</f>
        <v>975139.58740000008</v>
      </c>
      <c r="C30" s="24">
        <v>5243522</v>
      </c>
      <c r="D30" s="24">
        <f t="shared" si="0"/>
        <v>6218661.5874000005</v>
      </c>
      <c r="F30" s="24">
        <f>+Data!O30</f>
        <v>343756</v>
      </c>
    </row>
    <row r="31" spans="1:6" ht="14.1" customHeight="1">
      <c r="A31" s="357" t="s">
        <v>249</v>
      </c>
      <c r="B31" s="358">
        <f>'- 46 -'!C31</f>
        <v>3541512.1769000003</v>
      </c>
      <c r="C31" s="358">
        <v>14935192</v>
      </c>
      <c r="D31" s="358">
        <f t="shared" si="0"/>
        <v>18476704.176899999</v>
      </c>
      <c r="F31" s="358">
        <f>+Data!O31</f>
        <v>333528</v>
      </c>
    </row>
    <row r="32" spans="1:6" ht="14.1" customHeight="1">
      <c r="A32" s="23" t="s">
        <v>250</v>
      </c>
      <c r="B32" s="24">
        <f>'- 46 -'!C32</f>
        <v>1452499.2712000001</v>
      </c>
      <c r="C32" s="24">
        <v>12292328</v>
      </c>
      <c r="D32" s="24">
        <f t="shared" si="0"/>
        <v>13744827.271199999</v>
      </c>
      <c r="F32" s="24">
        <f>+Data!O32</f>
        <v>430460</v>
      </c>
    </row>
    <row r="33" spans="1:6" ht="14.1" customHeight="1">
      <c r="A33" s="357" t="s">
        <v>251</v>
      </c>
      <c r="B33" s="358">
        <f>'- 46 -'!C33</f>
        <v>1789678.1246000002</v>
      </c>
      <c r="C33" s="358">
        <v>12814815</v>
      </c>
      <c r="D33" s="358">
        <f t="shared" si="0"/>
        <v>14604493.124600001</v>
      </c>
      <c r="F33" s="358">
        <f>+Data!O33</f>
        <v>405331</v>
      </c>
    </row>
    <row r="34" spans="1:6" ht="14.1" customHeight="1">
      <c r="A34" s="23" t="s">
        <v>252</v>
      </c>
      <c r="B34" s="24">
        <f>'- 46 -'!C34</f>
        <v>2461568.8713000002</v>
      </c>
      <c r="C34" s="24">
        <v>14853830</v>
      </c>
      <c r="D34" s="24">
        <f t="shared" si="0"/>
        <v>17315398.871300001</v>
      </c>
      <c r="F34" s="24">
        <f>+Data!O34</f>
        <v>428477</v>
      </c>
    </row>
    <row r="35" spans="1:6" ht="14.1" customHeight="1">
      <c r="A35" s="357" t="s">
        <v>253</v>
      </c>
      <c r="B35" s="358">
        <f>'- 46 -'!C35</f>
        <v>9950040.2076000012</v>
      </c>
      <c r="C35" s="358">
        <v>75708560</v>
      </c>
      <c r="D35" s="358">
        <f t="shared" si="0"/>
        <v>85658600.207599998</v>
      </c>
      <c r="F35" s="358">
        <f>+Data!O35</f>
        <v>367134</v>
      </c>
    </row>
    <row r="36" spans="1:6" ht="14.1" customHeight="1">
      <c r="A36" s="23" t="s">
        <v>254</v>
      </c>
      <c r="B36" s="24">
        <f>'- 46 -'!C36</f>
        <v>1903554.3195000002</v>
      </c>
      <c r="C36" s="24">
        <v>9731785</v>
      </c>
      <c r="D36" s="24">
        <f t="shared" si="0"/>
        <v>11635339.319499999</v>
      </c>
      <c r="F36" s="24">
        <f>+Data!O36</f>
        <v>465026</v>
      </c>
    </row>
    <row r="37" spans="1:6" ht="14.1" customHeight="1">
      <c r="A37" s="357" t="s">
        <v>255</v>
      </c>
      <c r="B37" s="358">
        <f>'- 46 -'!C37</f>
        <v>1855837.0535000002</v>
      </c>
      <c r="C37" s="358">
        <v>20558267</v>
      </c>
      <c r="D37" s="358">
        <f t="shared" si="0"/>
        <v>22414104.0535</v>
      </c>
      <c r="F37" s="358">
        <f>+Data!O37</f>
        <v>269815</v>
      </c>
    </row>
    <row r="38" spans="1:6" ht="14.1" customHeight="1">
      <c r="A38" s="23" t="s">
        <v>256</v>
      </c>
      <c r="B38" s="24">
        <f>'- 46 -'!C38</f>
        <v>3638978.4571000002</v>
      </c>
      <c r="C38" s="24">
        <v>44519745</v>
      </c>
      <c r="D38" s="24">
        <f t="shared" si="0"/>
        <v>48158723.457100004</v>
      </c>
      <c r="F38" s="24">
        <f>+Data!O38</f>
        <v>293747</v>
      </c>
    </row>
    <row r="39" spans="1:6" ht="14.1" customHeight="1">
      <c r="A39" s="357" t="s">
        <v>257</v>
      </c>
      <c r="B39" s="358">
        <f>'- 46 -'!C39</f>
        <v>4263891.4905000003</v>
      </c>
      <c r="C39" s="358">
        <v>10538722</v>
      </c>
      <c r="D39" s="358">
        <f t="shared" si="0"/>
        <v>14802613.490499999</v>
      </c>
      <c r="F39" s="358">
        <f>+Data!O39</f>
        <v>601208</v>
      </c>
    </row>
    <row r="40" spans="1:6" ht="14.1" customHeight="1">
      <c r="A40" s="23" t="s">
        <v>258</v>
      </c>
      <c r="B40" s="24">
        <f>'- 46 -'!C40</f>
        <v>16191214.740500001</v>
      </c>
      <c r="C40" s="24">
        <v>50914379</v>
      </c>
      <c r="D40" s="24">
        <f t="shared" si="0"/>
        <v>67105593.740500003</v>
      </c>
      <c r="F40" s="24">
        <f>+Data!O40</f>
        <v>535789</v>
      </c>
    </row>
    <row r="41" spans="1:6" ht="14.1" customHeight="1">
      <c r="A41" s="357" t="s">
        <v>259</v>
      </c>
      <c r="B41" s="358">
        <f>'- 46 -'!C41</f>
        <v>4043611.9658000004</v>
      </c>
      <c r="C41" s="358">
        <v>29414800</v>
      </c>
      <c r="D41" s="358">
        <f t="shared" si="0"/>
        <v>33458411.965800002</v>
      </c>
      <c r="F41" s="358">
        <f>+Data!O41</f>
        <v>451149</v>
      </c>
    </row>
    <row r="42" spans="1:6" ht="14.1" customHeight="1">
      <c r="A42" s="23" t="s">
        <v>260</v>
      </c>
      <c r="B42" s="24">
        <f>'- 46 -'!C42</f>
        <v>822650.6091</v>
      </c>
      <c r="C42" s="24">
        <v>6672657</v>
      </c>
      <c r="D42" s="24">
        <f t="shared" si="0"/>
        <v>7495307.6091</v>
      </c>
      <c r="F42" s="24">
        <f>+Data!O42</f>
        <v>292574</v>
      </c>
    </row>
    <row r="43" spans="1:6" ht="14.1" customHeight="1">
      <c r="A43" s="357" t="s">
        <v>261</v>
      </c>
      <c r="B43" s="358">
        <f>'- 46 -'!C43</f>
        <v>655895.99750000006</v>
      </c>
      <c r="C43" s="358">
        <v>5932852</v>
      </c>
      <c r="D43" s="358">
        <f t="shared" si="0"/>
        <v>6588747.9975000005</v>
      </c>
      <c r="F43" s="358">
        <f>+Data!O43</f>
        <v>422932</v>
      </c>
    </row>
    <row r="44" spans="1:6" ht="14.1" customHeight="1">
      <c r="A44" s="23" t="s">
        <v>262</v>
      </c>
      <c r="B44" s="24">
        <f>'- 46 -'!C44</f>
        <v>150198.22150000001</v>
      </c>
      <c r="C44" s="24">
        <v>3081259</v>
      </c>
      <c r="D44" s="24">
        <f t="shared" si="0"/>
        <v>3231457.2215</v>
      </c>
      <c r="F44" s="24">
        <f>+Data!O44</f>
        <v>209531</v>
      </c>
    </row>
    <row r="45" spans="1:6" ht="14.1" customHeight="1">
      <c r="A45" s="357" t="s">
        <v>263</v>
      </c>
      <c r="B45" s="358">
        <f>'- 46 -'!C45</f>
        <v>1007321.1212000001</v>
      </c>
      <c r="C45" s="358">
        <v>7426255</v>
      </c>
      <c r="D45" s="358">
        <f t="shared" si="0"/>
        <v>8433576.1212000009</v>
      </c>
      <c r="F45" s="358">
        <f>+Data!O45</f>
        <v>277676</v>
      </c>
    </row>
    <row r="46" spans="1:6" ht="14.1" customHeight="1">
      <c r="A46" s="23" t="s">
        <v>264</v>
      </c>
      <c r="B46" s="24">
        <f>'- 46 -'!C46</f>
        <v>46711354.733000003</v>
      </c>
      <c r="C46" s="24">
        <v>158104106</v>
      </c>
      <c r="D46" s="24">
        <f t="shared" si="0"/>
        <v>204815460.73300001</v>
      </c>
      <c r="F46" s="24">
        <f>+Data!O46</f>
        <v>360004</v>
      </c>
    </row>
    <row r="47" spans="1:6" ht="5.0999999999999996" customHeight="1">
      <c r="A47"/>
      <c r="B47"/>
      <c r="C47"/>
      <c r="D47"/>
      <c r="F47"/>
    </row>
    <row r="48" spans="1:6" ht="14.1" customHeight="1">
      <c r="A48" s="360" t="s">
        <v>265</v>
      </c>
      <c r="B48" s="361">
        <f>SUM(B11:B46)</f>
        <v>165361343.06239998</v>
      </c>
      <c r="C48" s="361">
        <f>SUM(C11:C46)</f>
        <v>855074984</v>
      </c>
      <c r="D48" s="361">
        <f>SUM(D11:D46)</f>
        <v>1020436327.0624001</v>
      </c>
      <c r="F48" s="361">
        <f>+Data!O48</f>
        <v>371563.31300966541</v>
      </c>
    </row>
    <row r="49" spans="1:6" ht="50.1" customHeight="1">
      <c r="A49" s="282" t="s">
        <v>3</v>
      </c>
      <c r="B49" s="27"/>
      <c r="C49" s="27"/>
      <c r="D49" s="27"/>
      <c r="E49" s="27"/>
      <c r="F49" s="27"/>
    </row>
    <row r="50" spans="1:6" ht="15" customHeight="1">
      <c r="A50" s="2" t="s">
        <v>619</v>
      </c>
    </row>
    <row r="51" spans="1:6" ht="12" customHeight="1">
      <c r="A51" s="2" t="s">
        <v>621</v>
      </c>
    </row>
    <row r="52" spans="1:6" ht="12" customHeight="1">
      <c r="A52" s="154" t="s">
        <v>631</v>
      </c>
    </row>
    <row r="53" spans="1:6" ht="14.45" customHeight="1"/>
    <row r="54" spans="1:6" ht="14.45" customHeight="1"/>
    <row r="55" spans="1:6" ht="14.45" customHeight="1"/>
    <row r="56" spans="1:6" ht="14.45" customHeight="1"/>
    <row r="57" spans="1:6" ht="14.45" customHeight="1"/>
    <row r="58" spans="1:6" ht="14.45" customHeight="1"/>
  </sheetData>
  <phoneticPr fontId="0" type="noConversion"/>
  <printOptions horizontalCentered="1"/>
  <pageMargins left="0.51181102362204722" right="0.51181102362204722" top="0.59055118110236227" bottom="0" header="0.31496062992125984" footer="0"/>
  <pageSetup scale="86" orientation="portrait" r:id="rId1"/>
  <headerFooter alignWithMargins="0">
    <oddHeader>&amp;C&amp;"Arial,Bold"&amp;10&amp;A</oddHeader>
  </headerFooter>
</worksheet>
</file>

<file path=xl/worksheets/sheet45.xml><?xml version="1.0" encoding="utf-8"?>
<worksheet xmlns="http://schemas.openxmlformats.org/spreadsheetml/2006/main" xmlns:r="http://schemas.openxmlformats.org/officeDocument/2006/relationships">
  <sheetPr codeName="Sheet45"/>
  <dimension ref="A1:G63"/>
  <sheetViews>
    <sheetView showGridLines="0" showZeros="0" workbookViewId="0"/>
  </sheetViews>
  <sheetFormatPr defaultColWidth="19.83203125" defaultRowHeight="12"/>
  <cols>
    <col min="1" max="1" width="31.6640625" style="1" customWidth="1"/>
    <col min="2" max="2" width="21.83203125" style="1" customWidth="1"/>
    <col min="3" max="3" width="18.5" style="1" customWidth="1"/>
    <col min="4" max="4" width="13.6640625" style="1" customWidth="1"/>
    <col min="5" max="5" width="15.33203125" style="1" customWidth="1"/>
    <col min="6" max="6" width="15.83203125" style="1" customWidth="1"/>
    <col min="7" max="7" width="13.33203125" style="1" customWidth="1"/>
    <col min="8" max="16384" width="19.83203125" style="1"/>
  </cols>
  <sheetData>
    <row r="1" spans="1:7" ht="6.95" customHeight="1">
      <c r="A1" s="3"/>
      <c r="B1" s="3"/>
      <c r="C1" s="3"/>
      <c r="D1" s="3"/>
      <c r="E1" s="3"/>
      <c r="F1" s="3"/>
      <c r="G1" s="3"/>
    </row>
    <row r="2" spans="1:7" ht="15.95" customHeight="1">
      <c r="A2" s="304"/>
      <c r="B2" s="314" t="str">
        <f>REVYEAR</f>
        <v>ANALYSIS OF OPERATING FUND REVENUE: 2014/2015 BUDGET</v>
      </c>
      <c r="C2" s="314"/>
      <c r="D2" s="315"/>
      <c r="E2" s="309"/>
      <c r="F2" s="309"/>
      <c r="G2" s="248" t="s">
        <v>198</v>
      </c>
    </row>
    <row r="3" spans="1:7" ht="15.95" customHeight="1">
      <c r="A3" s="243"/>
      <c r="B3" s="3"/>
      <c r="C3" s="3"/>
      <c r="D3" s="3"/>
      <c r="E3" s="3"/>
      <c r="F3" s="3"/>
      <c r="G3" s="3"/>
    </row>
    <row r="4" spans="1:7" ht="15.95" customHeight="1">
      <c r="B4" s="436" t="s">
        <v>77</v>
      </c>
      <c r="C4" s="469"/>
      <c r="D4" s="366"/>
      <c r="E4" s="366"/>
      <c r="F4" s="366"/>
      <c r="G4" s="365"/>
    </row>
    <row r="5" spans="1:7" ht="15.95" customHeight="1">
      <c r="B5" s="459" t="s">
        <v>222</v>
      </c>
      <c r="C5" s="470"/>
      <c r="D5" s="431"/>
      <c r="E5" s="377"/>
      <c r="F5" s="377"/>
      <c r="G5" s="367"/>
    </row>
    <row r="6" spans="1:7" ht="15.95" customHeight="1">
      <c r="B6" s="132" t="s">
        <v>99</v>
      </c>
      <c r="C6" s="127"/>
      <c r="D6" s="128"/>
      <c r="E6" s="128"/>
      <c r="F6" s="280"/>
      <c r="G6" s="318"/>
    </row>
    <row r="7" spans="1:7" ht="15.95" customHeight="1">
      <c r="B7" s="250"/>
      <c r="C7" s="250" t="s">
        <v>493</v>
      </c>
      <c r="D7" s="32"/>
      <c r="E7" s="32"/>
      <c r="F7" s="32"/>
      <c r="G7" s="32"/>
    </row>
    <row r="8" spans="1:7" ht="15.95" customHeight="1">
      <c r="A8" s="102"/>
      <c r="B8" s="308" t="s">
        <v>218</v>
      </c>
      <c r="C8" s="308" t="s">
        <v>491</v>
      </c>
      <c r="D8" s="252" t="s">
        <v>228</v>
      </c>
      <c r="E8" s="252" t="s">
        <v>194</v>
      </c>
      <c r="F8" s="252" t="s">
        <v>195</v>
      </c>
      <c r="G8" s="252" t="s">
        <v>115</v>
      </c>
    </row>
    <row r="9" spans="1:7" ht="15.95" customHeight="1">
      <c r="A9" s="35" t="s">
        <v>81</v>
      </c>
      <c r="B9" s="234" t="s">
        <v>405</v>
      </c>
      <c r="C9" s="234" t="s">
        <v>492</v>
      </c>
      <c r="D9" s="119" t="s">
        <v>408</v>
      </c>
      <c r="E9" s="119" t="s">
        <v>154</v>
      </c>
      <c r="F9" s="119" t="s">
        <v>22</v>
      </c>
      <c r="G9" s="119" t="s">
        <v>139</v>
      </c>
    </row>
    <row r="10" spans="1:7" ht="5.0999999999999996" customHeight="1">
      <c r="A10" s="37"/>
      <c r="E10" s="3"/>
      <c r="F10" s="3"/>
      <c r="G10" s="3"/>
    </row>
    <row r="11" spans="1:7" ht="14.1" customHeight="1">
      <c r="A11" s="357" t="s">
        <v>230</v>
      </c>
      <c r="B11" s="358">
        <v>2848106</v>
      </c>
      <c r="C11" s="358">
        <v>146107</v>
      </c>
      <c r="D11" s="358">
        <v>170751</v>
      </c>
      <c r="E11" s="358">
        <v>88680</v>
      </c>
      <c r="F11" s="358">
        <v>88680</v>
      </c>
      <c r="G11" s="358">
        <v>135976</v>
      </c>
    </row>
    <row r="12" spans="1:7" ht="14.1" customHeight="1">
      <c r="A12" s="23" t="s">
        <v>231</v>
      </c>
      <c r="B12" s="24">
        <v>3981567</v>
      </c>
      <c r="C12" s="24">
        <v>0</v>
      </c>
      <c r="D12" s="24">
        <v>399966</v>
      </c>
      <c r="E12" s="24">
        <v>123972</v>
      </c>
      <c r="F12" s="24">
        <v>123972</v>
      </c>
      <c r="G12" s="24">
        <v>190090</v>
      </c>
    </row>
    <row r="13" spans="1:7" ht="14.1" customHeight="1">
      <c r="A13" s="357" t="s">
        <v>232</v>
      </c>
      <c r="B13" s="358">
        <v>15281900</v>
      </c>
      <c r="C13" s="358">
        <v>0</v>
      </c>
      <c r="D13" s="358">
        <v>114200</v>
      </c>
      <c r="E13" s="358">
        <v>475800</v>
      </c>
      <c r="F13" s="358">
        <v>475800</v>
      </c>
      <c r="G13" s="358">
        <v>729600</v>
      </c>
    </row>
    <row r="14" spans="1:7" ht="14.1" customHeight="1">
      <c r="A14" s="23" t="s">
        <v>566</v>
      </c>
      <c r="B14" s="24">
        <v>9526703</v>
      </c>
      <c r="C14" s="24">
        <v>31484</v>
      </c>
      <c r="D14" s="24">
        <v>760837</v>
      </c>
      <c r="E14" s="24">
        <v>296628</v>
      </c>
      <c r="F14" s="24">
        <v>296628</v>
      </c>
      <c r="G14" s="24">
        <v>454830</v>
      </c>
    </row>
    <row r="15" spans="1:7" ht="14.1" customHeight="1">
      <c r="A15" s="357" t="s">
        <v>233</v>
      </c>
      <c r="B15" s="358">
        <v>2859668</v>
      </c>
      <c r="C15" s="358">
        <v>0</v>
      </c>
      <c r="D15" s="358">
        <v>245094</v>
      </c>
      <c r="E15" s="358">
        <v>89040</v>
      </c>
      <c r="F15" s="358">
        <v>89040</v>
      </c>
      <c r="G15" s="358">
        <v>136528</v>
      </c>
    </row>
    <row r="16" spans="1:7" ht="14.1" customHeight="1">
      <c r="A16" s="23" t="s">
        <v>234</v>
      </c>
      <c r="B16" s="24">
        <v>1798276</v>
      </c>
      <c r="C16" s="24">
        <v>36358</v>
      </c>
      <c r="D16" s="24">
        <v>0</v>
      </c>
      <c r="E16" s="24">
        <v>55992</v>
      </c>
      <c r="F16" s="24">
        <v>55992</v>
      </c>
      <c r="G16" s="24">
        <v>85854</v>
      </c>
    </row>
    <row r="17" spans="1:7" ht="14.1" customHeight="1">
      <c r="A17" s="357" t="s">
        <v>235</v>
      </c>
      <c r="B17" s="358">
        <v>2438233</v>
      </c>
      <c r="C17" s="358">
        <v>17172</v>
      </c>
      <c r="D17" s="358">
        <v>281819</v>
      </c>
      <c r="E17" s="358">
        <v>75918</v>
      </c>
      <c r="F17" s="358">
        <v>75918</v>
      </c>
      <c r="G17" s="358">
        <v>116408</v>
      </c>
    </row>
    <row r="18" spans="1:7" ht="14.1" customHeight="1">
      <c r="A18" s="23" t="s">
        <v>236</v>
      </c>
      <c r="B18" s="24">
        <v>4551574</v>
      </c>
      <c r="C18" s="24">
        <v>0</v>
      </c>
      <c r="D18" s="24">
        <v>1007145</v>
      </c>
      <c r="E18" s="24">
        <v>141720</v>
      </c>
      <c r="F18" s="24">
        <v>141720</v>
      </c>
      <c r="G18" s="24">
        <v>217304</v>
      </c>
    </row>
    <row r="19" spans="1:7" ht="14.1" customHeight="1">
      <c r="A19" s="357" t="s">
        <v>237</v>
      </c>
      <c r="B19" s="358">
        <v>8010346</v>
      </c>
      <c r="C19" s="358">
        <v>42390</v>
      </c>
      <c r="D19" s="358">
        <v>188216</v>
      </c>
      <c r="E19" s="358">
        <v>249414</v>
      </c>
      <c r="F19" s="358">
        <v>249414</v>
      </c>
      <c r="G19" s="358">
        <v>382435</v>
      </c>
    </row>
    <row r="20" spans="1:7" ht="14.1" customHeight="1">
      <c r="A20" s="23" t="s">
        <v>238</v>
      </c>
      <c r="B20" s="24">
        <v>14221260</v>
      </c>
      <c r="C20" s="24">
        <v>0</v>
      </c>
      <c r="D20" s="24">
        <v>260008</v>
      </c>
      <c r="E20" s="24">
        <v>442800</v>
      </c>
      <c r="F20" s="24">
        <v>442800</v>
      </c>
      <c r="G20" s="24">
        <v>678960</v>
      </c>
    </row>
    <row r="21" spans="1:7" ht="14.1" customHeight="1">
      <c r="A21" s="357" t="s">
        <v>239</v>
      </c>
      <c r="B21" s="358">
        <v>5202129</v>
      </c>
      <c r="C21" s="358">
        <v>78384</v>
      </c>
      <c r="D21" s="358">
        <v>472740</v>
      </c>
      <c r="E21" s="358">
        <v>161976</v>
      </c>
      <c r="F21" s="358">
        <v>161976</v>
      </c>
      <c r="G21" s="358">
        <v>248363</v>
      </c>
    </row>
    <row r="22" spans="1:7" ht="14.1" customHeight="1">
      <c r="A22" s="23" t="s">
        <v>240</v>
      </c>
      <c r="B22" s="24">
        <v>3022307</v>
      </c>
      <c r="C22" s="24">
        <v>0</v>
      </c>
      <c r="D22" s="24">
        <v>35015</v>
      </c>
      <c r="E22" s="24">
        <v>94104</v>
      </c>
      <c r="F22" s="24">
        <v>94104</v>
      </c>
      <c r="G22" s="24">
        <v>144293</v>
      </c>
    </row>
    <row r="23" spans="1:7" ht="14.1" customHeight="1">
      <c r="A23" s="357" t="s">
        <v>241</v>
      </c>
      <c r="B23" s="358">
        <v>2037995</v>
      </c>
      <c r="C23" s="358">
        <v>387670</v>
      </c>
      <c r="D23" s="358">
        <v>0</v>
      </c>
      <c r="E23" s="358">
        <v>63456</v>
      </c>
      <c r="F23" s="358">
        <v>63456</v>
      </c>
      <c r="G23" s="358">
        <v>97299</v>
      </c>
    </row>
    <row r="24" spans="1:7" ht="14.1" customHeight="1">
      <c r="A24" s="23" t="s">
        <v>242</v>
      </c>
      <c r="B24" s="24">
        <v>7806084</v>
      </c>
      <c r="C24" s="24">
        <v>0</v>
      </c>
      <c r="D24" s="24">
        <v>349323</v>
      </c>
      <c r="E24" s="24">
        <v>243054</v>
      </c>
      <c r="F24" s="24">
        <v>243054</v>
      </c>
      <c r="G24" s="24">
        <v>372683</v>
      </c>
    </row>
    <row r="25" spans="1:7" ht="14.1" customHeight="1">
      <c r="A25" s="357" t="s">
        <v>243</v>
      </c>
      <c r="B25" s="358">
        <v>26134532</v>
      </c>
      <c r="C25" s="358">
        <v>0</v>
      </c>
      <c r="D25" s="358">
        <v>0</v>
      </c>
      <c r="E25" s="358">
        <v>813750</v>
      </c>
      <c r="F25" s="358">
        <v>813750</v>
      </c>
      <c r="G25" s="358">
        <v>1247750</v>
      </c>
    </row>
    <row r="26" spans="1:7" ht="14.1" customHeight="1">
      <c r="A26" s="23" t="s">
        <v>244</v>
      </c>
      <c r="B26" s="24">
        <v>5712784</v>
      </c>
      <c r="C26" s="24">
        <v>0</v>
      </c>
      <c r="D26" s="24">
        <v>569858</v>
      </c>
      <c r="E26" s="24">
        <v>177876</v>
      </c>
      <c r="F26" s="24">
        <v>177876</v>
      </c>
      <c r="G26" s="24">
        <v>272743</v>
      </c>
    </row>
    <row r="27" spans="1:7" ht="14.1" customHeight="1">
      <c r="A27" s="357" t="s">
        <v>245</v>
      </c>
      <c r="B27" s="358">
        <v>5247606</v>
      </c>
      <c r="C27" s="358">
        <v>0</v>
      </c>
      <c r="D27" s="358">
        <v>0</v>
      </c>
      <c r="E27" s="358">
        <v>163392</v>
      </c>
      <c r="F27" s="358">
        <v>163392</v>
      </c>
      <c r="G27" s="358">
        <v>250534</v>
      </c>
    </row>
    <row r="28" spans="1:7" ht="14.1" customHeight="1">
      <c r="A28" s="23" t="s">
        <v>246</v>
      </c>
      <c r="B28" s="24">
        <v>2926150</v>
      </c>
      <c r="C28" s="24">
        <v>33708</v>
      </c>
      <c r="D28" s="24">
        <v>517667</v>
      </c>
      <c r="E28" s="24">
        <v>91110</v>
      </c>
      <c r="F28" s="24">
        <v>91110</v>
      </c>
      <c r="G28" s="24">
        <v>139702</v>
      </c>
    </row>
    <row r="29" spans="1:7" ht="14.1" customHeight="1">
      <c r="A29" s="357" t="s">
        <v>247</v>
      </c>
      <c r="B29" s="358">
        <v>23274113</v>
      </c>
      <c r="C29" s="358">
        <v>0</v>
      </c>
      <c r="D29" s="358">
        <v>0</v>
      </c>
      <c r="E29" s="358">
        <v>724674</v>
      </c>
      <c r="F29" s="358">
        <v>724674</v>
      </c>
      <c r="G29" s="358">
        <v>1111167</v>
      </c>
    </row>
    <row r="30" spans="1:7" ht="14.1" customHeight="1">
      <c r="A30" s="23" t="s">
        <v>248</v>
      </c>
      <c r="B30" s="24">
        <v>2039730</v>
      </c>
      <c r="C30" s="24">
        <v>65575</v>
      </c>
      <c r="D30" s="24">
        <v>305526</v>
      </c>
      <c r="E30" s="24">
        <v>63510</v>
      </c>
      <c r="F30" s="24">
        <v>63510</v>
      </c>
      <c r="G30" s="24">
        <v>97382</v>
      </c>
    </row>
    <row r="31" spans="1:7" ht="14.1" customHeight="1">
      <c r="A31" s="357" t="s">
        <v>249</v>
      </c>
      <c r="B31" s="358">
        <v>5888334</v>
      </c>
      <c r="C31" s="358">
        <v>0</v>
      </c>
      <c r="D31" s="358">
        <v>189787</v>
      </c>
      <c r="E31" s="358">
        <v>183342</v>
      </c>
      <c r="F31" s="358">
        <v>183342</v>
      </c>
      <c r="G31" s="358">
        <v>281124</v>
      </c>
    </row>
    <row r="32" spans="1:7" ht="14.1" customHeight="1">
      <c r="A32" s="23" t="s">
        <v>250</v>
      </c>
      <c r="B32" s="24">
        <v>3873270</v>
      </c>
      <c r="C32" s="24">
        <v>0</v>
      </c>
      <c r="D32" s="24">
        <v>598555</v>
      </c>
      <c r="E32" s="24">
        <v>120600</v>
      </c>
      <c r="F32" s="24">
        <v>120600</v>
      </c>
      <c r="G32" s="24">
        <v>184920</v>
      </c>
    </row>
    <row r="33" spans="1:7" ht="14.1" customHeight="1">
      <c r="A33" s="357" t="s">
        <v>251</v>
      </c>
      <c r="B33" s="358">
        <v>3797732</v>
      </c>
      <c r="C33" s="358">
        <v>38589</v>
      </c>
      <c r="D33" s="358">
        <v>790882</v>
      </c>
      <c r="E33" s="358">
        <v>118248</v>
      </c>
      <c r="F33" s="358">
        <v>118248</v>
      </c>
      <c r="G33" s="358">
        <v>181314</v>
      </c>
    </row>
    <row r="34" spans="1:7" ht="14.1" customHeight="1">
      <c r="A34" s="23" t="s">
        <v>252</v>
      </c>
      <c r="B34" s="24">
        <v>3801586</v>
      </c>
      <c r="C34" s="24">
        <v>63927</v>
      </c>
      <c r="D34" s="24">
        <v>567285</v>
      </c>
      <c r="E34" s="24">
        <v>118368</v>
      </c>
      <c r="F34" s="24">
        <v>118368</v>
      </c>
      <c r="G34" s="24">
        <v>181498</v>
      </c>
    </row>
    <row r="35" spans="1:7" ht="14.1" customHeight="1">
      <c r="A35" s="357" t="s">
        <v>253</v>
      </c>
      <c r="B35" s="358">
        <v>29697190</v>
      </c>
      <c r="C35" s="358">
        <v>0</v>
      </c>
      <c r="D35" s="358">
        <v>0</v>
      </c>
      <c r="E35" s="358">
        <v>924666</v>
      </c>
      <c r="F35" s="358">
        <v>924666</v>
      </c>
      <c r="G35" s="358">
        <v>1417821</v>
      </c>
    </row>
    <row r="36" spans="1:7" ht="14.1" customHeight="1">
      <c r="A36" s="23" t="s">
        <v>254</v>
      </c>
      <c r="B36" s="24">
        <v>2922874</v>
      </c>
      <c r="C36" s="24">
        <v>89466</v>
      </c>
      <c r="D36" s="24">
        <v>441632</v>
      </c>
      <c r="E36" s="24">
        <v>91008</v>
      </c>
      <c r="F36" s="24">
        <v>91008</v>
      </c>
      <c r="G36" s="24">
        <v>139546</v>
      </c>
    </row>
    <row r="37" spans="1:7" ht="14.1" customHeight="1">
      <c r="A37" s="357" t="s">
        <v>255</v>
      </c>
      <c r="B37" s="358">
        <v>7521659</v>
      </c>
      <c r="C37" s="358">
        <v>0</v>
      </c>
      <c r="D37" s="358">
        <v>449483</v>
      </c>
      <c r="E37" s="358">
        <v>234198</v>
      </c>
      <c r="F37" s="358">
        <v>234198</v>
      </c>
      <c r="G37" s="358">
        <v>359104</v>
      </c>
    </row>
    <row r="38" spans="1:7" ht="14.1" customHeight="1">
      <c r="A38" s="23" t="s">
        <v>256</v>
      </c>
      <c r="B38" s="24">
        <v>19970850</v>
      </c>
      <c r="C38" s="24">
        <v>0</v>
      </c>
      <c r="D38" s="24">
        <v>0</v>
      </c>
      <c r="E38" s="24">
        <v>621822</v>
      </c>
      <c r="F38" s="24">
        <v>621822</v>
      </c>
      <c r="G38" s="24">
        <v>953460</v>
      </c>
    </row>
    <row r="39" spans="1:7" ht="14.1" customHeight="1">
      <c r="A39" s="357" t="s">
        <v>257</v>
      </c>
      <c r="B39" s="358">
        <v>2993595</v>
      </c>
      <c r="C39" s="358">
        <v>0</v>
      </c>
      <c r="D39" s="358">
        <v>522585</v>
      </c>
      <c r="E39" s="358">
        <v>93210</v>
      </c>
      <c r="F39" s="358">
        <v>93210</v>
      </c>
      <c r="G39" s="358">
        <v>142922</v>
      </c>
    </row>
    <row r="40" spans="1:7" ht="14.1" customHeight="1">
      <c r="A40" s="23" t="s">
        <v>258</v>
      </c>
      <c r="B40" s="24">
        <v>15162792</v>
      </c>
      <c r="C40" s="24">
        <v>0</v>
      </c>
      <c r="D40" s="24">
        <v>0</v>
      </c>
      <c r="E40" s="24">
        <v>472116</v>
      </c>
      <c r="F40" s="24">
        <v>472116</v>
      </c>
      <c r="G40" s="24">
        <v>723911</v>
      </c>
    </row>
    <row r="41" spans="1:7" ht="14.1" customHeight="1">
      <c r="A41" s="357" t="s">
        <v>259</v>
      </c>
      <c r="B41" s="358">
        <v>8355087</v>
      </c>
      <c r="C41" s="358">
        <v>108978</v>
      </c>
      <c r="D41" s="358">
        <v>496003</v>
      </c>
      <c r="E41" s="358">
        <v>260148</v>
      </c>
      <c r="F41" s="358">
        <v>260148</v>
      </c>
      <c r="G41" s="358">
        <v>398894</v>
      </c>
    </row>
    <row r="42" spans="1:7" ht="14.1" customHeight="1">
      <c r="A42" s="23" t="s">
        <v>260</v>
      </c>
      <c r="B42" s="24">
        <v>2711867</v>
      </c>
      <c r="C42" s="24">
        <v>0</v>
      </c>
      <c r="D42" s="24">
        <v>294230</v>
      </c>
      <c r="E42" s="24">
        <v>84438</v>
      </c>
      <c r="F42" s="24">
        <v>84438</v>
      </c>
      <c r="G42" s="24">
        <v>129472</v>
      </c>
    </row>
    <row r="43" spans="1:7" ht="14.1" customHeight="1">
      <c r="A43" s="357" t="s">
        <v>261</v>
      </c>
      <c r="B43" s="358">
        <v>1884221</v>
      </c>
      <c r="C43" s="358">
        <v>41175</v>
      </c>
      <c r="D43" s="358">
        <v>246195</v>
      </c>
      <c r="E43" s="358">
        <v>58668</v>
      </c>
      <c r="F43" s="358">
        <v>58668</v>
      </c>
      <c r="G43" s="358">
        <v>89958</v>
      </c>
    </row>
    <row r="44" spans="1:7" ht="14.1" customHeight="1">
      <c r="A44" s="23" t="s">
        <v>262</v>
      </c>
      <c r="B44" s="24">
        <v>1353718</v>
      </c>
      <c r="C44" s="24">
        <v>29070</v>
      </c>
      <c r="D44" s="24">
        <v>299359</v>
      </c>
      <c r="E44" s="24">
        <v>42150</v>
      </c>
      <c r="F44" s="24">
        <v>42150</v>
      </c>
      <c r="G44" s="24">
        <v>64630</v>
      </c>
    </row>
    <row r="45" spans="1:7" ht="14.1" customHeight="1">
      <c r="A45" s="357" t="s">
        <v>263</v>
      </c>
      <c r="B45" s="358">
        <v>3104975</v>
      </c>
      <c r="C45" s="358">
        <v>0</v>
      </c>
      <c r="D45" s="358">
        <v>16157</v>
      </c>
      <c r="E45" s="358">
        <v>96678</v>
      </c>
      <c r="F45" s="358">
        <v>96678</v>
      </c>
      <c r="G45" s="358">
        <v>148240</v>
      </c>
    </row>
    <row r="46" spans="1:7" ht="14.1" customHeight="1">
      <c r="A46" s="23" t="s">
        <v>264</v>
      </c>
      <c r="B46" s="24">
        <v>56883443</v>
      </c>
      <c r="C46" s="24">
        <v>0</v>
      </c>
      <c r="D46" s="24">
        <v>0</v>
      </c>
      <c r="E46" s="24">
        <v>1771152</v>
      </c>
      <c r="F46" s="24">
        <v>1771152</v>
      </c>
      <c r="G46" s="24">
        <v>2715766</v>
      </c>
    </row>
    <row r="47" spans="1:7" ht="5.0999999999999996" customHeight="1">
      <c r="A47"/>
      <c r="B47"/>
      <c r="C47"/>
      <c r="D47"/>
      <c r="E47"/>
      <c r="F47"/>
      <c r="G47"/>
    </row>
    <row r="48" spans="1:7" ht="14.1" customHeight="1">
      <c r="A48" s="360" t="s">
        <v>265</v>
      </c>
      <c r="B48" s="361">
        <f t="shared" ref="B48:G48" si="0">SUM(B11:B46)</f>
        <v>318844256</v>
      </c>
      <c r="C48" s="361">
        <f t="shared" si="0"/>
        <v>1210053</v>
      </c>
      <c r="D48" s="361">
        <f t="shared" si="0"/>
        <v>10590318</v>
      </c>
      <c r="E48" s="361">
        <f t="shared" si="0"/>
        <v>9927678</v>
      </c>
      <c r="F48" s="361">
        <f t="shared" si="0"/>
        <v>9927678</v>
      </c>
      <c r="G48" s="361">
        <f t="shared" si="0"/>
        <v>15222481</v>
      </c>
    </row>
    <row r="49" spans="1:7" ht="5.0999999999999996" customHeight="1">
      <c r="A49" s="25" t="s">
        <v>3</v>
      </c>
      <c r="B49" s="26"/>
      <c r="C49" s="26"/>
      <c r="D49" s="26"/>
      <c r="E49" s="26"/>
      <c r="F49" s="26"/>
      <c r="G49" s="26"/>
    </row>
    <row r="50" spans="1:7" ht="14.45" customHeight="1">
      <c r="A50" s="23" t="s">
        <v>266</v>
      </c>
      <c r="B50" s="24">
        <v>216898</v>
      </c>
      <c r="C50" s="24">
        <v>33406</v>
      </c>
      <c r="D50" s="24">
        <v>0</v>
      </c>
      <c r="E50" s="24">
        <v>10470</v>
      </c>
      <c r="F50" s="24">
        <v>10470</v>
      </c>
      <c r="G50" s="24">
        <v>16054</v>
      </c>
    </row>
    <row r="51" spans="1:7" ht="14.1" customHeight="1">
      <c r="A51" s="511" t="s">
        <v>691</v>
      </c>
      <c r="B51" s="358">
        <v>0</v>
      </c>
      <c r="C51" s="358">
        <v>0</v>
      </c>
      <c r="D51" s="358">
        <v>0</v>
      </c>
      <c r="E51" s="358">
        <v>0</v>
      </c>
      <c r="F51" s="358">
        <v>0</v>
      </c>
      <c r="G51" s="358">
        <v>0</v>
      </c>
    </row>
    <row r="52" spans="1:7" ht="50.1" customHeight="1">
      <c r="A52" s="27"/>
      <c r="B52" s="27"/>
      <c r="C52" s="27"/>
      <c r="D52" s="27"/>
      <c r="E52" s="27"/>
      <c r="F52" s="27"/>
      <c r="G52" s="27"/>
    </row>
    <row r="53" spans="1:7" ht="15" customHeight="1">
      <c r="A53" s="158" t="s">
        <v>662</v>
      </c>
      <c r="D53" s="39"/>
      <c r="E53" s="39"/>
      <c r="F53" s="39"/>
      <c r="G53" s="39"/>
    </row>
    <row r="54" spans="1:7" ht="12" customHeight="1">
      <c r="A54" s="39" t="s">
        <v>569</v>
      </c>
      <c r="D54" s="39"/>
      <c r="E54" s="39"/>
      <c r="F54" s="39"/>
      <c r="G54" s="39"/>
    </row>
    <row r="55" spans="1:7" ht="14.45" customHeight="1">
      <c r="A55" s="39"/>
      <c r="D55" s="39"/>
      <c r="E55" s="39"/>
      <c r="F55" s="39"/>
      <c r="G55" s="39"/>
    </row>
    <row r="56" spans="1:7" ht="14.45" customHeight="1">
      <c r="D56" s="115"/>
      <c r="E56" s="115"/>
      <c r="F56" s="115"/>
      <c r="G56" s="115"/>
    </row>
    <row r="57" spans="1:7" ht="14.45" customHeight="1"/>
    <row r="58" spans="1:7" ht="14.45" customHeight="1"/>
    <row r="59" spans="1:7" ht="14.45" customHeight="1"/>
    <row r="63" spans="1:7" ht="15" customHeight="1"/>
  </sheetData>
  <phoneticPr fontId="0" type="noConversion"/>
  <printOptions horizontalCentered="1"/>
  <pageMargins left="0.51181102362204722" right="0.51181102362204722" top="0.59055118110236227" bottom="0" header="0.31496062992125984" footer="0"/>
  <pageSetup scale="88" orientation="portrait" r:id="rId1"/>
  <headerFooter alignWithMargins="0">
    <oddHeader>&amp;C&amp;"Arial,Bold"&amp;10&amp;A</oddHeader>
  </headerFooter>
</worksheet>
</file>

<file path=xl/worksheets/sheet46.xml><?xml version="1.0" encoding="utf-8"?>
<worksheet xmlns="http://schemas.openxmlformats.org/spreadsheetml/2006/main" xmlns:r="http://schemas.openxmlformats.org/officeDocument/2006/relationships">
  <sheetPr codeName="Sheet451">
    <pageSetUpPr fitToPage="1"/>
  </sheetPr>
  <dimension ref="A1:K59"/>
  <sheetViews>
    <sheetView showGridLines="0" showZeros="0" workbookViewId="0"/>
  </sheetViews>
  <sheetFormatPr defaultColWidth="19.83203125" defaultRowHeight="12"/>
  <cols>
    <col min="1" max="1" width="29.83203125" style="1" customWidth="1"/>
    <col min="2" max="2" width="15.83203125" style="1" customWidth="1"/>
    <col min="3" max="3" width="17.83203125" style="1" customWidth="1"/>
    <col min="4" max="4" width="18.83203125" style="1" customWidth="1"/>
    <col min="5" max="5" width="14.83203125" style="1" customWidth="1"/>
    <col min="6" max="7" width="17.83203125" style="1" customWidth="1"/>
    <col min="8" max="16384" width="19.83203125" style="1"/>
  </cols>
  <sheetData>
    <row r="1" spans="1:7" ht="6.95" customHeight="1">
      <c r="A1" s="3"/>
      <c r="B1" s="3"/>
      <c r="C1" s="3"/>
      <c r="D1" s="3"/>
      <c r="E1" s="3"/>
      <c r="F1" s="3"/>
      <c r="G1" s="3"/>
    </row>
    <row r="2" spans="1:7" ht="15.95" customHeight="1">
      <c r="A2" s="304"/>
      <c r="B2" s="314" t="str">
        <f>REVYEAR</f>
        <v>ANALYSIS OF OPERATING FUND REVENUE: 2014/2015 BUDGET</v>
      </c>
      <c r="C2" s="315"/>
      <c r="D2" s="309"/>
      <c r="E2" s="309"/>
      <c r="F2" s="316"/>
      <c r="G2" s="248" t="s">
        <v>199</v>
      </c>
    </row>
    <row r="3" spans="1:7" ht="15.95" customHeight="1">
      <c r="A3" s="243"/>
      <c r="B3" s="243"/>
      <c r="C3" s="3"/>
      <c r="D3" s="3"/>
      <c r="E3" s="3"/>
      <c r="F3" s="3"/>
      <c r="G3" s="3"/>
    </row>
    <row r="4" spans="1:7" ht="15.95" customHeight="1">
      <c r="B4" s="436" t="s">
        <v>77</v>
      </c>
      <c r="C4" s="366"/>
      <c r="D4" s="366"/>
      <c r="E4" s="366"/>
      <c r="F4" s="366"/>
      <c r="G4" s="365"/>
    </row>
    <row r="5" spans="1:7" ht="15.95" customHeight="1">
      <c r="B5" s="459" t="s">
        <v>221</v>
      </c>
      <c r="C5" s="431"/>
      <c r="D5" s="431"/>
      <c r="E5" s="431"/>
      <c r="F5" s="377"/>
      <c r="G5" s="468"/>
    </row>
    <row r="6" spans="1:7" ht="15.95" customHeight="1">
      <c r="B6" s="307" t="s">
        <v>99</v>
      </c>
      <c r="C6" s="128"/>
      <c r="D6" s="128"/>
      <c r="E6" s="128"/>
      <c r="F6" s="128"/>
      <c r="G6" s="133"/>
    </row>
    <row r="7" spans="1:7" ht="15.95" customHeight="1">
      <c r="B7" s="250"/>
      <c r="C7" s="32"/>
      <c r="D7" s="32"/>
      <c r="E7" s="32"/>
      <c r="F7" s="32"/>
      <c r="G7" s="250" t="s">
        <v>54</v>
      </c>
    </row>
    <row r="8" spans="1:7" ht="15.95" customHeight="1">
      <c r="A8" s="102"/>
      <c r="B8" s="559" t="s">
        <v>419</v>
      </c>
      <c r="C8" s="252" t="s">
        <v>114</v>
      </c>
      <c r="D8" s="252" t="s">
        <v>116</v>
      </c>
      <c r="E8" s="252" t="s">
        <v>479</v>
      </c>
      <c r="F8" s="317"/>
      <c r="G8" s="252" t="s">
        <v>117</v>
      </c>
    </row>
    <row r="9" spans="1:7" ht="15.95" customHeight="1">
      <c r="A9" s="35" t="s">
        <v>81</v>
      </c>
      <c r="B9" s="560" t="s">
        <v>535</v>
      </c>
      <c r="C9" s="119" t="s">
        <v>138</v>
      </c>
      <c r="D9" s="119" t="s">
        <v>140</v>
      </c>
      <c r="E9" s="119" t="s">
        <v>77</v>
      </c>
      <c r="F9" s="119" t="s">
        <v>137</v>
      </c>
      <c r="G9" s="119" t="s">
        <v>136</v>
      </c>
    </row>
    <row r="10" spans="1:7" ht="5.0999999999999996" customHeight="1">
      <c r="A10" s="37"/>
      <c r="B10" s="3"/>
      <c r="F10" s="3"/>
      <c r="G10" s="3"/>
    </row>
    <row r="11" spans="1:7" ht="14.1" customHeight="1">
      <c r="A11" s="357" t="s">
        <v>230</v>
      </c>
      <c r="B11" s="358">
        <v>466854</v>
      </c>
      <c r="C11" s="358">
        <v>122674</v>
      </c>
      <c r="D11" s="358">
        <v>67988</v>
      </c>
      <c r="E11" s="358">
        <v>27125</v>
      </c>
      <c r="F11" s="358">
        <v>854145</v>
      </c>
      <c r="G11" s="358">
        <f>SUM('- 52 -'!$B11:G11,B11:F11)</f>
        <v>5017086</v>
      </c>
    </row>
    <row r="12" spans="1:7" ht="14.1" customHeight="1">
      <c r="A12" s="23" t="s">
        <v>231</v>
      </c>
      <c r="B12" s="24">
        <v>680904</v>
      </c>
      <c r="C12" s="24">
        <v>171495</v>
      </c>
      <c r="D12" s="24">
        <v>95045</v>
      </c>
      <c r="E12" s="24">
        <v>49625</v>
      </c>
      <c r="F12" s="24">
        <v>1229490</v>
      </c>
      <c r="G12" s="24">
        <f>SUM('- 52 -'!$B12:G12,B12:F12)</f>
        <v>7046126</v>
      </c>
    </row>
    <row r="13" spans="1:7" ht="14.1" customHeight="1">
      <c r="A13" s="357" t="s">
        <v>232</v>
      </c>
      <c r="B13" s="358">
        <v>2620000</v>
      </c>
      <c r="C13" s="358">
        <v>658200</v>
      </c>
      <c r="D13" s="358">
        <v>364800</v>
      </c>
      <c r="E13" s="358">
        <v>192400</v>
      </c>
      <c r="F13" s="358">
        <v>3041200</v>
      </c>
      <c r="G13" s="358">
        <f>SUM('- 52 -'!$B13:G13,B13:F13)</f>
        <v>23953900</v>
      </c>
    </row>
    <row r="14" spans="1:7" ht="14.1" customHeight="1">
      <c r="A14" s="23" t="s">
        <v>566</v>
      </c>
      <c r="B14" s="24">
        <v>1569708</v>
      </c>
      <c r="C14" s="24">
        <v>410335</v>
      </c>
      <c r="D14" s="24">
        <v>192808</v>
      </c>
      <c r="E14" s="24">
        <v>78750</v>
      </c>
      <c r="F14" s="24">
        <v>2593215</v>
      </c>
      <c r="G14" s="24">
        <f>SUM('- 52 -'!$B14:G14,B14:F14)</f>
        <v>16211926</v>
      </c>
    </row>
    <row r="15" spans="1:7" ht="14.1" customHeight="1">
      <c r="A15" s="357" t="s">
        <v>233</v>
      </c>
      <c r="B15" s="358">
        <v>477878</v>
      </c>
      <c r="C15" s="358">
        <v>123172</v>
      </c>
      <c r="D15" s="358">
        <v>57876</v>
      </c>
      <c r="E15" s="358">
        <v>33750</v>
      </c>
      <c r="F15" s="358">
        <v>860130</v>
      </c>
      <c r="G15" s="358">
        <f>SUM('- 52 -'!$B15:G15,B15:F15)</f>
        <v>4972176</v>
      </c>
    </row>
    <row r="16" spans="1:7" ht="14.1" customHeight="1">
      <c r="A16" s="23" t="s">
        <v>234</v>
      </c>
      <c r="B16" s="24">
        <v>317427</v>
      </c>
      <c r="C16" s="24">
        <v>77456</v>
      </c>
      <c r="D16" s="24">
        <v>47593</v>
      </c>
      <c r="E16" s="24">
        <v>26875</v>
      </c>
      <c r="F16" s="24">
        <v>555750</v>
      </c>
      <c r="G16" s="24">
        <f>SUM('- 52 -'!$B16:G16,B16:F16)</f>
        <v>3057573</v>
      </c>
    </row>
    <row r="17" spans="1:7" ht="14.1" customHeight="1">
      <c r="A17" s="357" t="s">
        <v>235</v>
      </c>
      <c r="B17" s="358">
        <v>392950</v>
      </c>
      <c r="C17" s="358">
        <v>105020</v>
      </c>
      <c r="D17" s="358">
        <v>58204</v>
      </c>
      <c r="E17" s="358">
        <v>28750</v>
      </c>
      <c r="F17" s="358">
        <v>858420</v>
      </c>
      <c r="G17" s="358">
        <f>SUM('- 52 -'!$B17:G17,B17:F17)</f>
        <v>4448812</v>
      </c>
    </row>
    <row r="18" spans="1:7" ht="14.1" customHeight="1">
      <c r="A18" s="23" t="s">
        <v>236</v>
      </c>
      <c r="B18" s="24">
        <v>1274659</v>
      </c>
      <c r="C18" s="24">
        <v>196046</v>
      </c>
      <c r="D18" s="24">
        <v>92118</v>
      </c>
      <c r="E18" s="24">
        <v>36625</v>
      </c>
      <c r="F18" s="24">
        <v>4087755</v>
      </c>
      <c r="G18" s="24">
        <f>SUM('- 52 -'!$B18:G18,B18:F18)</f>
        <v>11746666</v>
      </c>
    </row>
    <row r="19" spans="1:7" ht="14.1" customHeight="1">
      <c r="A19" s="357" t="s">
        <v>237</v>
      </c>
      <c r="B19" s="358">
        <v>1323190</v>
      </c>
      <c r="C19" s="358">
        <v>345023</v>
      </c>
      <c r="D19" s="358">
        <v>191217</v>
      </c>
      <c r="E19" s="358">
        <v>82500</v>
      </c>
      <c r="F19" s="358">
        <v>1692900</v>
      </c>
      <c r="G19" s="358">
        <f>SUM('- 52 -'!$B19:G19,B19:F19)</f>
        <v>12757045</v>
      </c>
    </row>
    <row r="20" spans="1:7" ht="14.1" customHeight="1">
      <c r="A20" s="23" t="s">
        <v>238</v>
      </c>
      <c r="B20" s="24">
        <v>2417515</v>
      </c>
      <c r="C20" s="24">
        <v>612540</v>
      </c>
      <c r="D20" s="24">
        <v>287820</v>
      </c>
      <c r="E20" s="24">
        <v>152375</v>
      </c>
      <c r="F20" s="24">
        <v>2626560</v>
      </c>
      <c r="G20" s="24">
        <f>SUM('- 52 -'!$B20:G20,B20:F20)</f>
        <v>22142638</v>
      </c>
    </row>
    <row r="21" spans="1:7" ht="14.1" customHeight="1">
      <c r="A21" s="357" t="s">
        <v>239</v>
      </c>
      <c r="B21" s="358">
        <v>877435</v>
      </c>
      <c r="C21" s="358">
        <v>224067</v>
      </c>
      <c r="D21" s="358">
        <v>105284</v>
      </c>
      <c r="E21" s="358">
        <v>62500</v>
      </c>
      <c r="F21" s="358">
        <v>1552680</v>
      </c>
      <c r="G21" s="358">
        <f>SUM('- 52 -'!$B21:G21,B21:F21)</f>
        <v>9147534</v>
      </c>
    </row>
    <row r="22" spans="1:7" ht="14.1" customHeight="1">
      <c r="A22" s="23" t="s">
        <v>240</v>
      </c>
      <c r="B22" s="24">
        <v>554720</v>
      </c>
      <c r="C22" s="24">
        <v>130177</v>
      </c>
      <c r="D22" s="24">
        <v>79988</v>
      </c>
      <c r="E22" s="24">
        <v>27250</v>
      </c>
      <c r="F22" s="24">
        <v>952470</v>
      </c>
      <c r="G22" s="24">
        <f>SUM('- 52 -'!$B22:G22,B22:F22)</f>
        <v>5134428</v>
      </c>
    </row>
    <row r="23" spans="1:7" ht="14.1" customHeight="1">
      <c r="A23" s="357" t="s">
        <v>241</v>
      </c>
      <c r="B23" s="358">
        <v>372809</v>
      </c>
      <c r="C23" s="358">
        <v>87781</v>
      </c>
      <c r="D23" s="358">
        <v>48650</v>
      </c>
      <c r="E23" s="358">
        <v>21875</v>
      </c>
      <c r="F23" s="358">
        <v>808830</v>
      </c>
      <c r="G23" s="358">
        <f>SUM('- 52 -'!$B23:G23,B23:F23)</f>
        <v>3989821</v>
      </c>
    </row>
    <row r="24" spans="1:7" ht="14.1" customHeight="1">
      <c r="A24" s="23" t="s">
        <v>242</v>
      </c>
      <c r="B24" s="24">
        <v>1323817</v>
      </c>
      <c r="C24" s="24">
        <v>336225</v>
      </c>
      <c r="D24" s="24">
        <v>157985</v>
      </c>
      <c r="E24" s="24">
        <v>100125</v>
      </c>
      <c r="F24" s="24">
        <v>2038320</v>
      </c>
      <c r="G24" s="24">
        <f>SUM('- 52 -'!$B24:G24,B24:F24)</f>
        <v>12970670</v>
      </c>
    </row>
    <row r="25" spans="1:7" ht="14.1" customHeight="1">
      <c r="A25" s="357" t="s">
        <v>243</v>
      </c>
      <c r="B25" s="358">
        <v>4649640</v>
      </c>
      <c r="C25" s="358">
        <v>1125688</v>
      </c>
      <c r="D25" s="358">
        <v>528938</v>
      </c>
      <c r="E25" s="358">
        <v>320000</v>
      </c>
      <c r="F25" s="358">
        <v>6443280</v>
      </c>
      <c r="G25" s="358">
        <f>SUM('- 52 -'!$B25:G25,B25:F25)</f>
        <v>42077328</v>
      </c>
    </row>
    <row r="26" spans="1:7" ht="14.1" customHeight="1">
      <c r="A26" s="23" t="s">
        <v>244</v>
      </c>
      <c r="B26" s="24">
        <v>1015479</v>
      </c>
      <c r="C26" s="24">
        <v>246062</v>
      </c>
      <c r="D26" s="24">
        <v>136372</v>
      </c>
      <c r="E26" s="24">
        <v>66125</v>
      </c>
      <c r="F26" s="24">
        <v>2311920</v>
      </c>
      <c r="G26" s="24">
        <f>SUM('- 52 -'!$B26:G26,B26:F26)</f>
        <v>10687095</v>
      </c>
    </row>
    <row r="27" spans="1:7" ht="14.1" customHeight="1">
      <c r="A27" s="357" t="s">
        <v>245</v>
      </c>
      <c r="B27" s="358">
        <v>1032831</v>
      </c>
      <c r="C27" s="358">
        <v>226026</v>
      </c>
      <c r="D27" s="358">
        <v>138883</v>
      </c>
      <c r="E27" s="358">
        <v>53500</v>
      </c>
      <c r="F27" s="358">
        <v>1308150</v>
      </c>
      <c r="G27" s="358">
        <f>SUM('- 52 -'!$B27:G27,B27:F27)</f>
        <v>8584314</v>
      </c>
    </row>
    <row r="28" spans="1:7" ht="14.1" customHeight="1">
      <c r="A28" s="23" t="s">
        <v>246</v>
      </c>
      <c r="B28" s="24">
        <v>485849</v>
      </c>
      <c r="C28" s="24">
        <v>126036</v>
      </c>
      <c r="D28" s="24">
        <v>69851</v>
      </c>
      <c r="E28" s="24">
        <v>34375</v>
      </c>
      <c r="F28" s="24">
        <v>1293615</v>
      </c>
      <c r="G28" s="24">
        <f>SUM('- 52 -'!$B28:G28,B28:F28)</f>
        <v>5809173</v>
      </c>
    </row>
    <row r="29" spans="1:7" ht="14.1" customHeight="1">
      <c r="A29" s="357" t="s">
        <v>247</v>
      </c>
      <c r="B29" s="358">
        <v>3915977</v>
      </c>
      <c r="C29" s="358">
        <v>1002466</v>
      </c>
      <c r="D29" s="358">
        <v>471038</v>
      </c>
      <c r="E29" s="358">
        <v>287250</v>
      </c>
      <c r="F29" s="358">
        <v>4976100</v>
      </c>
      <c r="G29" s="358">
        <f>SUM('- 52 -'!$B29:G29,B29:F29)</f>
        <v>36487459</v>
      </c>
    </row>
    <row r="30" spans="1:7" ht="14.1" customHeight="1">
      <c r="A30" s="23" t="s">
        <v>248</v>
      </c>
      <c r="B30" s="24">
        <v>350645</v>
      </c>
      <c r="C30" s="24">
        <v>87856</v>
      </c>
      <c r="D30" s="24">
        <v>48691</v>
      </c>
      <c r="E30" s="24">
        <v>24375</v>
      </c>
      <c r="F30" s="24">
        <v>792585</v>
      </c>
      <c r="G30" s="24">
        <f>SUM('- 52 -'!$B30:G30,B30:F30)</f>
        <v>3939385</v>
      </c>
    </row>
    <row r="31" spans="1:7" ht="14.1" customHeight="1">
      <c r="A31" s="357" t="s">
        <v>249</v>
      </c>
      <c r="B31" s="358">
        <v>1069115</v>
      </c>
      <c r="C31" s="358">
        <v>253623</v>
      </c>
      <c r="D31" s="358">
        <v>119172</v>
      </c>
      <c r="E31" s="358">
        <v>63625</v>
      </c>
      <c r="F31" s="358">
        <v>1792935</v>
      </c>
      <c r="G31" s="358">
        <f>SUM('- 52 -'!$B31:G31,B31:F31)</f>
        <v>10024399</v>
      </c>
    </row>
    <row r="32" spans="1:7" ht="14.1" customHeight="1">
      <c r="A32" s="23" t="s">
        <v>250</v>
      </c>
      <c r="B32" s="24">
        <v>641939</v>
      </c>
      <c r="C32" s="24">
        <v>166830</v>
      </c>
      <c r="D32" s="24">
        <v>78390</v>
      </c>
      <c r="E32" s="24">
        <v>35775</v>
      </c>
      <c r="F32" s="24">
        <v>1403055</v>
      </c>
      <c r="G32" s="24">
        <f>SUM('- 52 -'!$B32:G32,B32:F32)</f>
        <v>7223934</v>
      </c>
    </row>
    <row r="33" spans="1:7" ht="14.1" customHeight="1">
      <c r="A33" s="357" t="s">
        <v>251</v>
      </c>
      <c r="B33" s="358">
        <v>635760</v>
      </c>
      <c r="C33" s="358">
        <v>163576</v>
      </c>
      <c r="D33" s="358">
        <v>90657</v>
      </c>
      <c r="E33" s="358">
        <v>40375</v>
      </c>
      <c r="F33" s="358">
        <v>1757880</v>
      </c>
      <c r="G33" s="358">
        <f>SUM('- 52 -'!$B33:G33,B33:F33)</f>
        <v>7733261</v>
      </c>
    </row>
    <row r="34" spans="1:7" ht="14.1" customHeight="1">
      <c r="A34" s="23" t="s">
        <v>252</v>
      </c>
      <c r="B34" s="24">
        <v>630336</v>
      </c>
      <c r="C34" s="24">
        <v>163742</v>
      </c>
      <c r="D34" s="24">
        <v>76939</v>
      </c>
      <c r="E34" s="24">
        <v>42625</v>
      </c>
      <c r="F34" s="24">
        <v>1243170</v>
      </c>
      <c r="G34" s="24">
        <f>SUM('- 52 -'!$B34:G34,B34:F34)</f>
        <v>7007844</v>
      </c>
    </row>
    <row r="35" spans="1:7" ht="14.1" customHeight="1">
      <c r="A35" s="357" t="s">
        <v>253</v>
      </c>
      <c r="B35" s="358">
        <v>5075947</v>
      </c>
      <c r="C35" s="358">
        <v>1279121</v>
      </c>
      <c r="D35" s="358">
        <v>601033</v>
      </c>
      <c r="E35" s="358">
        <v>370750</v>
      </c>
      <c r="F35" s="358">
        <v>7059735</v>
      </c>
      <c r="G35" s="358">
        <f>SUM('- 52 -'!$B35:G35,B35:F35)</f>
        <v>47350929</v>
      </c>
    </row>
    <row r="36" spans="1:7" ht="14.1" customHeight="1">
      <c r="A36" s="23" t="s">
        <v>254</v>
      </c>
      <c r="B36" s="24">
        <v>505699</v>
      </c>
      <c r="C36" s="24">
        <v>125894</v>
      </c>
      <c r="D36" s="24">
        <v>69773</v>
      </c>
      <c r="E36" s="24">
        <v>30375</v>
      </c>
      <c r="F36" s="24">
        <v>1172205</v>
      </c>
      <c r="G36" s="24">
        <f>SUM('- 52 -'!$B36:G36,B36:F36)</f>
        <v>5679480</v>
      </c>
    </row>
    <row r="37" spans="1:7" ht="14.1" customHeight="1">
      <c r="A37" s="357" t="s">
        <v>255</v>
      </c>
      <c r="B37" s="358">
        <v>1287476</v>
      </c>
      <c r="C37" s="358">
        <v>323974</v>
      </c>
      <c r="D37" s="358">
        <v>152229</v>
      </c>
      <c r="E37" s="358">
        <v>71875</v>
      </c>
      <c r="F37" s="358">
        <v>1718550</v>
      </c>
      <c r="G37" s="358">
        <f>SUM('- 52 -'!$B37:G37,B37:F37)</f>
        <v>12352746</v>
      </c>
    </row>
    <row r="38" spans="1:7" ht="14.1" customHeight="1">
      <c r="A38" s="23" t="s">
        <v>256</v>
      </c>
      <c r="B38" s="24">
        <v>3603288</v>
      </c>
      <c r="C38" s="24">
        <v>860187</v>
      </c>
      <c r="D38" s="24">
        <v>404184</v>
      </c>
      <c r="E38" s="24">
        <v>254750</v>
      </c>
      <c r="F38" s="24">
        <v>3420855</v>
      </c>
      <c r="G38" s="24">
        <f>SUM('- 52 -'!$B38:G38,B38:F38)</f>
        <v>30711218</v>
      </c>
    </row>
    <row r="39" spans="1:7" ht="14.1" customHeight="1">
      <c r="A39" s="357" t="s">
        <v>257</v>
      </c>
      <c r="B39" s="358">
        <v>485391</v>
      </c>
      <c r="C39" s="358">
        <v>128941</v>
      </c>
      <c r="D39" s="358">
        <v>71461</v>
      </c>
      <c r="E39" s="358">
        <v>30875</v>
      </c>
      <c r="F39" s="358">
        <v>1037115</v>
      </c>
      <c r="G39" s="358">
        <f>SUM('- 52 -'!$B39:G39,B39:F39)</f>
        <v>5599305</v>
      </c>
    </row>
    <row r="40" spans="1:7" ht="14.1" customHeight="1">
      <c r="A40" s="23" t="s">
        <v>258</v>
      </c>
      <c r="B40" s="24">
        <v>2656501</v>
      </c>
      <c r="C40" s="24">
        <v>653094</v>
      </c>
      <c r="D40" s="24">
        <v>306875</v>
      </c>
      <c r="E40" s="24">
        <v>193625</v>
      </c>
      <c r="F40" s="24">
        <v>4210020</v>
      </c>
      <c r="G40" s="24">
        <f>SUM('- 52 -'!$B40:G40,B40:F40)</f>
        <v>24851050</v>
      </c>
    </row>
    <row r="41" spans="1:7" ht="14.1" customHeight="1">
      <c r="A41" s="357" t="s">
        <v>259</v>
      </c>
      <c r="B41" s="358">
        <v>1420522</v>
      </c>
      <c r="C41" s="358">
        <v>359871</v>
      </c>
      <c r="D41" s="358">
        <v>199447</v>
      </c>
      <c r="E41" s="358">
        <v>80250</v>
      </c>
      <c r="F41" s="358">
        <v>2183670</v>
      </c>
      <c r="G41" s="358">
        <f>SUM('- 52 -'!$B41:G41,B41:F41)</f>
        <v>14123018</v>
      </c>
    </row>
    <row r="42" spans="1:7" ht="14.1" customHeight="1">
      <c r="A42" s="23" t="s">
        <v>260</v>
      </c>
      <c r="B42" s="24">
        <v>486274</v>
      </c>
      <c r="C42" s="24">
        <v>116806</v>
      </c>
      <c r="D42" s="24">
        <v>71772</v>
      </c>
      <c r="E42" s="24">
        <v>29250</v>
      </c>
      <c r="F42" s="24">
        <v>1047375</v>
      </c>
      <c r="G42" s="24">
        <f>SUM('- 52 -'!$B42:G42,B42:F42)</f>
        <v>5055922</v>
      </c>
    </row>
    <row r="43" spans="1:7" ht="14.1" customHeight="1">
      <c r="A43" s="357" t="s">
        <v>261</v>
      </c>
      <c r="B43" s="358">
        <v>310068</v>
      </c>
      <c r="C43" s="358">
        <v>81157</v>
      </c>
      <c r="D43" s="358">
        <v>44979</v>
      </c>
      <c r="E43" s="358">
        <v>23000</v>
      </c>
      <c r="F43" s="358">
        <v>596790</v>
      </c>
      <c r="G43" s="358">
        <f>SUM('- 52 -'!$B43:G43,B43:F43)</f>
        <v>3434879</v>
      </c>
    </row>
    <row r="44" spans="1:7" ht="14.1" customHeight="1">
      <c r="A44" s="23" t="s">
        <v>262</v>
      </c>
      <c r="B44" s="24">
        <v>336433</v>
      </c>
      <c r="C44" s="24">
        <v>58308</v>
      </c>
      <c r="D44" s="24">
        <v>32315</v>
      </c>
      <c r="E44" s="24">
        <v>12375</v>
      </c>
      <c r="F44" s="24">
        <v>625860</v>
      </c>
      <c r="G44" s="24">
        <f>SUM('- 52 -'!$B44:G44,B44:F44)</f>
        <v>2896368</v>
      </c>
    </row>
    <row r="45" spans="1:7" ht="14.1" customHeight="1">
      <c r="A45" s="357" t="s">
        <v>263</v>
      </c>
      <c r="B45" s="358">
        <v>513932</v>
      </c>
      <c r="C45" s="358">
        <v>133738</v>
      </c>
      <c r="D45" s="358">
        <v>74120</v>
      </c>
      <c r="E45" s="358">
        <v>37375</v>
      </c>
      <c r="F45" s="358">
        <v>590805</v>
      </c>
      <c r="G45" s="358">
        <f>SUM('- 52 -'!$B45:G45,B45:F45)</f>
        <v>4812698</v>
      </c>
    </row>
    <row r="46" spans="1:7" ht="14.1" customHeight="1">
      <c r="A46" s="23" t="s">
        <v>264</v>
      </c>
      <c r="B46" s="24">
        <v>16503241</v>
      </c>
      <c r="C46" s="24">
        <v>2450094</v>
      </c>
      <c r="D46" s="24">
        <v>1151249</v>
      </c>
      <c r="E46" s="24">
        <v>737625</v>
      </c>
      <c r="F46" s="24">
        <v>14526450</v>
      </c>
      <c r="G46" s="24">
        <f>SUM('- 52 -'!$B46:G46,B46:F46)</f>
        <v>98510172</v>
      </c>
    </row>
    <row r="47" spans="1:7" ht="5.0999999999999996" customHeight="1">
      <c r="A47"/>
      <c r="B47"/>
      <c r="C47"/>
      <c r="D47"/>
      <c r="E47"/>
      <c r="F47"/>
      <c r="G47"/>
    </row>
    <row r="48" spans="1:7" ht="14.1" customHeight="1">
      <c r="A48" s="360" t="s">
        <v>265</v>
      </c>
      <c r="B48" s="361">
        <f t="shared" ref="B48:G48" si="0">SUM(B11:B46)</f>
        <v>62282209</v>
      </c>
      <c r="C48" s="361">
        <f t="shared" si="0"/>
        <v>13733301</v>
      </c>
      <c r="D48" s="361">
        <f t="shared" si="0"/>
        <v>6785744</v>
      </c>
      <c r="E48" s="361">
        <f t="shared" si="0"/>
        <v>3760675</v>
      </c>
      <c r="F48" s="361">
        <f t="shared" si="0"/>
        <v>85263985</v>
      </c>
      <c r="G48" s="361">
        <f t="shared" si="0"/>
        <v>537548378</v>
      </c>
    </row>
    <row r="49" spans="1:11" ht="5.0999999999999996" customHeight="1">
      <c r="A49" s="25" t="s">
        <v>3</v>
      </c>
      <c r="B49" s="26"/>
      <c r="C49" s="26"/>
      <c r="D49" s="26"/>
      <c r="E49" s="26"/>
      <c r="F49" s="26"/>
      <c r="G49" s="26"/>
    </row>
    <row r="50" spans="1:11" ht="14.45" customHeight="1">
      <c r="A50" s="23" t="s">
        <v>266</v>
      </c>
      <c r="B50" s="24">
        <v>55370</v>
      </c>
      <c r="C50" s="24">
        <v>14484</v>
      </c>
      <c r="D50" s="24">
        <v>8027</v>
      </c>
      <c r="E50" s="24">
        <v>4625</v>
      </c>
      <c r="F50" s="24">
        <v>235980</v>
      </c>
      <c r="G50" s="24">
        <f>SUM('- 52 -'!$B50:G50,B50:F50)</f>
        <v>605784</v>
      </c>
    </row>
    <row r="51" spans="1:11" ht="14.1" customHeight="1">
      <c r="A51" s="511" t="s">
        <v>691</v>
      </c>
      <c r="B51" s="358">
        <v>0</v>
      </c>
      <c r="C51" s="358">
        <v>0</v>
      </c>
      <c r="D51" s="358">
        <v>0</v>
      </c>
      <c r="E51" s="358">
        <v>0</v>
      </c>
      <c r="F51" s="358">
        <v>0</v>
      </c>
      <c r="G51" s="358">
        <f>SUM('- 52 -'!$B51:G51,B51:F51)</f>
        <v>0</v>
      </c>
      <c r="H51" s="1">
        <v>0</v>
      </c>
    </row>
    <row r="52" spans="1:11" ht="50.1" customHeight="1">
      <c r="A52" s="27"/>
      <c r="B52" s="27"/>
      <c r="C52" s="27"/>
      <c r="D52" s="27"/>
      <c r="E52" s="27"/>
      <c r="F52" s="27"/>
      <c r="G52" s="527"/>
      <c r="H52"/>
      <c r="I52"/>
      <c r="J52"/>
      <c r="K52"/>
    </row>
    <row r="53" spans="1:11" ht="15" customHeight="1">
      <c r="A53" s="39" t="s">
        <v>534</v>
      </c>
      <c r="B53" s="39"/>
      <c r="D53" s="39"/>
      <c r="E53" s="39"/>
      <c r="F53" s="39"/>
      <c r="G53" s="604"/>
      <c r="H53" s="604"/>
      <c r="I53" s="604"/>
      <c r="J53" s="604"/>
      <c r="K53" s="604"/>
    </row>
    <row r="54" spans="1:11" ht="14.45" customHeight="1">
      <c r="A54" s="604"/>
      <c r="B54" s="604"/>
      <c r="C54" s="604"/>
      <c r="D54" s="604"/>
      <c r="E54" s="604"/>
      <c r="F54" s="604"/>
      <c r="G54" s="604"/>
      <c r="H54" s="604"/>
      <c r="I54" s="604"/>
      <c r="J54" s="604"/>
      <c r="K54" s="604"/>
    </row>
    <row r="55" spans="1:11" ht="14.45" customHeight="1">
      <c r="A55" s="39"/>
      <c r="B55" s="39"/>
      <c r="D55" s="39"/>
      <c r="E55" s="39"/>
      <c r="F55" s="39"/>
      <c r="G55" s="39"/>
    </row>
    <row r="56" spans="1:11" ht="14.45" customHeight="1">
      <c r="D56" s="115"/>
      <c r="E56" s="115"/>
      <c r="F56" s="115"/>
      <c r="G56" s="115"/>
    </row>
    <row r="57" spans="1:11" ht="14.45" customHeight="1"/>
    <row r="58" spans="1:11" ht="14.45" customHeight="1"/>
    <row r="59" spans="1:11" ht="14.45" customHeight="1"/>
  </sheetData>
  <phoneticPr fontId="0" type="noConversion"/>
  <printOptions horizontalCentered="1"/>
  <pageMargins left="0.51181102362204722" right="0.51181102362204722" top="0.59055118110236227" bottom="0" header="0.31496062992125984" footer="0"/>
  <pageSetup scale="88" orientation="portrait" r:id="rId1"/>
  <headerFooter alignWithMargins="0">
    <oddHeader>&amp;C&amp;"Arial,Bold"&amp;10&amp;A</oddHeader>
  </headerFooter>
</worksheet>
</file>

<file path=xl/worksheets/sheet47.xml><?xml version="1.0" encoding="utf-8"?>
<worksheet xmlns="http://schemas.openxmlformats.org/spreadsheetml/2006/main" xmlns:r="http://schemas.openxmlformats.org/officeDocument/2006/relationships">
  <sheetPr codeName="Sheet47">
    <pageSetUpPr fitToPage="1"/>
  </sheetPr>
  <dimension ref="A1:F58"/>
  <sheetViews>
    <sheetView showGridLines="0" showZeros="0" workbookViewId="0"/>
  </sheetViews>
  <sheetFormatPr defaultColWidth="19.83203125" defaultRowHeight="12"/>
  <cols>
    <col min="1" max="1" width="29.83203125" style="1" customWidth="1"/>
    <col min="2" max="2" width="21.83203125" style="1" customWidth="1"/>
    <col min="3" max="3" width="19.83203125" style="1" customWidth="1"/>
    <col min="4" max="4" width="18.83203125" style="1" customWidth="1"/>
    <col min="5" max="5" width="20.83203125" style="1" customWidth="1"/>
    <col min="6" max="6" width="21.83203125" style="1" customWidth="1"/>
    <col min="7" max="7" width="14.83203125" style="1" customWidth="1"/>
    <col min="8" max="16384" width="19.83203125" style="1"/>
  </cols>
  <sheetData>
    <row r="1" spans="1:6" ht="6.95" customHeight="1">
      <c r="A1" s="3"/>
      <c r="B1" s="3"/>
      <c r="C1" s="3"/>
      <c r="D1" s="3"/>
      <c r="E1" s="3"/>
      <c r="F1" s="3"/>
    </row>
    <row r="2" spans="1:6" ht="15.95" customHeight="1">
      <c r="A2" s="304"/>
      <c r="B2" s="73" t="str">
        <f>REVYEAR</f>
        <v>ANALYSIS OF OPERATING FUND REVENUE: 2014/2015 BUDGET</v>
      </c>
      <c r="C2" s="305"/>
      <c r="D2" s="309"/>
      <c r="E2" s="309"/>
      <c r="F2" s="248" t="s">
        <v>200</v>
      </c>
    </row>
    <row r="3" spans="1:6" ht="15.95" customHeight="1">
      <c r="A3" s="243"/>
      <c r="B3" s="243"/>
      <c r="C3" s="3"/>
      <c r="D3" s="3"/>
      <c r="E3" s="3"/>
      <c r="F3" s="3"/>
    </row>
    <row r="4" spans="1:6" ht="15.95" customHeight="1">
      <c r="B4" s="436" t="s">
        <v>77</v>
      </c>
      <c r="C4" s="366"/>
      <c r="D4" s="365"/>
      <c r="E4" s="365"/>
      <c r="F4" s="365"/>
    </row>
    <row r="5" spans="1:6" ht="15.95" customHeight="1">
      <c r="B5" s="459" t="s">
        <v>221</v>
      </c>
      <c r="C5" s="431"/>
      <c r="D5" s="468"/>
      <c r="E5" s="468"/>
      <c r="F5" s="468"/>
    </row>
    <row r="6" spans="1:6" ht="15.95" customHeight="1">
      <c r="B6" s="307" t="s">
        <v>100</v>
      </c>
      <c r="C6" s="128"/>
      <c r="D6" s="128"/>
      <c r="E6" s="127"/>
      <c r="F6" s="187"/>
    </row>
    <row r="7" spans="1:6" ht="15.95" customHeight="1">
      <c r="B7" s="250"/>
      <c r="C7" s="250"/>
      <c r="D7" s="250" t="s">
        <v>187</v>
      </c>
      <c r="E7" s="250" t="s">
        <v>420</v>
      </c>
      <c r="F7" s="250" t="s">
        <v>203</v>
      </c>
    </row>
    <row r="8" spans="1:6" ht="15.95" customHeight="1">
      <c r="A8" s="102"/>
      <c r="B8" s="308" t="s">
        <v>23</v>
      </c>
      <c r="C8" s="252" t="s">
        <v>112</v>
      </c>
      <c r="D8" s="252" t="s">
        <v>22</v>
      </c>
      <c r="E8" s="252" t="s">
        <v>421</v>
      </c>
      <c r="F8" s="252" t="s">
        <v>204</v>
      </c>
    </row>
    <row r="9" spans="1:6" ht="15.95" customHeight="1">
      <c r="A9" s="35" t="s">
        <v>81</v>
      </c>
      <c r="B9" s="310" t="s">
        <v>189</v>
      </c>
      <c r="C9" s="119" t="s">
        <v>407</v>
      </c>
      <c r="D9" s="119" t="s">
        <v>77</v>
      </c>
      <c r="E9" s="119" t="s">
        <v>85</v>
      </c>
      <c r="F9" s="119" t="s">
        <v>213</v>
      </c>
    </row>
    <row r="10" spans="1:6" ht="5.0999999999999996" customHeight="1">
      <c r="A10" s="37"/>
      <c r="B10" s="3"/>
      <c r="C10" s="3"/>
      <c r="D10" s="3"/>
      <c r="E10" s="3"/>
    </row>
    <row r="11" spans="1:6" ht="14.1" customHeight="1">
      <c r="A11" s="357" t="s">
        <v>230</v>
      </c>
      <c r="B11" s="358">
        <v>656193</v>
      </c>
      <c r="C11" s="358">
        <v>612588</v>
      </c>
      <c r="D11" s="358">
        <v>61271</v>
      </c>
      <c r="E11" s="358">
        <v>160500</v>
      </c>
      <c r="F11" s="358">
        <v>37500</v>
      </c>
    </row>
    <row r="12" spans="1:6" ht="14.1" customHeight="1">
      <c r="A12" s="23" t="s">
        <v>231</v>
      </c>
      <c r="B12" s="24">
        <v>1234667</v>
      </c>
      <c r="C12" s="24">
        <v>1140827</v>
      </c>
      <c r="D12" s="24">
        <v>188980</v>
      </c>
      <c r="E12" s="24">
        <v>94450</v>
      </c>
      <c r="F12" s="24">
        <v>45000</v>
      </c>
    </row>
    <row r="13" spans="1:6" ht="14.1" customHeight="1">
      <c r="A13" s="357" t="s">
        <v>232</v>
      </c>
      <c r="B13" s="358">
        <v>1001800</v>
      </c>
      <c r="C13" s="358">
        <v>3006400</v>
      </c>
      <c r="D13" s="358">
        <v>553800</v>
      </c>
      <c r="E13" s="358">
        <v>796100</v>
      </c>
      <c r="F13" s="358">
        <v>342500</v>
      </c>
    </row>
    <row r="14" spans="1:6" ht="14.1" customHeight="1">
      <c r="A14" s="23" t="s">
        <v>566</v>
      </c>
      <c r="B14" s="24">
        <v>3101502</v>
      </c>
      <c r="C14" s="24">
        <v>1631913</v>
      </c>
      <c r="D14" s="24">
        <v>23018</v>
      </c>
      <c r="E14" s="24">
        <v>237525</v>
      </c>
      <c r="F14" s="24">
        <v>294500</v>
      </c>
    </row>
    <row r="15" spans="1:6" ht="14.1" customHeight="1">
      <c r="A15" s="357" t="s">
        <v>233</v>
      </c>
      <c r="B15" s="358">
        <v>898484</v>
      </c>
      <c r="C15" s="358">
        <v>967019</v>
      </c>
      <c r="D15" s="358">
        <v>71555</v>
      </c>
      <c r="E15" s="358">
        <v>6800</v>
      </c>
      <c r="F15" s="358">
        <v>87500</v>
      </c>
    </row>
    <row r="16" spans="1:6" ht="14.1" customHeight="1">
      <c r="A16" s="23" t="s">
        <v>234</v>
      </c>
      <c r="B16" s="24">
        <v>101036</v>
      </c>
      <c r="C16" s="24">
        <v>441663</v>
      </c>
      <c r="D16" s="24">
        <v>34815</v>
      </c>
      <c r="E16" s="24">
        <v>750</v>
      </c>
      <c r="F16" s="24">
        <v>78500</v>
      </c>
    </row>
    <row r="17" spans="1:6" ht="14.1" customHeight="1">
      <c r="A17" s="357" t="s">
        <v>235</v>
      </c>
      <c r="B17" s="358">
        <v>902918</v>
      </c>
      <c r="C17" s="358">
        <v>690446</v>
      </c>
      <c r="D17" s="358">
        <v>75900</v>
      </c>
      <c r="E17" s="358">
        <v>15950</v>
      </c>
      <c r="F17" s="358">
        <v>15000</v>
      </c>
    </row>
    <row r="18" spans="1:6" ht="14.1" customHeight="1">
      <c r="A18" s="23" t="s">
        <v>236</v>
      </c>
      <c r="B18" s="24">
        <v>1378599</v>
      </c>
      <c r="C18" s="24">
        <v>1703550</v>
      </c>
      <c r="D18" s="24">
        <v>153203</v>
      </c>
      <c r="E18" s="24">
        <v>2250</v>
      </c>
      <c r="F18" s="24">
        <v>723200</v>
      </c>
    </row>
    <row r="19" spans="1:6" ht="14.1" customHeight="1">
      <c r="A19" s="357" t="s">
        <v>237</v>
      </c>
      <c r="B19" s="358">
        <v>1460920</v>
      </c>
      <c r="C19" s="358">
        <v>1769198</v>
      </c>
      <c r="D19" s="358">
        <v>308715</v>
      </c>
      <c r="E19" s="358">
        <v>596930</v>
      </c>
      <c r="F19" s="358">
        <v>15000</v>
      </c>
    </row>
    <row r="20" spans="1:6" ht="14.1" customHeight="1">
      <c r="A20" s="23" t="s">
        <v>238</v>
      </c>
      <c r="B20" s="24">
        <v>2614165</v>
      </c>
      <c r="C20" s="24">
        <v>3263730</v>
      </c>
      <c r="D20" s="24">
        <v>517220</v>
      </c>
      <c r="E20" s="24">
        <v>582200</v>
      </c>
      <c r="F20" s="24">
        <v>97500</v>
      </c>
    </row>
    <row r="21" spans="1:6" ht="14.1" customHeight="1">
      <c r="A21" s="357" t="s">
        <v>239</v>
      </c>
      <c r="B21" s="358">
        <v>1243068</v>
      </c>
      <c r="C21" s="358">
        <v>1286611</v>
      </c>
      <c r="D21" s="358">
        <v>111761</v>
      </c>
      <c r="E21" s="358">
        <v>43550</v>
      </c>
      <c r="F21" s="358">
        <v>90000</v>
      </c>
    </row>
    <row r="22" spans="1:6" ht="14.1" customHeight="1">
      <c r="A22" s="23" t="s">
        <v>240</v>
      </c>
      <c r="B22" s="24">
        <v>276932</v>
      </c>
      <c r="C22" s="24">
        <v>974265</v>
      </c>
      <c r="D22" s="24">
        <v>44715</v>
      </c>
      <c r="E22" s="24">
        <v>6500</v>
      </c>
      <c r="F22" s="24">
        <v>142500</v>
      </c>
    </row>
    <row r="23" spans="1:6" ht="14.1" customHeight="1">
      <c r="A23" s="357" t="s">
        <v>241</v>
      </c>
      <c r="B23" s="358">
        <v>1025360</v>
      </c>
      <c r="C23" s="358">
        <v>815213</v>
      </c>
      <c r="D23" s="358">
        <v>72470</v>
      </c>
      <c r="E23" s="358">
        <v>16650</v>
      </c>
      <c r="F23" s="358">
        <v>97500</v>
      </c>
    </row>
    <row r="24" spans="1:6" ht="14.1" customHeight="1">
      <c r="A24" s="23" t="s">
        <v>242</v>
      </c>
      <c r="B24" s="24">
        <v>1742549</v>
      </c>
      <c r="C24" s="24">
        <v>2464280</v>
      </c>
      <c r="D24" s="24">
        <v>424600</v>
      </c>
      <c r="E24" s="24">
        <v>22400</v>
      </c>
      <c r="F24" s="24">
        <v>292000</v>
      </c>
    </row>
    <row r="25" spans="1:6" ht="14.1" customHeight="1">
      <c r="A25" s="357" t="s">
        <v>243</v>
      </c>
      <c r="B25" s="358">
        <v>1199955</v>
      </c>
      <c r="C25" s="358">
        <v>7332123</v>
      </c>
      <c r="D25" s="358">
        <v>698363</v>
      </c>
      <c r="E25" s="358">
        <v>817720</v>
      </c>
      <c r="F25" s="358">
        <v>608900</v>
      </c>
    </row>
    <row r="26" spans="1:6" ht="14.1" customHeight="1">
      <c r="A26" s="23" t="s">
        <v>244</v>
      </c>
      <c r="B26" s="24">
        <v>1564817</v>
      </c>
      <c r="C26" s="24">
        <v>1475874</v>
      </c>
      <c r="D26" s="24">
        <v>241148</v>
      </c>
      <c r="E26" s="24">
        <v>14650</v>
      </c>
      <c r="F26" s="24">
        <v>215000</v>
      </c>
    </row>
    <row r="27" spans="1:6" ht="14.1" customHeight="1">
      <c r="A27" s="357" t="s">
        <v>245</v>
      </c>
      <c r="B27" s="358">
        <v>44464</v>
      </c>
      <c r="C27" s="358">
        <v>1479594</v>
      </c>
      <c r="D27" s="358">
        <v>237436</v>
      </c>
      <c r="E27" s="358">
        <v>98500</v>
      </c>
      <c r="F27" s="358">
        <v>267000</v>
      </c>
    </row>
    <row r="28" spans="1:6" ht="14.1" customHeight="1">
      <c r="A28" s="23" t="s">
        <v>246</v>
      </c>
      <c r="B28" s="24">
        <v>1286637</v>
      </c>
      <c r="C28" s="24">
        <v>617641</v>
      </c>
      <c r="D28" s="24">
        <v>65285</v>
      </c>
      <c r="E28" s="24">
        <v>34250</v>
      </c>
      <c r="F28" s="24">
        <v>71000</v>
      </c>
    </row>
    <row r="29" spans="1:6" ht="14.1" customHeight="1">
      <c r="A29" s="357" t="s">
        <v>247</v>
      </c>
      <c r="B29" s="358">
        <v>845574</v>
      </c>
      <c r="C29" s="358">
        <v>6661045</v>
      </c>
      <c r="D29" s="358">
        <v>323263</v>
      </c>
      <c r="E29" s="358">
        <v>1058250</v>
      </c>
      <c r="F29" s="358">
        <v>270000</v>
      </c>
    </row>
    <row r="30" spans="1:6" ht="14.1" customHeight="1">
      <c r="A30" s="23" t="s">
        <v>248</v>
      </c>
      <c r="B30" s="24">
        <v>701986</v>
      </c>
      <c r="C30" s="24">
        <v>559062</v>
      </c>
      <c r="D30" s="24">
        <v>45733</v>
      </c>
      <c r="E30" s="24">
        <v>49000</v>
      </c>
      <c r="F30" s="24">
        <v>42500</v>
      </c>
    </row>
    <row r="31" spans="1:6" ht="14.1" customHeight="1">
      <c r="A31" s="357" t="s">
        <v>249</v>
      </c>
      <c r="B31" s="358">
        <v>813897</v>
      </c>
      <c r="C31" s="358">
        <v>1624724</v>
      </c>
      <c r="D31" s="358">
        <v>168300</v>
      </c>
      <c r="E31" s="358">
        <v>112925</v>
      </c>
      <c r="F31" s="358">
        <v>228500</v>
      </c>
    </row>
    <row r="32" spans="1:6" ht="14.1" customHeight="1">
      <c r="A32" s="23" t="s">
        <v>250</v>
      </c>
      <c r="B32" s="24">
        <v>1298933</v>
      </c>
      <c r="C32" s="24">
        <v>801048</v>
      </c>
      <c r="D32" s="24">
        <v>108956</v>
      </c>
      <c r="E32" s="24">
        <v>92250</v>
      </c>
      <c r="F32" s="24">
        <v>82500</v>
      </c>
    </row>
    <row r="33" spans="1:6" ht="14.1" customHeight="1">
      <c r="A33" s="357" t="s">
        <v>251</v>
      </c>
      <c r="B33" s="358">
        <v>1418232</v>
      </c>
      <c r="C33" s="358">
        <v>816475</v>
      </c>
      <c r="D33" s="358">
        <v>80246</v>
      </c>
      <c r="E33" s="358">
        <v>131075</v>
      </c>
      <c r="F33" s="358">
        <v>37500</v>
      </c>
    </row>
    <row r="34" spans="1:6" ht="14.1" customHeight="1">
      <c r="A34" s="23" t="s">
        <v>252</v>
      </c>
      <c r="B34" s="24">
        <v>1386074</v>
      </c>
      <c r="C34" s="24">
        <v>1079977</v>
      </c>
      <c r="D34" s="24">
        <v>75763</v>
      </c>
      <c r="E34" s="24">
        <v>80225</v>
      </c>
      <c r="F34" s="24">
        <v>90000</v>
      </c>
    </row>
    <row r="35" spans="1:6" ht="14.1" customHeight="1">
      <c r="A35" s="357" t="s">
        <v>253</v>
      </c>
      <c r="B35" s="358">
        <v>1682756</v>
      </c>
      <c r="C35" s="358">
        <v>8238892</v>
      </c>
      <c r="D35" s="358">
        <v>992063</v>
      </c>
      <c r="E35" s="358">
        <v>659250</v>
      </c>
      <c r="F35" s="358">
        <v>682500</v>
      </c>
    </row>
    <row r="36" spans="1:6" ht="14.1" customHeight="1">
      <c r="A36" s="23" t="s">
        <v>254</v>
      </c>
      <c r="B36" s="24">
        <v>895193</v>
      </c>
      <c r="C36" s="24">
        <v>709187</v>
      </c>
      <c r="D36" s="24">
        <v>31570</v>
      </c>
      <c r="E36" s="24">
        <v>36250</v>
      </c>
      <c r="F36" s="24">
        <v>65000</v>
      </c>
    </row>
    <row r="37" spans="1:6" ht="14.1" customHeight="1">
      <c r="A37" s="357" t="s">
        <v>255</v>
      </c>
      <c r="B37" s="358">
        <v>1744570</v>
      </c>
      <c r="C37" s="358">
        <v>2332899</v>
      </c>
      <c r="D37" s="358">
        <v>133733</v>
      </c>
      <c r="E37" s="358">
        <v>165150</v>
      </c>
      <c r="F37" s="358">
        <v>232500</v>
      </c>
    </row>
    <row r="38" spans="1:6" ht="14.1" customHeight="1">
      <c r="A38" s="23" t="s">
        <v>256</v>
      </c>
      <c r="B38" s="24">
        <v>1123169</v>
      </c>
      <c r="C38" s="24">
        <v>6488887</v>
      </c>
      <c r="D38" s="24">
        <v>379446</v>
      </c>
      <c r="E38" s="24">
        <v>952350</v>
      </c>
      <c r="F38" s="24">
        <v>341500</v>
      </c>
    </row>
    <row r="39" spans="1:6" ht="14.1" customHeight="1">
      <c r="A39" s="357" t="s">
        <v>257</v>
      </c>
      <c r="B39" s="358">
        <v>1140450</v>
      </c>
      <c r="C39" s="358">
        <v>555091</v>
      </c>
      <c r="D39" s="358">
        <v>38060</v>
      </c>
      <c r="E39" s="358">
        <v>50550</v>
      </c>
      <c r="F39" s="358">
        <v>22500</v>
      </c>
    </row>
    <row r="40" spans="1:6" ht="14.1" customHeight="1">
      <c r="A40" s="23" t="s">
        <v>258</v>
      </c>
      <c r="B40" s="24">
        <v>617669</v>
      </c>
      <c r="C40" s="24">
        <v>4275840</v>
      </c>
      <c r="D40" s="24">
        <v>674878</v>
      </c>
      <c r="E40" s="24">
        <v>345225</v>
      </c>
      <c r="F40" s="24">
        <v>356200</v>
      </c>
    </row>
    <row r="41" spans="1:6" ht="14.1" customHeight="1">
      <c r="A41" s="357" t="s">
        <v>259</v>
      </c>
      <c r="B41" s="358">
        <v>2813887</v>
      </c>
      <c r="C41" s="358">
        <v>2648211</v>
      </c>
      <c r="D41" s="358">
        <v>168383</v>
      </c>
      <c r="E41" s="358">
        <v>79300</v>
      </c>
      <c r="F41" s="358">
        <v>199500</v>
      </c>
    </row>
    <row r="42" spans="1:6" ht="14.1" customHeight="1">
      <c r="A42" s="23" t="s">
        <v>260</v>
      </c>
      <c r="B42" s="24">
        <v>1049923</v>
      </c>
      <c r="C42" s="24">
        <v>914345</v>
      </c>
      <c r="D42" s="24">
        <v>209770</v>
      </c>
      <c r="E42" s="24">
        <v>3800</v>
      </c>
      <c r="F42" s="24">
        <v>140000</v>
      </c>
    </row>
    <row r="43" spans="1:6" ht="14.1" customHeight="1">
      <c r="A43" s="357" t="s">
        <v>261</v>
      </c>
      <c r="B43" s="358">
        <v>614624</v>
      </c>
      <c r="C43" s="358">
        <v>388726</v>
      </c>
      <c r="D43" s="358">
        <v>29535</v>
      </c>
      <c r="E43" s="358">
        <v>43650</v>
      </c>
      <c r="F43" s="358">
        <v>22500</v>
      </c>
    </row>
    <row r="44" spans="1:6" ht="14.1" customHeight="1">
      <c r="A44" s="23" t="s">
        <v>262</v>
      </c>
      <c r="B44" s="24">
        <v>812556</v>
      </c>
      <c r="C44" s="24">
        <v>576823</v>
      </c>
      <c r="D44" s="24">
        <v>25933</v>
      </c>
      <c r="E44" s="24">
        <v>12800</v>
      </c>
      <c r="F44" s="24">
        <v>90000</v>
      </c>
    </row>
    <row r="45" spans="1:6" ht="14.1" customHeight="1">
      <c r="A45" s="357" t="s">
        <v>263</v>
      </c>
      <c r="B45" s="358">
        <v>494940</v>
      </c>
      <c r="C45" s="358">
        <v>715521</v>
      </c>
      <c r="D45" s="358">
        <v>111540</v>
      </c>
      <c r="E45" s="358">
        <v>92925</v>
      </c>
      <c r="F45" s="358">
        <v>22500</v>
      </c>
    </row>
    <row r="46" spans="1:6" ht="14.1" customHeight="1">
      <c r="A46" s="23" t="s">
        <v>264</v>
      </c>
      <c r="B46" s="24">
        <v>1426065</v>
      </c>
      <c r="C46" s="24">
        <v>15983985</v>
      </c>
      <c r="D46" s="24">
        <v>1698180</v>
      </c>
      <c r="E46" s="24">
        <v>3104845</v>
      </c>
      <c r="F46" s="24">
        <v>2070000</v>
      </c>
    </row>
    <row r="47" spans="1:6" ht="5.0999999999999996" customHeight="1">
      <c r="A47"/>
      <c r="B47"/>
      <c r="C47"/>
      <c r="D47"/>
      <c r="E47"/>
      <c r="F47"/>
    </row>
    <row r="48" spans="1:6" ht="14.1" customHeight="1">
      <c r="A48" s="360" t="s">
        <v>265</v>
      </c>
      <c r="B48" s="361">
        <f>SUM(B11:B46)</f>
        <v>42614564</v>
      </c>
      <c r="C48" s="361">
        <f>SUM(C11:C46)</f>
        <v>87043673</v>
      </c>
      <c r="D48" s="361">
        <f>SUM(D11:D46)</f>
        <v>9179607</v>
      </c>
      <c r="E48" s="361">
        <f>SUM(E11:E46)</f>
        <v>10617495</v>
      </c>
      <c r="F48" s="361">
        <f>SUM(F11:F46)</f>
        <v>8515800</v>
      </c>
    </row>
    <row r="49" spans="1:6" ht="5.0999999999999996" customHeight="1">
      <c r="A49" s="25" t="s">
        <v>3</v>
      </c>
      <c r="B49" s="26"/>
      <c r="C49" s="26"/>
      <c r="D49" s="26"/>
      <c r="E49" s="26"/>
      <c r="F49" s="26"/>
    </row>
    <row r="50" spans="1:6" ht="14.45" customHeight="1">
      <c r="A50" s="23" t="s">
        <v>266</v>
      </c>
      <c r="B50" s="24">
        <v>1246</v>
      </c>
      <c r="C50" s="24">
        <v>131368</v>
      </c>
      <c r="D50" s="24">
        <v>8415</v>
      </c>
      <c r="E50" s="24">
        <v>0</v>
      </c>
      <c r="F50" s="24">
        <v>0</v>
      </c>
    </row>
    <row r="51" spans="1:6" ht="14.1" customHeight="1">
      <c r="A51" s="511" t="s">
        <v>691</v>
      </c>
      <c r="B51" s="358">
        <v>0</v>
      </c>
      <c r="C51" s="358">
        <v>0</v>
      </c>
      <c r="D51" s="358">
        <v>0</v>
      </c>
      <c r="E51" s="358">
        <v>0</v>
      </c>
      <c r="F51" s="358">
        <v>0</v>
      </c>
    </row>
    <row r="52" spans="1:6" ht="50.1" customHeight="1">
      <c r="A52" s="27"/>
      <c r="B52" s="27"/>
      <c r="C52" s="27"/>
      <c r="D52" s="27"/>
      <c r="E52" s="27"/>
      <c r="F52" s="27"/>
    </row>
    <row r="53" spans="1:6" ht="15" customHeight="1">
      <c r="A53" s="39" t="s">
        <v>570</v>
      </c>
      <c r="B53" s="277"/>
      <c r="C53" s="39"/>
      <c r="D53" s="39"/>
      <c r="E53" s="39"/>
      <c r="F53" s="39"/>
    </row>
    <row r="54" spans="1:6" ht="12" customHeight="1">
      <c r="A54" s="39" t="str">
        <f>"(2)  Includes support for coordinators, clinicians and Level 2 and 3 pupils. Note: total special needs support is"&amp;" $"&amp;TEXT(C48+'- 53 -'!B48,"000,000")&amp; " (Student Services,"</f>
        <v>(2)  Includes support for coordinators, clinicians and Level 2 and 3 pupils. Note: total special needs support is $149,325,882 (Student Services,</v>
      </c>
      <c r="B54" s="39"/>
      <c r="C54" s="39"/>
      <c r="D54" s="39"/>
      <c r="E54" s="39"/>
      <c r="F54" s="312"/>
    </row>
    <row r="55" spans="1:6" ht="12" customHeight="1">
      <c r="A55" s="1" t="s">
        <v>490</v>
      </c>
      <c r="C55" s="39"/>
      <c r="D55" s="39"/>
      <c r="E55" s="39"/>
      <c r="F55" s="39"/>
    </row>
    <row r="56" spans="1:6" ht="14.45" customHeight="1">
      <c r="A56" s="311"/>
      <c r="B56" s="39"/>
      <c r="C56" s="313"/>
      <c r="D56" s="39"/>
      <c r="E56" s="39"/>
      <c r="F56" s="39"/>
    </row>
    <row r="57" spans="1:6" ht="14.45" customHeight="1">
      <c r="A57" s="39"/>
    </row>
    <row r="58" spans="1:6" ht="14.45" customHeight="1"/>
  </sheetData>
  <phoneticPr fontId="0" type="noConversion"/>
  <printOptions horizontalCentered="1"/>
  <pageMargins left="0.51181102362204722" right="0.51181102362204722" top="0.59055118110236227" bottom="0" header="0.31496062992125984" footer="0"/>
  <pageSetup scale="88" orientation="portrait" r:id="rId1"/>
  <headerFooter alignWithMargins="0">
    <oddHeader>&amp;C&amp;"Arial,Bold"&amp;10&amp;A</oddHeader>
  </headerFooter>
</worksheet>
</file>

<file path=xl/worksheets/sheet48.xml><?xml version="1.0" encoding="utf-8"?>
<worksheet xmlns="http://schemas.openxmlformats.org/spreadsheetml/2006/main" xmlns:r="http://schemas.openxmlformats.org/officeDocument/2006/relationships">
  <sheetPr codeName="Sheet46">
    <pageSetUpPr fitToPage="1"/>
  </sheetPr>
  <dimension ref="A1:F59"/>
  <sheetViews>
    <sheetView showGridLines="0" showZeros="0" workbookViewId="0"/>
  </sheetViews>
  <sheetFormatPr defaultColWidth="19.83203125" defaultRowHeight="12"/>
  <cols>
    <col min="1" max="1" width="33.83203125" style="1" customWidth="1"/>
    <col min="2" max="2" width="18.83203125" style="1" customWidth="1"/>
    <col min="3" max="4" width="19.83203125" style="1" customWidth="1"/>
    <col min="5" max="5" width="20.83203125" style="1" customWidth="1"/>
    <col min="6" max="6" width="19.83203125" style="1" customWidth="1"/>
    <col min="7" max="16384" width="19.83203125" style="1"/>
  </cols>
  <sheetData>
    <row r="1" spans="1:6" ht="6.95" customHeight="1">
      <c r="A1" s="3"/>
      <c r="B1" s="3"/>
      <c r="C1" s="3"/>
      <c r="D1" s="3"/>
      <c r="E1" s="3"/>
      <c r="F1" s="3"/>
    </row>
    <row r="2" spans="1:6" ht="15.95" customHeight="1">
      <c r="A2" s="304"/>
      <c r="B2" s="73" t="str">
        <f>REVYEAR</f>
        <v>ANALYSIS OF OPERATING FUND REVENUE: 2014/2015 BUDGET</v>
      </c>
      <c r="C2" s="305"/>
      <c r="D2" s="305"/>
      <c r="E2" s="305"/>
      <c r="F2" s="248" t="s">
        <v>201</v>
      </c>
    </row>
    <row r="3" spans="1:6" ht="15.95" customHeight="1">
      <c r="A3" s="243"/>
      <c r="B3" s="3"/>
      <c r="C3" s="3"/>
      <c r="D3" s="3"/>
      <c r="E3" s="3"/>
      <c r="F3" s="3"/>
    </row>
    <row r="4" spans="1:6" ht="15.95" customHeight="1">
      <c r="B4" s="436" t="s">
        <v>77</v>
      </c>
      <c r="C4" s="352"/>
      <c r="D4" s="352"/>
      <c r="E4" s="366"/>
      <c r="F4" s="365"/>
    </row>
    <row r="5" spans="1:6" ht="15.95" customHeight="1">
      <c r="B5" s="459" t="s">
        <v>221</v>
      </c>
      <c r="C5" s="445"/>
      <c r="D5" s="445"/>
      <c r="E5" s="431"/>
      <c r="F5" s="468"/>
    </row>
    <row r="6" spans="1:6" ht="15.95" customHeight="1">
      <c r="B6" s="307" t="s">
        <v>100</v>
      </c>
      <c r="C6" s="127"/>
      <c r="D6" s="127"/>
      <c r="E6" s="187"/>
      <c r="F6" s="187"/>
    </row>
    <row r="7" spans="1:6" ht="15.95" customHeight="1">
      <c r="B7" s="250" t="s">
        <v>70</v>
      </c>
      <c r="C7" s="250" t="s">
        <v>196</v>
      </c>
      <c r="D7" s="250" t="s">
        <v>196</v>
      </c>
      <c r="E7" s="32"/>
      <c r="F7" s="250" t="s">
        <v>54</v>
      </c>
    </row>
    <row r="8" spans="1:6" ht="15.95" customHeight="1">
      <c r="A8" s="102"/>
      <c r="B8" s="308" t="s">
        <v>85</v>
      </c>
      <c r="C8" s="252" t="s">
        <v>422</v>
      </c>
      <c r="D8" s="252" t="s">
        <v>206</v>
      </c>
      <c r="E8" s="252" t="s">
        <v>44</v>
      </c>
      <c r="F8" s="252" t="s">
        <v>118</v>
      </c>
    </row>
    <row r="9" spans="1:6" ht="15.95" customHeight="1">
      <c r="A9" s="35" t="s">
        <v>81</v>
      </c>
      <c r="B9" s="234" t="s">
        <v>205</v>
      </c>
      <c r="C9" s="119" t="s">
        <v>140</v>
      </c>
      <c r="D9" s="119" t="s">
        <v>197</v>
      </c>
      <c r="E9" s="119" t="s">
        <v>406</v>
      </c>
      <c r="F9" s="119" t="s">
        <v>136</v>
      </c>
    </row>
    <row r="10" spans="1:6" ht="5.0999999999999996" customHeight="1">
      <c r="A10" s="37"/>
      <c r="B10" s="3"/>
      <c r="C10" s="3"/>
      <c r="D10" s="3"/>
      <c r="E10" s="3"/>
      <c r="F10" s="3"/>
    </row>
    <row r="11" spans="1:6" ht="14.1" customHeight="1">
      <c r="A11" s="357" t="s">
        <v>230</v>
      </c>
      <c r="B11" s="358">
        <v>4400</v>
      </c>
      <c r="C11" s="358">
        <v>18744</v>
      </c>
      <c r="D11" s="358">
        <v>56430</v>
      </c>
      <c r="E11" s="358">
        <v>228846</v>
      </c>
      <c r="F11" s="358">
        <f>SUM('- 54 -'!$B11:F11,B11:E11)</f>
        <v>1836472</v>
      </c>
    </row>
    <row r="12" spans="1:6" ht="14.1" customHeight="1">
      <c r="A12" s="23" t="s">
        <v>231</v>
      </c>
      <c r="B12" s="24">
        <v>28700</v>
      </c>
      <c r="C12" s="24">
        <v>26761</v>
      </c>
      <c r="D12" s="24">
        <v>71307</v>
      </c>
      <c r="E12" s="24">
        <v>406055</v>
      </c>
      <c r="F12" s="24">
        <f>SUM('- 54 -'!$B12:F12,B12:E12)</f>
        <v>3236747</v>
      </c>
    </row>
    <row r="13" spans="1:6" ht="14.1" customHeight="1">
      <c r="A13" s="357" t="s">
        <v>232</v>
      </c>
      <c r="B13" s="358">
        <v>194400</v>
      </c>
      <c r="C13" s="358">
        <v>139500</v>
      </c>
      <c r="D13" s="358">
        <v>383200</v>
      </c>
      <c r="E13" s="358">
        <v>366000</v>
      </c>
      <c r="F13" s="358">
        <f>SUM('- 54 -'!$B13:F13,B13:E13)</f>
        <v>6783700</v>
      </c>
    </row>
    <row r="14" spans="1:6" ht="14.1" customHeight="1">
      <c r="A14" s="23" t="s">
        <v>566</v>
      </c>
      <c r="B14" s="24">
        <v>1438500</v>
      </c>
      <c r="C14" s="24">
        <v>92223</v>
      </c>
      <c r="D14" s="24">
        <v>253422</v>
      </c>
      <c r="E14" s="24">
        <v>623434</v>
      </c>
      <c r="F14" s="24">
        <f>SUM('- 54 -'!$B14:F14,B14:E14)</f>
        <v>7696037</v>
      </c>
    </row>
    <row r="15" spans="1:6" ht="14.1" customHeight="1">
      <c r="A15" s="357" t="s">
        <v>233</v>
      </c>
      <c r="B15" s="358">
        <v>7150</v>
      </c>
      <c r="C15" s="358">
        <v>17510</v>
      </c>
      <c r="D15" s="358">
        <v>52839</v>
      </c>
      <c r="E15" s="358">
        <v>154515</v>
      </c>
      <c r="F15" s="358">
        <f>SUM('- 54 -'!$B15:F15,B15:E15)</f>
        <v>2263372</v>
      </c>
    </row>
    <row r="16" spans="1:6" ht="14.1" customHeight="1">
      <c r="A16" s="23" t="s">
        <v>234</v>
      </c>
      <c r="B16" s="24">
        <v>21950</v>
      </c>
      <c r="C16" s="24">
        <v>11730</v>
      </c>
      <c r="D16" s="24">
        <v>37397</v>
      </c>
      <c r="E16" s="24">
        <v>717636</v>
      </c>
      <c r="F16" s="24">
        <f>SUM('- 54 -'!$B16:F16,B16:E16)</f>
        <v>1445477</v>
      </c>
    </row>
    <row r="17" spans="1:6" ht="14.1" customHeight="1">
      <c r="A17" s="357" t="s">
        <v>235</v>
      </c>
      <c r="B17" s="358">
        <v>3200</v>
      </c>
      <c r="C17" s="358">
        <v>17888</v>
      </c>
      <c r="D17" s="358">
        <v>49248</v>
      </c>
      <c r="E17" s="358">
        <v>129101</v>
      </c>
      <c r="F17" s="358">
        <f>SUM('- 54 -'!$B17:F17,B17:E17)</f>
        <v>1899651</v>
      </c>
    </row>
    <row r="18" spans="1:6" ht="14.1" customHeight="1">
      <c r="A18" s="23" t="s">
        <v>236</v>
      </c>
      <c r="B18" s="24">
        <v>350</v>
      </c>
      <c r="C18" s="24">
        <v>47313</v>
      </c>
      <c r="D18" s="24">
        <v>192719</v>
      </c>
      <c r="E18" s="24">
        <v>2639089</v>
      </c>
      <c r="F18" s="24">
        <f>SUM('- 54 -'!$B18:F18,B18:E18)</f>
        <v>6840273</v>
      </c>
    </row>
    <row r="19" spans="1:6" ht="14.1" customHeight="1">
      <c r="A19" s="357" t="s">
        <v>237</v>
      </c>
      <c r="B19" s="358">
        <v>4300</v>
      </c>
      <c r="C19" s="358">
        <v>62170</v>
      </c>
      <c r="D19" s="358">
        <v>172881</v>
      </c>
      <c r="E19" s="358">
        <v>144574</v>
      </c>
      <c r="F19" s="358">
        <f>SUM('- 54 -'!$B19:F19,B19:E19)</f>
        <v>4534688</v>
      </c>
    </row>
    <row r="20" spans="1:6" ht="14.1" customHeight="1">
      <c r="A20" s="23" t="s">
        <v>238</v>
      </c>
      <c r="B20" s="24">
        <v>27000</v>
      </c>
      <c r="C20" s="24">
        <v>123061</v>
      </c>
      <c r="D20" s="24">
        <v>342684</v>
      </c>
      <c r="E20" s="24">
        <v>632796</v>
      </c>
      <c r="F20" s="24">
        <f>SUM('- 54 -'!$B20:F20,B20:E20)</f>
        <v>8200356</v>
      </c>
    </row>
    <row r="21" spans="1:6" ht="14.1" customHeight="1">
      <c r="A21" s="357" t="s">
        <v>239</v>
      </c>
      <c r="B21" s="358">
        <v>58400</v>
      </c>
      <c r="C21" s="358">
        <v>38772</v>
      </c>
      <c r="D21" s="358">
        <v>114912</v>
      </c>
      <c r="E21" s="358">
        <v>348466</v>
      </c>
      <c r="F21" s="358">
        <f>SUM('- 54 -'!$B21:F21,B21:E21)</f>
        <v>3335540</v>
      </c>
    </row>
    <row r="22" spans="1:6" ht="14.1" customHeight="1">
      <c r="A22" s="23" t="s">
        <v>240</v>
      </c>
      <c r="B22" s="24">
        <v>43750</v>
      </c>
      <c r="C22" s="24">
        <v>23460</v>
      </c>
      <c r="D22" s="24">
        <v>61560</v>
      </c>
      <c r="E22" s="24">
        <v>1102497</v>
      </c>
      <c r="F22" s="24">
        <f>SUM('- 54 -'!$B22:F22,B22:E22)</f>
        <v>2676179</v>
      </c>
    </row>
    <row r="23" spans="1:6" ht="14.1" customHeight="1">
      <c r="A23" s="357" t="s">
        <v>241</v>
      </c>
      <c r="B23" s="358">
        <v>5950</v>
      </c>
      <c r="C23" s="358">
        <v>15710</v>
      </c>
      <c r="D23" s="358">
        <v>38988</v>
      </c>
      <c r="E23" s="358">
        <v>180621</v>
      </c>
      <c r="F23" s="358">
        <f>SUM('- 54 -'!$B23:F23,B23:E23)</f>
        <v>2268462</v>
      </c>
    </row>
    <row r="24" spans="1:6" ht="14.1" customHeight="1">
      <c r="A24" s="23" t="s">
        <v>242</v>
      </c>
      <c r="B24" s="24">
        <v>113700</v>
      </c>
      <c r="C24" s="24">
        <v>50070</v>
      </c>
      <c r="D24" s="24">
        <v>192380</v>
      </c>
      <c r="E24" s="24">
        <v>420847</v>
      </c>
      <c r="F24" s="24">
        <f>SUM('- 54 -'!$B24:F24,B24:E24)</f>
        <v>5722826</v>
      </c>
    </row>
    <row r="25" spans="1:6" ht="14.1" customHeight="1">
      <c r="A25" s="357" t="s">
        <v>243</v>
      </c>
      <c r="B25" s="358">
        <v>1172750</v>
      </c>
      <c r="C25" s="358">
        <v>194194</v>
      </c>
      <c r="D25" s="358">
        <v>510435</v>
      </c>
      <c r="E25" s="358">
        <v>233178</v>
      </c>
      <c r="F25" s="358">
        <f>SUM('- 54 -'!$B25:F25,B25:E25)</f>
        <v>12767618</v>
      </c>
    </row>
    <row r="26" spans="1:6" ht="14.1" customHeight="1">
      <c r="A26" s="23" t="s">
        <v>244</v>
      </c>
      <c r="B26" s="24">
        <v>70700</v>
      </c>
      <c r="C26" s="24">
        <v>43547</v>
      </c>
      <c r="D26" s="24">
        <v>189633</v>
      </c>
      <c r="E26" s="24">
        <v>190130</v>
      </c>
      <c r="F26" s="24">
        <f>SUM('- 54 -'!$B26:F26,B26:E26)</f>
        <v>4005499</v>
      </c>
    </row>
    <row r="27" spans="1:6" ht="14.1" customHeight="1">
      <c r="A27" s="357" t="s">
        <v>245</v>
      </c>
      <c r="B27" s="358">
        <v>71600</v>
      </c>
      <c r="C27" s="358">
        <v>45416</v>
      </c>
      <c r="D27" s="358">
        <v>116795</v>
      </c>
      <c r="E27" s="358">
        <v>1922558</v>
      </c>
      <c r="F27" s="358">
        <f>SUM('- 54 -'!$B27:F27,B27:E27)</f>
        <v>4283363</v>
      </c>
    </row>
    <row r="28" spans="1:6" ht="14.1" customHeight="1">
      <c r="A28" s="23" t="s">
        <v>246</v>
      </c>
      <c r="B28" s="24">
        <v>7550</v>
      </c>
      <c r="C28" s="24">
        <v>17510</v>
      </c>
      <c r="D28" s="24">
        <v>52839</v>
      </c>
      <c r="E28" s="24">
        <v>188418</v>
      </c>
      <c r="F28" s="24">
        <f>SUM('- 54 -'!$B28:F28,B28:E28)</f>
        <v>2341130</v>
      </c>
    </row>
    <row r="29" spans="1:6" ht="14.1" customHeight="1">
      <c r="A29" s="357" t="s">
        <v>247</v>
      </c>
      <c r="B29" s="358">
        <v>633600</v>
      </c>
      <c r="C29" s="358">
        <v>153895</v>
      </c>
      <c r="D29" s="358">
        <v>435024</v>
      </c>
      <c r="E29" s="358">
        <v>203554</v>
      </c>
      <c r="F29" s="358">
        <f>SUM('- 54 -'!$B29:F29,B29:E29)</f>
        <v>10584205</v>
      </c>
    </row>
    <row r="30" spans="1:6" ht="14.1" customHeight="1">
      <c r="A30" s="23" t="s">
        <v>248</v>
      </c>
      <c r="B30" s="24">
        <v>3650</v>
      </c>
      <c r="C30" s="24">
        <v>13920</v>
      </c>
      <c r="D30" s="24">
        <v>41553</v>
      </c>
      <c r="E30" s="24">
        <v>170203</v>
      </c>
      <c r="F30" s="24">
        <f>SUM('- 54 -'!$B30:F30,B30:E30)</f>
        <v>1627607</v>
      </c>
    </row>
    <row r="31" spans="1:6" ht="14.1" customHeight="1">
      <c r="A31" s="357" t="s">
        <v>249</v>
      </c>
      <c r="B31" s="358">
        <v>74100</v>
      </c>
      <c r="C31" s="358">
        <v>56120</v>
      </c>
      <c r="D31" s="358">
        <v>132867</v>
      </c>
      <c r="E31" s="358">
        <v>171771</v>
      </c>
      <c r="F31" s="358">
        <f>SUM('- 54 -'!$B31:F31,B31:E31)</f>
        <v>3383204</v>
      </c>
    </row>
    <row r="32" spans="1:6" ht="14.1" customHeight="1">
      <c r="A32" s="23" t="s">
        <v>250</v>
      </c>
      <c r="B32" s="24">
        <v>41700</v>
      </c>
      <c r="C32" s="24">
        <v>34931</v>
      </c>
      <c r="D32" s="24">
        <v>104652</v>
      </c>
      <c r="E32" s="24">
        <v>345978</v>
      </c>
      <c r="F32" s="24">
        <f>SUM('- 54 -'!$B32:F32,B32:E32)</f>
        <v>2910948</v>
      </c>
    </row>
    <row r="33" spans="1:6" ht="14.1" customHeight="1">
      <c r="A33" s="357" t="s">
        <v>251</v>
      </c>
      <c r="B33" s="358">
        <v>27700</v>
      </c>
      <c r="C33" s="358">
        <v>28037</v>
      </c>
      <c r="D33" s="358">
        <v>83106</v>
      </c>
      <c r="E33" s="358">
        <v>394208</v>
      </c>
      <c r="F33" s="358">
        <f>SUM('- 54 -'!$B33:F33,B33:E33)</f>
        <v>3016579</v>
      </c>
    </row>
    <row r="34" spans="1:6" ht="14.1" customHeight="1">
      <c r="A34" s="23" t="s">
        <v>252</v>
      </c>
      <c r="B34" s="24">
        <v>78400</v>
      </c>
      <c r="C34" s="24">
        <v>27940</v>
      </c>
      <c r="D34" s="24">
        <v>77976</v>
      </c>
      <c r="E34" s="24">
        <v>318613</v>
      </c>
      <c r="F34" s="24">
        <f>SUM('- 54 -'!$B34:F34,B34:E34)</f>
        <v>3214968</v>
      </c>
    </row>
    <row r="35" spans="1:6" ht="14.1" customHeight="1">
      <c r="A35" s="357" t="s">
        <v>253</v>
      </c>
      <c r="B35" s="358">
        <v>708500</v>
      </c>
      <c r="C35" s="358">
        <v>190643</v>
      </c>
      <c r="D35" s="358">
        <v>655598</v>
      </c>
      <c r="E35" s="358">
        <v>710232</v>
      </c>
      <c r="F35" s="358">
        <f>SUM('- 54 -'!$B35:F35,B35:E35)</f>
        <v>14520434</v>
      </c>
    </row>
    <row r="36" spans="1:6" ht="14.1" customHeight="1">
      <c r="A36" s="23" t="s">
        <v>254</v>
      </c>
      <c r="B36" s="24">
        <v>4050</v>
      </c>
      <c r="C36" s="24">
        <v>24153</v>
      </c>
      <c r="D36" s="24">
        <v>66177</v>
      </c>
      <c r="E36" s="24">
        <v>268724</v>
      </c>
      <c r="F36" s="24">
        <f>SUM('- 54 -'!$B36:F36,B36:E36)</f>
        <v>2100304</v>
      </c>
    </row>
    <row r="37" spans="1:6" ht="14.1" customHeight="1">
      <c r="A37" s="357" t="s">
        <v>255</v>
      </c>
      <c r="B37" s="358">
        <v>316800</v>
      </c>
      <c r="C37" s="358">
        <v>67239</v>
      </c>
      <c r="D37" s="358">
        <v>185193</v>
      </c>
      <c r="E37" s="358">
        <v>220378</v>
      </c>
      <c r="F37" s="358">
        <f>SUM('- 54 -'!$B37:F37,B37:E37)</f>
        <v>5398462</v>
      </c>
    </row>
    <row r="38" spans="1:6" ht="14.1" customHeight="1">
      <c r="A38" s="23" t="s">
        <v>256</v>
      </c>
      <c r="B38" s="24">
        <v>403500</v>
      </c>
      <c r="C38" s="24">
        <v>140113</v>
      </c>
      <c r="D38" s="24">
        <v>384750</v>
      </c>
      <c r="E38" s="24">
        <v>369508</v>
      </c>
      <c r="F38" s="24">
        <f>SUM('- 54 -'!$B38:F38,B38:E38)</f>
        <v>10583223</v>
      </c>
    </row>
    <row r="39" spans="1:6" ht="14.1" customHeight="1">
      <c r="A39" s="357" t="s">
        <v>257</v>
      </c>
      <c r="B39" s="358">
        <v>3750</v>
      </c>
      <c r="C39" s="358">
        <v>19890</v>
      </c>
      <c r="D39" s="358">
        <v>60021</v>
      </c>
      <c r="E39" s="358">
        <v>278851</v>
      </c>
      <c r="F39" s="358">
        <f>SUM('- 54 -'!$B39:F39,B39:E39)</f>
        <v>2169163</v>
      </c>
    </row>
    <row r="40" spans="1:6" ht="14.1" customHeight="1">
      <c r="A40" s="23" t="s">
        <v>258</v>
      </c>
      <c r="B40" s="24">
        <v>337700</v>
      </c>
      <c r="C40" s="24">
        <v>114759</v>
      </c>
      <c r="D40" s="24">
        <v>441729</v>
      </c>
      <c r="E40" s="24">
        <v>244353</v>
      </c>
      <c r="F40" s="24">
        <f>SUM('- 54 -'!$B40:F40,B40:E40)</f>
        <v>7408353</v>
      </c>
    </row>
    <row r="41" spans="1:6" ht="14.1" customHeight="1">
      <c r="A41" s="357" t="s">
        <v>259</v>
      </c>
      <c r="B41" s="358">
        <v>164900</v>
      </c>
      <c r="C41" s="358">
        <v>54634</v>
      </c>
      <c r="D41" s="358">
        <v>161595</v>
      </c>
      <c r="E41" s="358">
        <v>345277</v>
      </c>
      <c r="F41" s="358">
        <f>SUM('- 54 -'!$B41:F41,B41:E41)</f>
        <v>6635687</v>
      </c>
    </row>
    <row r="42" spans="1:6" ht="14.1" customHeight="1">
      <c r="A42" s="23" t="s">
        <v>260</v>
      </c>
      <c r="B42" s="24">
        <v>24500</v>
      </c>
      <c r="C42" s="24">
        <v>22330</v>
      </c>
      <c r="D42" s="24">
        <v>63099</v>
      </c>
      <c r="E42" s="24">
        <v>79534</v>
      </c>
      <c r="F42" s="24">
        <f>SUM('- 54 -'!$B42:F42,B42:E42)</f>
        <v>2507301</v>
      </c>
    </row>
    <row r="43" spans="1:6" ht="14.1" customHeight="1">
      <c r="A43" s="357" t="s">
        <v>261</v>
      </c>
      <c r="B43" s="358">
        <v>2000</v>
      </c>
      <c r="C43" s="358">
        <v>13261</v>
      </c>
      <c r="D43" s="358">
        <v>39501</v>
      </c>
      <c r="E43" s="358">
        <v>90731</v>
      </c>
      <c r="F43" s="358">
        <f>SUM('- 54 -'!$B43:F43,B43:E43)</f>
        <v>1244528</v>
      </c>
    </row>
    <row r="44" spans="1:6" ht="14.1" customHeight="1">
      <c r="A44" s="23" t="s">
        <v>262</v>
      </c>
      <c r="B44" s="24">
        <v>12600</v>
      </c>
      <c r="C44" s="24">
        <v>9956</v>
      </c>
      <c r="D44" s="24">
        <v>27189</v>
      </c>
      <c r="E44" s="24">
        <v>143666</v>
      </c>
      <c r="F44" s="24">
        <f>SUM('- 54 -'!$B44:F44,B44:E44)</f>
        <v>1711523</v>
      </c>
    </row>
    <row r="45" spans="1:6" ht="14.1" customHeight="1">
      <c r="A45" s="357" t="s">
        <v>263</v>
      </c>
      <c r="B45" s="358">
        <v>50500</v>
      </c>
      <c r="C45" s="358">
        <v>26580</v>
      </c>
      <c r="D45" s="358">
        <v>72846</v>
      </c>
      <c r="E45" s="358">
        <v>44438</v>
      </c>
      <c r="F45" s="358">
        <f>SUM('- 54 -'!$B45:F45,B45:E45)</f>
        <v>1631790</v>
      </c>
    </row>
    <row r="46" spans="1:6" ht="14.1" customHeight="1">
      <c r="A46" s="23" t="s">
        <v>264</v>
      </c>
      <c r="B46" s="24">
        <v>891400</v>
      </c>
      <c r="C46" s="24">
        <v>485250</v>
      </c>
      <c r="D46" s="24">
        <v>1883350</v>
      </c>
      <c r="E46" s="24">
        <v>1309300</v>
      </c>
      <c r="F46" s="24">
        <f>SUM('- 54 -'!$B46:F46,B46:E46)</f>
        <v>28852375</v>
      </c>
    </row>
    <row r="47" spans="1:6" ht="5.0999999999999996" customHeight="1">
      <c r="A47"/>
      <c r="B47"/>
      <c r="C47"/>
      <c r="D47"/>
      <c r="E47"/>
      <c r="F47"/>
    </row>
    <row r="48" spans="1:6" ht="14.1" customHeight="1">
      <c r="A48" s="360" t="s">
        <v>265</v>
      </c>
      <c r="B48" s="361">
        <f>SUM(B11:B46)</f>
        <v>7053700</v>
      </c>
      <c r="C48" s="361">
        <f>SUM(C11:C46)</f>
        <v>2469230</v>
      </c>
      <c r="D48" s="361">
        <f>SUM(D11:D46)</f>
        <v>7805895</v>
      </c>
      <c r="E48" s="361">
        <f>SUM(E11:E46)</f>
        <v>16338080</v>
      </c>
      <c r="F48" s="361">
        <f>SUM(F11:F46)</f>
        <v>191638044</v>
      </c>
    </row>
    <row r="49" spans="1:6" ht="5.0999999999999996" customHeight="1">
      <c r="A49" s="25" t="s">
        <v>3</v>
      </c>
      <c r="B49" s="26"/>
      <c r="C49" s="26"/>
      <c r="D49" s="26"/>
      <c r="E49" s="26"/>
      <c r="F49" s="26"/>
    </row>
    <row r="50" spans="1:6" ht="14.45" customHeight="1">
      <c r="A50" s="23" t="s">
        <v>266</v>
      </c>
      <c r="B50" s="24">
        <v>700</v>
      </c>
      <c r="C50" s="24">
        <v>5843</v>
      </c>
      <c r="D50" s="24">
        <v>2565</v>
      </c>
      <c r="E50" s="24">
        <v>29726</v>
      </c>
      <c r="F50" s="24">
        <f>SUM('- 54 -'!$B50:F50,B50:E50)</f>
        <v>179863</v>
      </c>
    </row>
    <row r="51" spans="1:6" ht="14.1" customHeight="1">
      <c r="A51" s="511" t="s">
        <v>691</v>
      </c>
      <c r="B51" s="358">
        <v>0</v>
      </c>
      <c r="C51" s="358">
        <v>0</v>
      </c>
      <c r="D51" s="358">
        <v>0</v>
      </c>
      <c r="E51" s="358">
        <v>0</v>
      </c>
      <c r="F51" s="358">
        <f>SUM('- 54 -'!$B51:F51,B51:E51)</f>
        <v>0</v>
      </c>
    </row>
    <row r="52" spans="1:6" ht="50.1" customHeight="1">
      <c r="A52" s="27"/>
      <c r="B52" s="27"/>
      <c r="C52" s="27"/>
      <c r="D52" s="27"/>
      <c r="E52" s="27"/>
      <c r="F52" s="27"/>
    </row>
    <row r="53" spans="1:6" ht="15" customHeight="1">
      <c r="A53" s="39" t="s">
        <v>639</v>
      </c>
      <c r="E53" s="39"/>
      <c r="F53" s="39"/>
    </row>
    <row r="54" spans="1:6" ht="14.45" customHeight="1">
      <c r="A54" s="39"/>
      <c r="E54" s="39"/>
      <c r="F54" s="39"/>
    </row>
    <row r="55" spans="1:6" ht="14.45" customHeight="1">
      <c r="B55" s="39"/>
      <c r="C55" s="39"/>
      <c r="D55" s="39"/>
      <c r="E55" s="39"/>
      <c r="F55" s="39"/>
    </row>
    <row r="56" spans="1:6" ht="14.45" customHeight="1">
      <c r="E56" s="115"/>
      <c r="F56" s="115"/>
    </row>
    <row r="57" spans="1:6" ht="14.45" customHeight="1">
      <c r="B57" s="115"/>
      <c r="C57" s="115"/>
      <c r="D57" s="115"/>
      <c r="E57" s="115"/>
      <c r="F57" s="115"/>
    </row>
    <row r="58" spans="1:6" ht="14.45" customHeight="1"/>
    <row r="59" spans="1:6" ht="14.45" customHeight="1"/>
  </sheetData>
  <phoneticPr fontId="0" type="noConversion"/>
  <printOptions horizontalCentered="1"/>
  <pageMargins left="0.51181102362204722" right="0.51181102362204722" top="0.59055118110236227" bottom="0" header="0.31496062992125984" footer="0"/>
  <pageSetup scale="88" orientation="portrait" r:id="rId1"/>
  <headerFooter alignWithMargins="0">
    <oddHeader>&amp;C&amp;"Arial,Bold"&amp;10&amp;A</oddHeader>
  </headerFooter>
</worksheet>
</file>

<file path=xl/worksheets/sheet49.xml><?xml version="1.0" encoding="utf-8"?>
<worksheet xmlns="http://schemas.openxmlformats.org/spreadsheetml/2006/main" xmlns:r="http://schemas.openxmlformats.org/officeDocument/2006/relationships">
  <sheetPr codeName="Sheet48">
    <pageSetUpPr fitToPage="1"/>
  </sheetPr>
  <dimension ref="A1:F59"/>
  <sheetViews>
    <sheetView showGridLines="0" showZeros="0" workbookViewId="0"/>
  </sheetViews>
  <sheetFormatPr defaultColWidth="23.83203125" defaultRowHeight="12"/>
  <cols>
    <col min="1" max="1" width="32.5" style="1" customWidth="1"/>
    <col min="2" max="2" width="20.1640625" style="1" customWidth="1"/>
    <col min="3" max="3" width="19.5" style="1" customWidth="1"/>
    <col min="4" max="4" width="20" style="1" customWidth="1"/>
    <col min="5" max="5" width="19.33203125" style="1" customWidth="1"/>
    <col min="6" max="6" width="21.6640625" style="1" customWidth="1"/>
    <col min="7" max="16384" width="23.83203125" style="1"/>
  </cols>
  <sheetData>
    <row r="1" spans="1:6" ht="6.95" customHeight="1">
      <c r="A1" s="3"/>
      <c r="B1" s="3"/>
      <c r="C1" s="3"/>
      <c r="D1" s="3"/>
      <c r="E1" s="3"/>
      <c r="F1" s="3"/>
    </row>
    <row r="2" spans="1:6" ht="15.95" customHeight="1">
      <c r="A2" s="304"/>
      <c r="B2" s="73" t="str">
        <f>REVYEAR</f>
        <v>ANALYSIS OF OPERATING FUND REVENUE: 2014/2015 BUDGET</v>
      </c>
      <c r="C2" s="73"/>
      <c r="D2" s="305"/>
      <c r="E2" s="305"/>
      <c r="F2" s="248" t="s">
        <v>202</v>
      </c>
    </row>
    <row r="3" spans="1:6" ht="15.95" customHeight="1">
      <c r="A3" s="243"/>
      <c r="B3" s="306"/>
      <c r="C3" s="306"/>
      <c r="D3" s="306"/>
      <c r="E3" s="306"/>
      <c r="F3" s="306"/>
    </row>
    <row r="4" spans="1:6" ht="15.95" customHeight="1"/>
    <row r="5" spans="1:6" ht="15.95" customHeight="1">
      <c r="B5" s="436" t="s">
        <v>77</v>
      </c>
      <c r="C5" s="469"/>
      <c r="D5" s="469"/>
      <c r="E5" s="366"/>
      <c r="F5" s="365"/>
    </row>
    <row r="6" spans="1:6" ht="15.95" customHeight="1">
      <c r="B6" s="459" t="s">
        <v>221</v>
      </c>
      <c r="C6" s="470"/>
      <c r="D6" s="470"/>
      <c r="E6" s="431"/>
      <c r="F6" s="468"/>
    </row>
    <row r="7" spans="1:6" ht="15.95" customHeight="1">
      <c r="B7" s="250"/>
      <c r="C7" s="250" t="s">
        <v>421</v>
      </c>
      <c r="D7" s="250"/>
      <c r="E7" s="250" t="s">
        <v>44</v>
      </c>
      <c r="F7" s="249" t="s">
        <v>223</v>
      </c>
    </row>
    <row r="8" spans="1:6" ht="15.95" customHeight="1">
      <c r="A8" s="32"/>
      <c r="B8" s="252" t="s">
        <v>229</v>
      </c>
      <c r="C8" s="252" t="s">
        <v>229</v>
      </c>
      <c r="D8" s="252" t="s">
        <v>480</v>
      </c>
      <c r="E8" s="252" t="s">
        <v>119</v>
      </c>
      <c r="F8" s="251" t="s">
        <v>224</v>
      </c>
    </row>
    <row r="9" spans="1:6" ht="15.95" customHeight="1">
      <c r="A9" s="118" t="s">
        <v>81</v>
      </c>
      <c r="B9" s="119" t="s">
        <v>405</v>
      </c>
      <c r="C9" s="119" t="s">
        <v>408</v>
      </c>
      <c r="D9" s="119" t="s">
        <v>448</v>
      </c>
      <c r="E9" s="119" t="s">
        <v>632</v>
      </c>
      <c r="F9" s="114" t="s">
        <v>119</v>
      </c>
    </row>
    <row r="10" spans="1:6" ht="5.0999999999999996" customHeight="1">
      <c r="A10" s="37"/>
      <c r="B10" s="3"/>
      <c r="C10" s="3"/>
      <c r="D10" s="3"/>
      <c r="E10" s="3"/>
      <c r="F10" s="3"/>
    </row>
    <row r="11" spans="1:6" ht="14.1" customHeight="1">
      <c r="A11" s="357" t="s">
        <v>230</v>
      </c>
      <c r="B11" s="358">
        <v>1802304</v>
      </c>
      <c r="C11" s="358">
        <v>0</v>
      </c>
      <c r="D11" s="358">
        <v>0</v>
      </c>
      <c r="E11" s="358">
        <v>92180</v>
      </c>
      <c r="F11" s="358">
        <f>SUM('- 53 -'!$G11,'- 55 -'!$F11,B11:E11)</f>
        <v>8748042</v>
      </c>
    </row>
    <row r="12" spans="1:6" ht="14.1" customHeight="1">
      <c r="A12" s="23" t="s">
        <v>231</v>
      </c>
      <c r="B12" s="24">
        <v>5230855</v>
      </c>
      <c r="C12" s="24">
        <v>1575</v>
      </c>
      <c r="D12" s="24">
        <v>0</v>
      </c>
      <c r="E12" s="24">
        <v>143720</v>
      </c>
      <c r="F12" s="24">
        <f>SUM('- 53 -'!$G12,'- 55 -'!$F12,B12:E12)</f>
        <v>15659023</v>
      </c>
    </row>
    <row r="13" spans="1:6" ht="14.1" customHeight="1">
      <c r="A13" s="357" t="s">
        <v>232</v>
      </c>
      <c r="B13" s="358">
        <v>13469500</v>
      </c>
      <c r="C13" s="358">
        <v>0</v>
      </c>
      <c r="D13" s="358">
        <v>0</v>
      </c>
      <c r="E13" s="358">
        <v>296900</v>
      </c>
      <c r="F13" s="358">
        <f>SUM('- 53 -'!$G13,'- 55 -'!$F13,B13:E13)</f>
        <v>44504000</v>
      </c>
    </row>
    <row r="14" spans="1:6" ht="14.1" customHeight="1">
      <c r="A14" s="23" t="s">
        <v>566</v>
      </c>
      <c r="B14" s="24">
        <v>9242782</v>
      </c>
      <c r="C14" s="24">
        <v>0</v>
      </c>
      <c r="D14" s="24">
        <v>0</v>
      </c>
      <c r="E14" s="24">
        <v>234960</v>
      </c>
      <c r="F14" s="24">
        <f>SUM('- 53 -'!$G14,'- 55 -'!$F14,B14:E14)</f>
        <v>33385705</v>
      </c>
    </row>
    <row r="15" spans="1:6" ht="14.1" customHeight="1">
      <c r="A15" s="357" t="s">
        <v>233</v>
      </c>
      <c r="B15" s="358">
        <v>0</v>
      </c>
      <c r="C15" s="358">
        <v>0</v>
      </c>
      <c r="D15" s="358">
        <v>943111</v>
      </c>
      <c r="E15" s="358">
        <v>84260</v>
      </c>
      <c r="F15" s="358">
        <f>SUM('- 53 -'!$G15,'- 55 -'!$F15,B15:E15)</f>
        <v>8262919</v>
      </c>
    </row>
    <row r="16" spans="1:6" ht="14.1" customHeight="1">
      <c r="A16" s="23" t="s">
        <v>234</v>
      </c>
      <c r="B16" s="24">
        <v>3432112</v>
      </c>
      <c r="C16" s="24">
        <v>208582</v>
      </c>
      <c r="D16" s="24">
        <v>0</v>
      </c>
      <c r="E16" s="24">
        <v>56720</v>
      </c>
      <c r="F16" s="24">
        <f>SUM('- 53 -'!$G16,'- 55 -'!$F16,B16:E16)</f>
        <v>8200464</v>
      </c>
    </row>
    <row r="17" spans="1:6" ht="14.1" customHeight="1">
      <c r="A17" s="357" t="s">
        <v>235</v>
      </c>
      <c r="B17" s="358">
        <v>0</v>
      </c>
      <c r="C17" s="358">
        <v>0</v>
      </c>
      <c r="D17" s="358">
        <v>983943</v>
      </c>
      <c r="E17" s="358">
        <v>103160</v>
      </c>
      <c r="F17" s="358">
        <f>SUM('- 53 -'!$G17,'- 55 -'!$F17,B17:E17)</f>
        <v>7435566</v>
      </c>
    </row>
    <row r="18" spans="1:6" ht="14.1" customHeight="1">
      <c r="A18" s="23" t="s">
        <v>236</v>
      </c>
      <c r="B18" s="24">
        <v>12989854</v>
      </c>
      <c r="C18" s="24">
        <v>4758592</v>
      </c>
      <c r="D18" s="24">
        <v>0</v>
      </c>
      <c r="E18" s="24">
        <v>379100</v>
      </c>
      <c r="F18" s="24">
        <f>SUM('- 53 -'!$G18,'- 55 -'!$F18,B18:E18)</f>
        <v>36714485</v>
      </c>
    </row>
    <row r="19" spans="1:6" ht="14.1" customHeight="1">
      <c r="A19" s="357" t="s">
        <v>237</v>
      </c>
      <c r="B19" s="358">
        <v>9730776</v>
      </c>
      <c r="C19" s="358">
        <v>0</v>
      </c>
      <c r="D19" s="358">
        <v>0</v>
      </c>
      <c r="E19" s="358">
        <v>123580</v>
      </c>
      <c r="F19" s="358">
        <f>SUM('- 53 -'!$G19,'- 55 -'!$F19,B19:E19)</f>
        <v>27146089</v>
      </c>
    </row>
    <row r="20" spans="1:6" ht="14.1" customHeight="1">
      <c r="A20" s="23" t="s">
        <v>238</v>
      </c>
      <c r="B20" s="24">
        <v>15121577</v>
      </c>
      <c r="C20" s="24">
        <v>0</v>
      </c>
      <c r="D20" s="24">
        <v>0</v>
      </c>
      <c r="E20" s="24">
        <v>262680</v>
      </c>
      <c r="F20" s="24">
        <f>SUM('- 53 -'!$G20,'- 55 -'!$F20,B20:E20)</f>
        <v>45727251</v>
      </c>
    </row>
    <row r="21" spans="1:6" ht="14.1" customHeight="1">
      <c r="A21" s="357" t="s">
        <v>239</v>
      </c>
      <c r="B21" s="358">
        <v>4085554</v>
      </c>
      <c r="C21" s="358">
        <v>0</v>
      </c>
      <c r="D21" s="358">
        <v>446081</v>
      </c>
      <c r="E21" s="358">
        <v>159060</v>
      </c>
      <c r="F21" s="358">
        <f>SUM('- 53 -'!$G21,'- 55 -'!$F21,B21:E21)</f>
        <v>17173769</v>
      </c>
    </row>
    <row r="22" spans="1:6" ht="14.1" customHeight="1">
      <c r="A22" s="23" t="s">
        <v>240</v>
      </c>
      <c r="B22" s="24">
        <v>4503342</v>
      </c>
      <c r="C22" s="24">
        <v>970692</v>
      </c>
      <c r="D22" s="24">
        <v>0</v>
      </c>
      <c r="E22" s="24">
        <v>81450</v>
      </c>
      <c r="F22" s="24">
        <f>SUM('- 53 -'!$G22,'- 55 -'!$F22,B22:E22)</f>
        <v>13366091</v>
      </c>
    </row>
    <row r="23" spans="1:6" ht="14.1" customHeight="1">
      <c r="A23" s="357" t="s">
        <v>241</v>
      </c>
      <c r="B23" s="358">
        <v>2823942</v>
      </c>
      <c r="C23" s="358">
        <v>419953</v>
      </c>
      <c r="D23" s="358">
        <v>0</v>
      </c>
      <c r="E23" s="358">
        <v>100620</v>
      </c>
      <c r="F23" s="358">
        <f>SUM('- 53 -'!$G23,'- 55 -'!$F23,B23:E23)</f>
        <v>9602798</v>
      </c>
    </row>
    <row r="24" spans="1:6" ht="14.1" customHeight="1">
      <c r="A24" s="23" t="s">
        <v>242</v>
      </c>
      <c r="B24" s="24">
        <v>4695659</v>
      </c>
      <c r="C24" s="24">
        <v>0</v>
      </c>
      <c r="D24" s="24">
        <v>363377</v>
      </c>
      <c r="E24" s="24">
        <v>259320</v>
      </c>
      <c r="F24" s="24">
        <f>SUM('- 53 -'!$G24,'- 55 -'!$F24,B24:E24)</f>
        <v>24011852</v>
      </c>
    </row>
    <row r="25" spans="1:6" ht="14.1" customHeight="1">
      <c r="A25" s="357" t="s">
        <v>243</v>
      </c>
      <c r="B25" s="358">
        <v>12018066</v>
      </c>
      <c r="C25" s="358">
        <v>0</v>
      </c>
      <c r="D25" s="358">
        <v>4025197</v>
      </c>
      <c r="E25" s="358">
        <v>571620</v>
      </c>
      <c r="F25" s="358">
        <f>SUM('- 53 -'!$G25,'- 55 -'!$F25,B25:E25)</f>
        <v>71459829</v>
      </c>
    </row>
    <row r="26" spans="1:6" ht="14.1" customHeight="1">
      <c r="A26" s="23" t="s">
        <v>244</v>
      </c>
      <c r="B26" s="24">
        <v>6288530</v>
      </c>
      <c r="C26" s="24">
        <v>719357</v>
      </c>
      <c r="D26" s="24">
        <v>0</v>
      </c>
      <c r="E26" s="24">
        <v>295940</v>
      </c>
      <c r="F26" s="24">
        <f>SUM('- 53 -'!$G26,'- 55 -'!$F26,B26:E26)</f>
        <v>21996421</v>
      </c>
    </row>
    <row r="27" spans="1:6" ht="14.1" customHeight="1">
      <c r="A27" s="357" t="s">
        <v>245</v>
      </c>
      <c r="B27" s="358">
        <v>9714882</v>
      </c>
      <c r="C27" s="358">
        <v>3841201</v>
      </c>
      <c r="D27" s="358">
        <v>70433</v>
      </c>
      <c r="E27" s="358">
        <v>121300</v>
      </c>
      <c r="F27" s="358">
        <f>SUM('- 53 -'!$G27,'- 55 -'!$F27,B27:E27)</f>
        <v>26615493</v>
      </c>
    </row>
    <row r="28" spans="1:6" ht="14.1" customHeight="1">
      <c r="A28" s="23" t="s">
        <v>246</v>
      </c>
      <c r="B28" s="24">
        <v>1770618</v>
      </c>
      <c r="C28" s="24">
        <v>0</v>
      </c>
      <c r="D28" s="24">
        <v>668490</v>
      </c>
      <c r="E28" s="24">
        <v>139140</v>
      </c>
      <c r="F28" s="24">
        <f>SUM('- 53 -'!$G28,'- 55 -'!$F28,B28:E28)</f>
        <v>10728551</v>
      </c>
    </row>
    <row r="29" spans="1:6" ht="14.1" customHeight="1">
      <c r="A29" s="357" t="s">
        <v>247</v>
      </c>
      <c r="B29" s="358">
        <v>107345</v>
      </c>
      <c r="C29" s="358">
        <v>0</v>
      </c>
      <c r="D29" s="358">
        <v>6435620</v>
      </c>
      <c r="E29" s="358">
        <v>422480</v>
      </c>
      <c r="F29" s="358">
        <f>SUM('- 53 -'!$G29,'- 55 -'!$F29,B29:E29)</f>
        <v>54037109</v>
      </c>
    </row>
    <row r="30" spans="1:6" ht="14.1" customHeight="1">
      <c r="A30" s="23" t="s">
        <v>248</v>
      </c>
      <c r="B30" s="24">
        <v>1833231</v>
      </c>
      <c r="C30" s="24">
        <v>0</v>
      </c>
      <c r="D30" s="24">
        <v>61265</v>
      </c>
      <c r="E30" s="24">
        <v>92740</v>
      </c>
      <c r="F30" s="24">
        <f>SUM('- 53 -'!$G30,'- 55 -'!$F30,B30:E30)</f>
        <v>7554228</v>
      </c>
    </row>
    <row r="31" spans="1:6" ht="14.1" customHeight="1">
      <c r="A31" s="357" t="s">
        <v>249</v>
      </c>
      <c r="B31" s="358">
        <v>4717354</v>
      </c>
      <c r="C31" s="358">
        <v>0</v>
      </c>
      <c r="D31" s="358">
        <v>0</v>
      </c>
      <c r="E31" s="358">
        <v>172780</v>
      </c>
      <c r="F31" s="358">
        <f>SUM('- 53 -'!$G31,'- 55 -'!$F31,B31:E31)</f>
        <v>18297737</v>
      </c>
    </row>
    <row r="32" spans="1:6" ht="14.1" customHeight="1">
      <c r="A32" s="23" t="s">
        <v>250</v>
      </c>
      <c r="B32" s="24">
        <v>2100873</v>
      </c>
      <c r="C32" s="24">
        <v>0</v>
      </c>
      <c r="D32" s="24">
        <v>34220</v>
      </c>
      <c r="E32" s="24">
        <v>156220</v>
      </c>
      <c r="F32" s="24">
        <f>SUM('- 53 -'!$G32,'- 55 -'!$F32,B32:E32)</f>
        <v>12426195</v>
      </c>
    </row>
    <row r="33" spans="1:6" ht="14.1" customHeight="1">
      <c r="A33" s="357" t="s">
        <v>251</v>
      </c>
      <c r="B33" s="358">
        <v>2421795</v>
      </c>
      <c r="C33" s="358">
        <v>0</v>
      </c>
      <c r="D33" s="358">
        <v>780806</v>
      </c>
      <c r="E33" s="358">
        <v>193160</v>
      </c>
      <c r="F33" s="358">
        <f>SUM('- 53 -'!$G33,'- 55 -'!$F33,B33:E33)</f>
        <v>14145601</v>
      </c>
    </row>
    <row r="34" spans="1:6" ht="14.1" customHeight="1">
      <c r="A34" s="23" t="s">
        <v>252</v>
      </c>
      <c r="B34" s="24">
        <v>2027379</v>
      </c>
      <c r="C34" s="24">
        <v>0</v>
      </c>
      <c r="D34" s="24">
        <v>30514</v>
      </c>
      <c r="E34" s="24">
        <v>126920</v>
      </c>
      <c r="F34" s="24">
        <f>SUM('- 53 -'!$G34,'- 55 -'!$F34,B34:E34)</f>
        <v>12407625</v>
      </c>
    </row>
    <row r="35" spans="1:6" ht="14.1" customHeight="1">
      <c r="A35" s="357" t="s">
        <v>253</v>
      </c>
      <c r="B35" s="358">
        <v>20137365</v>
      </c>
      <c r="C35" s="358">
        <v>3036165</v>
      </c>
      <c r="D35" s="358">
        <v>3709147</v>
      </c>
      <c r="E35" s="358">
        <v>705780</v>
      </c>
      <c r="F35" s="358">
        <f>SUM('- 53 -'!$G35,'- 55 -'!$F35,B35:E35)</f>
        <v>89459820</v>
      </c>
    </row>
    <row r="36" spans="1:6" ht="14.1" customHeight="1">
      <c r="A36" s="23" t="s">
        <v>254</v>
      </c>
      <c r="B36" s="24">
        <v>1176319</v>
      </c>
      <c r="C36" s="24">
        <v>0</v>
      </c>
      <c r="D36" s="24">
        <v>1090566</v>
      </c>
      <c r="E36" s="24">
        <v>132240</v>
      </c>
      <c r="F36" s="24">
        <f>SUM('- 53 -'!$G36,'- 55 -'!$F36,B36:E36)</f>
        <v>10178909</v>
      </c>
    </row>
    <row r="37" spans="1:6" ht="14.1" customHeight="1">
      <c r="A37" s="357" t="s">
        <v>255</v>
      </c>
      <c r="B37" s="358">
        <v>7805589</v>
      </c>
      <c r="C37" s="358">
        <v>0</v>
      </c>
      <c r="D37" s="358">
        <v>0</v>
      </c>
      <c r="E37" s="358">
        <v>148900</v>
      </c>
      <c r="F37" s="358">
        <f>SUM('- 53 -'!$G37,'- 55 -'!$F37,B37:E37)</f>
        <v>25705697</v>
      </c>
    </row>
    <row r="38" spans="1:6" ht="14.1" customHeight="1">
      <c r="A38" s="23" t="s">
        <v>256</v>
      </c>
      <c r="B38" s="24">
        <v>21252217</v>
      </c>
      <c r="C38" s="24">
        <v>4111702</v>
      </c>
      <c r="D38" s="24">
        <v>0</v>
      </c>
      <c r="E38" s="24">
        <v>324880</v>
      </c>
      <c r="F38" s="24">
        <f>SUM('- 53 -'!$G38,'- 55 -'!$F38,B38:E38)</f>
        <v>66983240</v>
      </c>
    </row>
    <row r="39" spans="1:6" ht="14.1" customHeight="1">
      <c r="A39" s="357" t="s">
        <v>257</v>
      </c>
      <c r="B39" s="358">
        <v>0</v>
      </c>
      <c r="C39" s="358">
        <v>0</v>
      </c>
      <c r="D39" s="358">
        <v>1282187</v>
      </c>
      <c r="E39" s="358">
        <v>111760</v>
      </c>
      <c r="F39" s="358">
        <f>SUM('- 53 -'!$G39,'- 55 -'!$F39,B39:E39)</f>
        <v>9162415</v>
      </c>
    </row>
    <row r="40" spans="1:6" ht="14.1" customHeight="1">
      <c r="A40" s="23" t="s">
        <v>258</v>
      </c>
      <c r="B40" s="24">
        <v>1055747</v>
      </c>
      <c r="C40" s="24">
        <v>0</v>
      </c>
      <c r="D40" s="24">
        <v>5041405</v>
      </c>
      <c r="E40" s="24">
        <v>491460</v>
      </c>
      <c r="F40" s="24">
        <f>SUM('- 53 -'!$G40,'- 55 -'!$F40,B40:E40)</f>
        <v>38848015</v>
      </c>
    </row>
    <row r="41" spans="1:6" ht="14.1" customHeight="1">
      <c r="A41" s="357" t="s">
        <v>259</v>
      </c>
      <c r="B41" s="358">
        <v>3963936</v>
      </c>
      <c r="C41" s="358">
        <v>0</v>
      </c>
      <c r="D41" s="358">
        <v>720519</v>
      </c>
      <c r="E41" s="358">
        <v>225180</v>
      </c>
      <c r="F41" s="358">
        <f>SUM('- 53 -'!$G41,'- 55 -'!$F41,B41:E41)</f>
        <v>25668340</v>
      </c>
    </row>
    <row r="42" spans="1:6" ht="14.1" customHeight="1">
      <c r="A42" s="23" t="s">
        <v>260</v>
      </c>
      <c r="B42" s="24">
        <v>3455751</v>
      </c>
      <c r="C42" s="24">
        <v>557431</v>
      </c>
      <c r="D42" s="24">
        <v>0</v>
      </c>
      <c r="E42" s="24">
        <v>145380</v>
      </c>
      <c r="F42" s="24">
        <f>SUM('- 53 -'!$G42,'- 55 -'!$F42,B42:E42)</f>
        <v>11721785</v>
      </c>
    </row>
    <row r="43" spans="1:6" ht="14.1" customHeight="1">
      <c r="A43" s="357" t="s">
        <v>261</v>
      </c>
      <c r="B43" s="358">
        <v>1007929</v>
      </c>
      <c r="C43" s="358">
        <v>0</v>
      </c>
      <c r="D43" s="358">
        <v>287452</v>
      </c>
      <c r="E43" s="358">
        <v>61320</v>
      </c>
      <c r="F43" s="358">
        <f>SUM('- 53 -'!$G43,'- 55 -'!$F43,B43:E43)</f>
        <v>6036108</v>
      </c>
    </row>
    <row r="44" spans="1:6" ht="14.1" customHeight="1">
      <c r="A44" s="23" t="s">
        <v>262</v>
      </c>
      <c r="B44" s="24">
        <v>2121633</v>
      </c>
      <c r="C44" s="24">
        <v>434059</v>
      </c>
      <c r="D44" s="24">
        <v>0</v>
      </c>
      <c r="E44" s="24">
        <v>70960</v>
      </c>
      <c r="F44" s="24">
        <f>SUM('- 53 -'!$G44,'- 55 -'!$F44,B44:E44)</f>
        <v>7234543</v>
      </c>
    </row>
    <row r="45" spans="1:6" ht="14.1" customHeight="1">
      <c r="A45" s="357" t="s">
        <v>263</v>
      </c>
      <c r="B45" s="358">
        <v>3044712</v>
      </c>
      <c r="C45" s="358">
        <v>0</v>
      </c>
      <c r="D45" s="358">
        <v>0</v>
      </c>
      <c r="E45" s="358">
        <v>46800</v>
      </c>
      <c r="F45" s="358">
        <f>SUM('- 53 -'!$G45,'- 55 -'!$F45,B45:E45)</f>
        <v>9536000</v>
      </c>
    </row>
    <row r="46" spans="1:6" ht="14.1" customHeight="1">
      <c r="A46" s="23" t="s">
        <v>264</v>
      </c>
      <c r="B46" s="24">
        <v>45661508</v>
      </c>
      <c r="C46" s="24">
        <v>4863665</v>
      </c>
      <c r="D46" s="24">
        <v>0</v>
      </c>
      <c r="E46" s="24">
        <v>1369980</v>
      </c>
      <c r="F46" s="24">
        <f>SUM('- 53 -'!$G46,'- 55 -'!$F46,B46:E46)</f>
        <v>179257700</v>
      </c>
    </row>
    <row r="47" spans="1:6" ht="5.0999999999999996" customHeight="1">
      <c r="A47"/>
      <c r="B47"/>
      <c r="C47"/>
      <c r="D47"/>
      <c r="E47"/>
      <c r="F47"/>
    </row>
    <row r="48" spans="1:6" ht="14.1" customHeight="1">
      <c r="A48" s="360" t="s">
        <v>265</v>
      </c>
      <c r="B48" s="361">
        <f>SUM(B11:B46)</f>
        <v>240811036</v>
      </c>
      <c r="C48" s="361">
        <f>SUM(C11:C46)</f>
        <v>23922974</v>
      </c>
      <c r="D48" s="361">
        <f>SUM(D11:D46)</f>
        <v>26974333</v>
      </c>
      <c r="E48" s="361">
        <f>SUM(E11:E46)</f>
        <v>8504650</v>
      </c>
      <c r="F48" s="361">
        <f>SUM(F11:F46)</f>
        <v>1029399415</v>
      </c>
    </row>
    <row r="49" spans="1:6" ht="5.0999999999999996" customHeight="1">
      <c r="A49" s="25" t="s">
        <v>3</v>
      </c>
      <c r="B49" s="26"/>
      <c r="C49" s="26"/>
      <c r="D49" s="26"/>
      <c r="E49" s="26"/>
      <c r="F49" s="26"/>
    </row>
    <row r="50" spans="1:6" ht="14.45" customHeight="1">
      <c r="A50" s="23" t="s">
        <v>266</v>
      </c>
      <c r="B50" s="24">
        <v>0</v>
      </c>
      <c r="C50" s="24">
        <v>0</v>
      </c>
      <c r="D50" s="24">
        <v>145494</v>
      </c>
      <c r="E50" s="24">
        <v>0</v>
      </c>
      <c r="F50" s="24">
        <f>SUM('- 53 -'!$G50,'- 55 -'!$F50,B50:E50)</f>
        <v>931141</v>
      </c>
    </row>
    <row r="51" spans="1:6" ht="14.1" customHeight="1">
      <c r="A51" s="511" t="s">
        <v>691</v>
      </c>
      <c r="B51" s="358">
        <v>0</v>
      </c>
      <c r="C51" s="358">
        <v>0</v>
      </c>
      <c r="D51" s="358">
        <v>0</v>
      </c>
      <c r="E51" s="358">
        <v>97096</v>
      </c>
      <c r="F51" s="358">
        <f>SUM('- 53 -'!$G51,'- 55 -'!$F51,B51:E51)</f>
        <v>97096</v>
      </c>
    </row>
    <row r="52" spans="1:6" ht="50.1" customHeight="1">
      <c r="A52" s="27"/>
      <c r="B52" s="27"/>
      <c r="C52" s="27"/>
      <c r="D52" s="27"/>
      <c r="E52" s="27"/>
      <c r="F52" s="27"/>
    </row>
    <row r="53" spans="1:6" ht="15" customHeight="1">
      <c r="A53" s="29" t="s">
        <v>571</v>
      </c>
      <c r="B53" s="39"/>
      <c r="C53" s="39"/>
      <c r="D53" s="39"/>
      <c r="E53" s="39"/>
      <c r="F53" s="39"/>
    </row>
    <row r="54" spans="1:6" ht="12" customHeight="1">
      <c r="A54" s="154" t="s">
        <v>634</v>
      </c>
      <c r="B54" s="39"/>
      <c r="C54" s="39"/>
      <c r="D54" s="39"/>
      <c r="E54" s="39"/>
      <c r="F54" s="39"/>
    </row>
    <row r="55" spans="1:6" ht="12" customHeight="1">
      <c r="A55" s="29" t="s">
        <v>572</v>
      </c>
      <c r="B55" s="39"/>
      <c r="C55" s="39"/>
      <c r="D55" s="39"/>
      <c r="E55" s="39"/>
      <c r="F55" s="39"/>
    </row>
    <row r="56" spans="1:6" ht="12" customHeight="1">
      <c r="A56" s="505" t="s">
        <v>663</v>
      </c>
      <c r="B56" s="39"/>
      <c r="C56" s="39"/>
      <c r="D56" s="39"/>
      <c r="E56" s="39"/>
      <c r="F56" s="39"/>
    </row>
    <row r="57" spans="1:6" ht="12" customHeight="1">
      <c r="A57" s="505" t="s">
        <v>664</v>
      </c>
    </row>
    <row r="58" spans="1:6" ht="12" customHeight="1">
      <c r="A58" s="2" t="s">
        <v>633</v>
      </c>
    </row>
    <row r="59" spans="1:6" ht="14.45" customHeight="1"/>
  </sheetData>
  <phoneticPr fontId="0" type="noConversion"/>
  <printOptions horizontalCentered="1"/>
  <pageMargins left="0.51181102362204722" right="0.51181102362204722" top="0.59055118110236227" bottom="0" header="0.31496062992125984" footer="0"/>
  <pageSetup scale="88" orientation="portrait" r:id="rId1"/>
  <headerFooter alignWithMargins="0">
    <oddHeader>&amp;C&amp;"Arial,Bold"&amp;10&amp;A</oddHeader>
  </headerFooter>
</worksheet>
</file>

<file path=xl/worksheets/sheet5.xml><?xml version="1.0" encoding="utf-8"?>
<worksheet xmlns="http://schemas.openxmlformats.org/spreadsheetml/2006/main" xmlns:r="http://schemas.openxmlformats.org/officeDocument/2006/relationships">
  <sheetPr codeName="Sheet4">
    <pageSetUpPr fitToPage="1"/>
  </sheetPr>
  <dimension ref="A1:G59"/>
  <sheetViews>
    <sheetView showGridLines="0" showZeros="0" workbookViewId="0"/>
  </sheetViews>
  <sheetFormatPr defaultColWidth="15.83203125" defaultRowHeight="12"/>
  <cols>
    <col min="1" max="1" width="32.83203125" style="1" customWidth="1"/>
    <col min="2" max="3" width="19.83203125" style="1" customWidth="1"/>
    <col min="4" max="4" width="21.83203125" style="1" hidden="1" customWidth="1"/>
    <col min="5" max="5" width="1.83203125" style="1" customWidth="1"/>
    <col min="6" max="7" width="18.83203125" style="1" customWidth="1"/>
    <col min="8" max="16384" width="15.83203125" style="1"/>
  </cols>
  <sheetData>
    <row r="1" spans="1:7" ht="6.95" customHeight="1">
      <c r="A1" s="3"/>
      <c r="B1" s="3"/>
      <c r="C1" s="3"/>
      <c r="D1" s="3"/>
      <c r="E1" s="4"/>
      <c r="F1" s="4"/>
    </row>
    <row r="2" spans="1:7" ht="15.95" customHeight="1">
      <c r="A2" s="41"/>
      <c r="B2" s="5" t="s">
        <v>6</v>
      </c>
      <c r="C2" s="6"/>
      <c r="D2" s="6"/>
      <c r="E2" s="6"/>
      <c r="F2" s="106"/>
      <c r="G2" s="117" t="s">
        <v>8</v>
      </c>
    </row>
    <row r="3" spans="1:7" ht="15.95" customHeight="1">
      <c r="A3" s="45"/>
      <c r="B3" s="7" t="str">
        <f>STATDATE</f>
        <v>ESTIMATE SEPTEMBER 30, 2014</v>
      </c>
      <c r="C3" s="8"/>
      <c r="D3" s="8"/>
      <c r="E3" s="8"/>
      <c r="F3" s="108"/>
      <c r="G3" s="108"/>
    </row>
    <row r="4" spans="1:7" ht="15.95" customHeight="1">
      <c r="E4" s="4"/>
      <c r="F4" s="4"/>
    </row>
    <row r="5" spans="1:7" ht="15.95" customHeight="1"/>
    <row r="6" spans="1:7" ht="15.95" customHeight="1">
      <c r="B6" s="651" t="s">
        <v>607</v>
      </c>
      <c r="C6" s="652"/>
      <c r="D6" s="502" t="s">
        <v>450</v>
      </c>
      <c r="F6" s="649" t="s">
        <v>54</v>
      </c>
    </row>
    <row r="7" spans="1:7" ht="15.95" customHeight="1">
      <c r="B7" s="653"/>
      <c r="C7" s="654"/>
      <c r="D7" s="509" t="s">
        <v>139</v>
      </c>
      <c r="F7" s="650"/>
    </row>
    <row r="8" spans="1:7" ht="15.95" customHeight="1">
      <c r="A8" s="32"/>
      <c r="B8" s="14" t="s">
        <v>187</v>
      </c>
      <c r="C8" s="233"/>
      <c r="D8" s="11" t="s">
        <v>112</v>
      </c>
      <c r="E8" s="14"/>
      <c r="F8" s="111" t="s">
        <v>451</v>
      </c>
    </row>
    <row r="9" spans="1:7" ht="15.95" customHeight="1">
      <c r="A9" s="118" t="s">
        <v>81</v>
      </c>
      <c r="B9" s="114" t="s">
        <v>22</v>
      </c>
      <c r="C9" s="114" t="s">
        <v>54</v>
      </c>
      <c r="D9" s="508" t="s">
        <v>457</v>
      </c>
      <c r="E9" s="120"/>
      <c r="F9" s="114" t="s">
        <v>171</v>
      </c>
    </row>
    <row r="10" spans="1:7" ht="5.0999999999999996" customHeight="1">
      <c r="A10" s="37"/>
      <c r="B10" s="66"/>
      <c r="C10" s="37"/>
      <c r="E10" s="121"/>
    </row>
    <row r="11" spans="1:7" ht="14.1" customHeight="1">
      <c r="A11" s="357" t="s">
        <v>230</v>
      </c>
      <c r="B11" s="384">
        <v>0</v>
      </c>
      <c r="C11" s="384">
        <f>SUM('- 6 -'!$B11:H11,B11)</f>
        <v>1546.5</v>
      </c>
      <c r="D11" s="384"/>
      <c r="E11" s="122"/>
      <c r="F11" s="384">
        <f>C11+D11</f>
        <v>1546.5</v>
      </c>
    </row>
    <row r="12" spans="1:7" ht="14.1" customHeight="1">
      <c r="A12" s="23" t="s">
        <v>231</v>
      </c>
      <c r="B12" s="67">
        <v>152.86000000000001</v>
      </c>
      <c r="C12" s="67">
        <f>SUM('- 6 -'!$B12:H12,B12)</f>
        <v>2186.6799999999998</v>
      </c>
      <c r="D12" s="67"/>
      <c r="E12" s="122"/>
      <c r="F12" s="67">
        <f t="shared" ref="F12:F46" si="0">C12+D12</f>
        <v>2186.6799999999998</v>
      </c>
    </row>
    <row r="13" spans="1:7" ht="14.1" customHeight="1">
      <c r="A13" s="357" t="s">
        <v>232</v>
      </c>
      <c r="B13" s="384">
        <v>385.33</v>
      </c>
      <c r="C13" s="384">
        <f>SUM('- 6 -'!$B13:H13,B13)</f>
        <v>8120.53</v>
      </c>
      <c r="D13" s="384"/>
      <c r="E13" s="122"/>
      <c r="F13" s="384">
        <f t="shared" si="0"/>
        <v>8120.53</v>
      </c>
    </row>
    <row r="14" spans="1:7" ht="14.1" customHeight="1">
      <c r="A14" s="23" t="s">
        <v>566</v>
      </c>
      <c r="B14" s="67">
        <v>0</v>
      </c>
      <c r="C14" s="67">
        <f>SUM('- 6 -'!$B14:H14,B14)</f>
        <v>5315</v>
      </c>
      <c r="D14" s="67"/>
      <c r="E14" s="122"/>
      <c r="F14" s="67">
        <f t="shared" si="0"/>
        <v>5315</v>
      </c>
    </row>
    <row r="15" spans="1:7" ht="14.1" customHeight="1">
      <c r="A15" s="357" t="s">
        <v>233</v>
      </c>
      <c r="B15" s="384">
        <v>20</v>
      </c>
      <c r="C15" s="384">
        <f>SUM('- 6 -'!$B15:H15,B15)</f>
        <v>1452.5</v>
      </c>
      <c r="D15" s="384"/>
      <c r="E15" s="122"/>
      <c r="F15" s="384">
        <f t="shared" si="0"/>
        <v>1452.5</v>
      </c>
    </row>
    <row r="16" spans="1:7" ht="14.1" customHeight="1">
      <c r="A16" s="23" t="s">
        <v>234</v>
      </c>
      <c r="B16" s="67">
        <v>18.7</v>
      </c>
      <c r="C16" s="67">
        <f>SUM('- 6 -'!$B16:H16,B16)</f>
        <v>962</v>
      </c>
      <c r="D16" s="67"/>
      <c r="E16" s="122"/>
      <c r="F16" s="67">
        <f t="shared" si="0"/>
        <v>962</v>
      </c>
    </row>
    <row r="17" spans="1:6" ht="14.1" customHeight="1">
      <c r="A17" s="357" t="s">
        <v>235</v>
      </c>
      <c r="B17" s="384">
        <v>35</v>
      </c>
      <c r="C17" s="384">
        <f>SUM('- 6 -'!$B17:H17,B17)</f>
        <v>1337.5</v>
      </c>
      <c r="D17" s="384"/>
      <c r="E17" s="122"/>
      <c r="F17" s="384">
        <f t="shared" si="0"/>
        <v>1337.5</v>
      </c>
    </row>
    <row r="18" spans="1:6" ht="14.1" customHeight="1">
      <c r="A18" s="23" t="s">
        <v>236</v>
      </c>
      <c r="B18" s="67">
        <v>44</v>
      </c>
      <c r="C18" s="67">
        <f>SUM('- 6 -'!$B18:H18,B18)</f>
        <v>6170.7</v>
      </c>
      <c r="D18" s="67"/>
      <c r="E18" s="122"/>
      <c r="F18" s="67">
        <f t="shared" si="0"/>
        <v>6170.7</v>
      </c>
    </row>
    <row r="19" spans="1:6" ht="14.1" customHeight="1">
      <c r="A19" s="357" t="s">
        <v>237</v>
      </c>
      <c r="B19" s="384">
        <v>100</v>
      </c>
      <c r="C19" s="384">
        <f>SUM('- 6 -'!$B19:H19,B19)</f>
        <v>4079.5</v>
      </c>
      <c r="D19" s="384"/>
      <c r="E19" s="122"/>
      <c r="F19" s="384">
        <f t="shared" si="0"/>
        <v>4079.5</v>
      </c>
    </row>
    <row r="20" spans="1:6" ht="14.1" customHeight="1">
      <c r="A20" s="23" t="s">
        <v>238</v>
      </c>
      <c r="B20" s="67">
        <v>458.9</v>
      </c>
      <c r="C20" s="67">
        <f>SUM('- 6 -'!$B20:H20,B20)</f>
        <v>7559</v>
      </c>
      <c r="D20" s="67"/>
      <c r="E20" s="122"/>
      <c r="F20" s="67">
        <f t="shared" si="0"/>
        <v>7559</v>
      </c>
    </row>
    <row r="21" spans="1:6" ht="14.1" customHeight="1">
      <c r="A21" s="357" t="s">
        <v>239</v>
      </c>
      <c r="B21" s="384">
        <v>0</v>
      </c>
      <c r="C21" s="384">
        <f>SUM('- 6 -'!$B21:H21,B21)</f>
        <v>2659</v>
      </c>
      <c r="D21" s="384"/>
      <c r="E21" s="122"/>
      <c r="F21" s="384">
        <f t="shared" si="0"/>
        <v>2659</v>
      </c>
    </row>
    <row r="22" spans="1:6" ht="14.1" customHeight="1">
      <c r="A22" s="23" t="s">
        <v>240</v>
      </c>
      <c r="B22" s="67">
        <v>0</v>
      </c>
      <c r="C22" s="67">
        <f>SUM('- 6 -'!$B22:H22,B22)</f>
        <v>1561</v>
      </c>
      <c r="D22" s="67"/>
      <c r="E22" s="122"/>
      <c r="F22" s="67">
        <f t="shared" si="0"/>
        <v>1561</v>
      </c>
    </row>
    <row r="23" spans="1:6" ht="14.1" customHeight="1">
      <c r="A23" s="357" t="s">
        <v>241</v>
      </c>
      <c r="B23" s="384">
        <v>20</v>
      </c>
      <c r="C23" s="384">
        <f>SUM('- 6 -'!$B23:H23,B23)</f>
        <v>1147.5</v>
      </c>
      <c r="D23" s="384"/>
      <c r="E23" s="122"/>
      <c r="F23" s="384">
        <f t="shared" si="0"/>
        <v>1147.5</v>
      </c>
    </row>
    <row r="24" spans="1:6" ht="14.1" customHeight="1">
      <c r="A24" s="23" t="s">
        <v>242</v>
      </c>
      <c r="B24" s="67">
        <v>341</v>
      </c>
      <c r="C24" s="67">
        <f>SUM('- 6 -'!$B24:H24,B24)</f>
        <v>4049</v>
      </c>
      <c r="D24" s="67"/>
      <c r="E24" s="122"/>
      <c r="F24" s="67">
        <f t="shared" si="0"/>
        <v>4049</v>
      </c>
    </row>
    <row r="25" spans="1:6" ht="14.1" customHeight="1">
      <c r="A25" s="357" t="s">
        <v>243</v>
      </c>
      <c r="B25" s="384">
        <v>154</v>
      </c>
      <c r="C25" s="384">
        <f>SUM('- 6 -'!$B25:H25,B25)</f>
        <v>13745</v>
      </c>
      <c r="D25" s="384"/>
      <c r="E25" s="122"/>
      <c r="F25" s="384">
        <f t="shared" si="0"/>
        <v>13745</v>
      </c>
    </row>
    <row r="26" spans="1:6" ht="14.1" customHeight="1">
      <c r="A26" s="23" t="s">
        <v>244</v>
      </c>
      <c r="B26" s="67">
        <v>150.1</v>
      </c>
      <c r="C26" s="67">
        <f>SUM('- 6 -'!$B26:H26,B26)</f>
        <v>3088</v>
      </c>
      <c r="D26" s="67"/>
      <c r="E26" s="122"/>
      <c r="F26" s="67">
        <f t="shared" si="0"/>
        <v>3088</v>
      </c>
    </row>
    <row r="27" spans="1:6" ht="14.1" customHeight="1">
      <c r="A27" s="357" t="s">
        <v>245</v>
      </c>
      <c r="B27" s="384">
        <v>215</v>
      </c>
      <c r="C27" s="384">
        <f>SUM('- 6 -'!$B27:H27,B27)</f>
        <v>2890</v>
      </c>
      <c r="D27" s="384"/>
      <c r="E27" s="122"/>
      <c r="F27" s="384">
        <f t="shared" si="0"/>
        <v>2890</v>
      </c>
    </row>
    <row r="28" spans="1:6" ht="14.1" customHeight="1">
      <c r="A28" s="23" t="s">
        <v>246</v>
      </c>
      <c r="B28" s="67">
        <v>0</v>
      </c>
      <c r="C28" s="67">
        <f>SUM('- 6 -'!$B28:H28,B28)</f>
        <v>1982.5</v>
      </c>
      <c r="D28" s="67"/>
      <c r="E28" s="122"/>
      <c r="F28" s="67">
        <f t="shared" si="0"/>
        <v>1982.5</v>
      </c>
    </row>
    <row r="29" spans="1:6" ht="14.1" customHeight="1">
      <c r="A29" s="357" t="s">
        <v>247</v>
      </c>
      <c r="B29" s="384">
        <v>0</v>
      </c>
      <c r="C29" s="384">
        <f>SUM('- 6 -'!$B29:H29,B29)</f>
        <v>12060.5</v>
      </c>
      <c r="D29" s="384"/>
      <c r="E29" s="122"/>
      <c r="F29" s="384">
        <f t="shared" si="0"/>
        <v>12060.5</v>
      </c>
    </row>
    <row r="30" spans="1:6" ht="14.1" customHeight="1">
      <c r="A30" s="23" t="s">
        <v>248</v>
      </c>
      <c r="B30" s="67">
        <v>0</v>
      </c>
      <c r="C30" s="67">
        <f>SUM('- 6 -'!$B30:H30,B30)</f>
        <v>1025.5</v>
      </c>
      <c r="D30" s="67"/>
      <c r="E30" s="122"/>
      <c r="F30" s="67">
        <f t="shared" si="0"/>
        <v>1025.5</v>
      </c>
    </row>
    <row r="31" spans="1:6" ht="14.1" customHeight="1">
      <c r="A31" s="357" t="s">
        <v>249</v>
      </c>
      <c r="B31" s="384">
        <v>83</v>
      </c>
      <c r="C31" s="384">
        <f>SUM('- 6 -'!$B31:H31,B31)</f>
        <v>3191</v>
      </c>
      <c r="D31" s="384"/>
      <c r="E31" s="122"/>
      <c r="F31" s="384">
        <f t="shared" si="0"/>
        <v>3191</v>
      </c>
    </row>
    <row r="32" spans="1:6" ht="14.1" customHeight="1">
      <c r="A32" s="23" t="s">
        <v>250</v>
      </c>
      <c r="B32" s="67">
        <v>40</v>
      </c>
      <c r="C32" s="67">
        <f>SUM('- 6 -'!$B32:H32,B32)</f>
        <v>2103.5</v>
      </c>
      <c r="D32" s="67"/>
      <c r="E32" s="122"/>
      <c r="F32" s="67">
        <f t="shared" si="0"/>
        <v>2103.5</v>
      </c>
    </row>
    <row r="33" spans="1:7" ht="14.1" customHeight="1">
      <c r="A33" s="357" t="s">
        <v>251</v>
      </c>
      <c r="B33" s="384">
        <v>55</v>
      </c>
      <c r="C33" s="384">
        <f>SUM('- 6 -'!$B33:H33,B33)</f>
        <v>1993.5</v>
      </c>
      <c r="D33" s="384"/>
      <c r="E33" s="122"/>
      <c r="F33" s="384">
        <f t="shared" si="0"/>
        <v>1993.5</v>
      </c>
    </row>
    <row r="34" spans="1:7" ht="14.1" customHeight="1">
      <c r="A34" s="23" t="s">
        <v>252</v>
      </c>
      <c r="B34" s="67">
        <v>21</v>
      </c>
      <c r="C34" s="67">
        <f>SUM('- 6 -'!$B34:H34,B34)</f>
        <v>1985.5</v>
      </c>
      <c r="D34" s="67"/>
      <c r="E34" s="122"/>
      <c r="F34" s="67">
        <f t="shared" si="0"/>
        <v>1985.5</v>
      </c>
    </row>
    <row r="35" spans="1:7" ht="14.1" customHeight="1">
      <c r="A35" s="357" t="s">
        <v>253</v>
      </c>
      <c r="B35" s="384">
        <v>812</v>
      </c>
      <c r="C35" s="384">
        <f>SUM('- 6 -'!$B35:H35,B35)</f>
        <v>15497</v>
      </c>
      <c r="D35" s="384"/>
      <c r="E35" s="122"/>
      <c r="F35" s="384">
        <f t="shared" si="0"/>
        <v>15497</v>
      </c>
    </row>
    <row r="36" spans="1:7" ht="14.1" customHeight="1">
      <c r="A36" s="23" t="s">
        <v>254</v>
      </c>
      <c r="B36" s="67">
        <v>9.6</v>
      </c>
      <c r="C36" s="67">
        <f>SUM('- 6 -'!$B36:H36,B36)</f>
        <v>1648.5</v>
      </c>
      <c r="D36" s="67"/>
      <c r="E36" s="122"/>
      <c r="F36" s="67">
        <f t="shared" si="0"/>
        <v>1648.5</v>
      </c>
    </row>
    <row r="37" spans="1:7" ht="14.1" customHeight="1">
      <c r="A37" s="357" t="s">
        <v>255</v>
      </c>
      <c r="B37" s="384">
        <v>0</v>
      </c>
      <c r="C37" s="384">
        <f>SUM('- 6 -'!$B37:H37,B37)</f>
        <v>3913.5</v>
      </c>
      <c r="D37" s="384"/>
      <c r="E37" s="122"/>
      <c r="F37" s="384">
        <f t="shared" si="0"/>
        <v>3913.5</v>
      </c>
    </row>
    <row r="38" spans="1:7" ht="14.1" customHeight="1">
      <c r="A38" s="23" t="s">
        <v>256</v>
      </c>
      <c r="B38" s="67">
        <v>172</v>
      </c>
      <c r="C38" s="67">
        <f>SUM('- 6 -'!$B38:H38,B38)</f>
        <v>10725.5</v>
      </c>
      <c r="D38" s="67"/>
      <c r="E38" s="122"/>
      <c r="F38" s="67">
        <f t="shared" si="0"/>
        <v>10725.5</v>
      </c>
    </row>
    <row r="39" spans="1:7" ht="14.1" customHeight="1">
      <c r="A39" s="357" t="s">
        <v>257</v>
      </c>
      <c r="B39" s="384">
        <v>20</v>
      </c>
      <c r="C39" s="384">
        <f>SUM('- 6 -'!$B39:H39,B39)</f>
        <v>1550.5</v>
      </c>
      <c r="D39" s="384"/>
      <c r="E39" s="122"/>
      <c r="F39" s="384">
        <f t="shared" si="0"/>
        <v>1550.5</v>
      </c>
    </row>
    <row r="40" spans="1:7" ht="14.1" customHeight="1">
      <c r="A40" s="23" t="s">
        <v>258</v>
      </c>
      <c r="B40" s="67">
        <v>268.13</v>
      </c>
      <c r="C40" s="67">
        <f>SUM('- 6 -'!$B40:H40,B40)</f>
        <v>7940.89</v>
      </c>
      <c r="D40" s="67"/>
      <c r="E40" s="122"/>
      <c r="F40" s="67">
        <f t="shared" si="0"/>
        <v>7940.89</v>
      </c>
    </row>
    <row r="41" spans="1:7" ht="14.1" customHeight="1">
      <c r="A41" s="357" t="s">
        <v>259</v>
      </c>
      <c r="B41" s="384">
        <v>0</v>
      </c>
      <c r="C41" s="384">
        <f>SUM('- 6 -'!$B41:H41,B41)</f>
        <v>4386</v>
      </c>
      <c r="D41" s="384"/>
      <c r="E41" s="122"/>
      <c r="F41" s="384">
        <f t="shared" si="0"/>
        <v>4386</v>
      </c>
    </row>
    <row r="42" spans="1:7" ht="14.1" customHeight="1">
      <c r="A42" s="23" t="s">
        <v>260</v>
      </c>
      <c r="B42" s="67">
        <v>166.6</v>
      </c>
      <c r="C42" s="67">
        <f>SUM('- 6 -'!$B42:H42,B42)</f>
        <v>1401.5</v>
      </c>
      <c r="D42" s="67"/>
      <c r="E42" s="122"/>
      <c r="F42" s="67">
        <f t="shared" si="0"/>
        <v>1401.5</v>
      </c>
    </row>
    <row r="43" spans="1:7" ht="14.1" customHeight="1">
      <c r="A43" s="357" t="s">
        <v>261</v>
      </c>
      <c r="B43" s="384">
        <v>25</v>
      </c>
      <c r="C43" s="384">
        <f>SUM('- 6 -'!$B43:H43,B43)</f>
        <v>960</v>
      </c>
      <c r="D43" s="384"/>
      <c r="E43" s="122"/>
      <c r="F43" s="384">
        <f t="shared" si="0"/>
        <v>960</v>
      </c>
    </row>
    <row r="44" spans="1:7" ht="14.1" customHeight="1">
      <c r="A44" s="23" t="s">
        <v>262</v>
      </c>
      <c r="B44" s="67">
        <v>0</v>
      </c>
      <c r="C44" s="67">
        <f>SUM('- 6 -'!$B44:H44,B44)</f>
        <v>702</v>
      </c>
      <c r="D44" s="67"/>
      <c r="E44" s="122"/>
      <c r="F44" s="67">
        <f t="shared" si="0"/>
        <v>702</v>
      </c>
    </row>
    <row r="45" spans="1:7" ht="14.1" customHeight="1">
      <c r="A45" s="357" t="s">
        <v>263</v>
      </c>
      <c r="B45" s="384">
        <v>40</v>
      </c>
      <c r="C45" s="384">
        <f>SUM('- 6 -'!$B45:H45,B45)</f>
        <v>1681</v>
      </c>
      <c r="D45" s="384"/>
      <c r="E45" s="122"/>
      <c r="F45" s="384">
        <f t="shared" si="0"/>
        <v>1681</v>
      </c>
    </row>
    <row r="46" spans="1:7" ht="14.1" customHeight="1">
      <c r="A46" s="23" t="s">
        <v>264</v>
      </c>
      <c r="B46" s="67">
        <v>661.8</v>
      </c>
      <c r="C46" s="67">
        <f>SUM('- 6 -'!$B46:H46,B46)</f>
        <v>30238</v>
      </c>
      <c r="D46" s="67"/>
      <c r="E46" s="122"/>
      <c r="F46" s="67">
        <f t="shared" si="0"/>
        <v>30238</v>
      </c>
    </row>
    <row r="47" spans="1:7" ht="5.0999999999999996" customHeight="1">
      <c r="A47"/>
      <c r="B47"/>
      <c r="C47"/>
      <c r="D47"/>
      <c r="E47"/>
      <c r="F47"/>
      <c r="G47"/>
    </row>
    <row r="48" spans="1:7" ht="14.1" customHeight="1">
      <c r="A48" s="360" t="s">
        <v>265</v>
      </c>
      <c r="B48" s="385">
        <f>SUM(B11:B46)</f>
        <v>4469.0199999999995</v>
      </c>
      <c r="C48" s="385">
        <f>SUM(C11:C46)</f>
        <v>172855.80000000002</v>
      </c>
      <c r="D48" s="385"/>
      <c r="E48" s="123"/>
      <c r="F48" s="385">
        <f>SUM(F11:F46)</f>
        <v>172855.80000000002</v>
      </c>
    </row>
    <row r="49" spans="1:7" ht="5.0999999999999996" customHeight="1">
      <c r="A49" s="25" t="s">
        <v>3</v>
      </c>
      <c r="B49" s="70"/>
      <c r="C49" s="70"/>
      <c r="D49" s="70"/>
      <c r="E49" s="121"/>
      <c r="F49" s="70"/>
    </row>
    <row r="50" spans="1:7" ht="14.1" customHeight="1">
      <c r="A50" s="23" t="s">
        <v>266</v>
      </c>
      <c r="B50" s="67">
        <v>0</v>
      </c>
      <c r="C50" s="67">
        <f>SUM('- 6 -'!$B50:H50,B50)</f>
        <v>175</v>
      </c>
      <c r="D50" s="67"/>
      <c r="E50" s="122"/>
      <c r="F50" s="67">
        <f>C50+D50</f>
        <v>175</v>
      </c>
    </row>
    <row r="51" spans="1:7" ht="14.1" customHeight="1">
      <c r="A51" s="511" t="s">
        <v>691</v>
      </c>
      <c r="B51" s="384">
        <v>565</v>
      </c>
      <c r="C51" s="384">
        <f>SUM('- 6 -'!$B51:H51,B51)</f>
        <v>621</v>
      </c>
      <c r="D51" s="384"/>
      <c r="E51" s="122"/>
      <c r="F51" s="384">
        <f>C51+D51</f>
        <v>621</v>
      </c>
    </row>
    <row r="52" spans="1:7" ht="50.1" customHeight="1">
      <c r="A52" s="527"/>
      <c r="B52" s="527"/>
      <c r="C52" s="527"/>
      <c r="D52" s="527"/>
      <c r="E52" s="527"/>
      <c r="F52" s="527"/>
      <c r="G52" s="527"/>
    </row>
    <row r="53" spans="1:7" ht="15" customHeight="1">
      <c r="A53" s="28" t="s">
        <v>636</v>
      </c>
      <c r="B53" s="604"/>
      <c r="C53" s="604"/>
      <c r="D53" s="604"/>
      <c r="E53" s="604"/>
      <c r="F53" s="604"/>
      <c r="G53" s="604"/>
    </row>
    <row r="54" spans="1:7" ht="12" customHeight="1">
      <c r="A54" s="28" t="s">
        <v>638</v>
      </c>
      <c r="B54" s="604"/>
      <c r="C54" s="604"/>
      <c r="D54" s="604"/>
      <c r="E54" s="604"/>
      <c r="F54" s="604"/>
      <c r="G54" s="604"/>
    </row>
    <row r="55" spans="1:7">
      <c r="A55" s="28" t="s">
        <v>637</v>
      </c>
    </row>
    <row r="56" spans="1:7" ht="14.45" customHeight="1"/>
    <row r="57" spans="1:7" ht="14.45" customHeight="1"/>
    <row r="58" spans="1:7" ht="14.45" customHeight="1"/>
    <row r="59" spans="1:7" ht="14.45" customHeight="1"/>
  </sheetData>
  <mergeCells count="2">
    <mergeCell ref="F6:F7"/>
    <mergeCell ref="B6:C7"/>
  </mergeCells>
  <phoneticPr fontId="0" type="noConversion"/>
  <printOptions horizontalCentered="1"/>
  <pageMargins left="0.5" right="0.5" top="0.6" bottom="0" header="0.3" footer="0"/>
  <pageSetup scale="91" orientation="portrait" r:id="rId1"/>
  <headerFooter alignWithMargins="0">
    <oddHeader>&amp;C&amp;"Arial,Bold"&amp;10&amp;A</oddHeader>
  </headerFooter>
</worksheet>
</file>

<file path=xl/worksheets/sheet50.xml><?xml version="1.0" encoding="utf-8"?>
<worksheet xmlns="http://schemas.openxmlformats.org/spreadsheetml/2006/main" xmlns:r="http://schemas.openxmlformats.org/officeDocument/2006/relationships">
  <sheetPr codeName="Sheet611">
    <pageSetUpPr fitToPage="1"/>
  </sheetPr>
  <dimension ref="A1:I66"/>
  <sheetViews>
    <sheetView showGridLines="0" showZeros="0" workbookViewId="0"/>
  </sheetViews>
  <sheetFormatPr defaultColWidth="14.83203125" defaultRowHeight="12"/>
  <cols>
    <col min="1" max="1" width="26.83203125" style="1" customWidth="1"/>
    <col min="2" max="2" width="18.33203125" style="1" customWidth="1"/>
    <col min="3" max="3" width="17.83203125" style="1" customWidth="1"/>
    <col min="4" max="4" width="19.83203125" style="1" customWidth="1"/>
    <col min="5" max="6" width="18.83203125" style="1" customWidth="1"/>
    <col min="7" max="7" width="16.83203125" style="1" customWidth="1"/>
    <col min="8" max="8" width="0" style="1" hidden="1" customWidth="1"/>
    <col min="9" max="16384" width="14.83203125" style="1"/>
  </cols>
  <sheetData>
    <row r="1" spans="1:9" ht="6.95" customHeight="1">
      <c r="A1" s="3"/>
      <c r="B1" s="4"/>
      <c r="C1" s="4"/>
      <c r="D1" s="4"/>
    </row>
    <row r="2" spans="1:9" ht="18" customHeight="1">
      <c r="A2" s="285"/>
      <c r="B2" s="285" t="s">
        <v>665</v>
      </c>
      <c r="C2" s="514"/>
      <c r="D2" s="514"/>
      <c r="E2" s="514"/>
      <c r="F2" s="514"/>
      <c r="G2" s="515" t="s">
        <v>369</v>
      </c>
    </row>
    <row r="3" spans="1:9" ht="3.95" customHeight="1">
      <c r="A3" s="286"/>
      <c r="B3" s="287"/>
      <c r="C3" s="287"/>
      <c r="D3" s="287"/>
      <c r="E3" s="287"/>
      <c r="F3" s="287"/>
      <c r="G3" s="300"/>
    </row>
    <row r="4" spans="1:9" ht="15" customHeight="1">
      <c r="A4" s="301"/>
      <c r="B4" s="476" t="s">
        <v>485</v>
      </c>
      <c r="C4" s="477"/>
      <c r="D4" s="477"/>
      <c r="E4" s="477"/>
      <c r="F4" s="477"/>
      <c r="G4" s="478"/>
    </row>
    <row r="5" spans="1:9" ht="14.1" customHeight="1">
      <c r="A5" s="293"/>
      <c r="B5" s="295"/>
      <c r="C5" s="295"/>
      <c r="D5" s="295"/>
      <c r="E5" s="295"/>
      <c r="F5" s="295" t="s">
        <v>447</v>
      </c>
      <c r="G5" s="295"/>
    </row>
    <row r="6" spans="1:9" ht="14.1" customHeight="1">
      <c r="A6" s="293"/>
      <c r="B6" s="295"/>
      <c r="C6" s="295" t="s">
        <v>314</v>
      </c>
      <c r="D6" s="295"/>
      <c r="E6" s="295"/>
      <c r="F6" s="295" t="s">
        <v>174</v>
      </c>
      <c r="G6" s="295"/>
    </row>
    <row r="7" spans="1:9" ht="14.1" customHeight="1">
      <c r="A7" s="293"/>
      <c r="B7" s="295"/>
      <c r="C7" s="295" t="s">
        <v>319</v>
      </c>
      <c r="D7" s="295"/>
      <c r="E7" s="295" t="s">
        <v>313</v>
      </c>
      <c r="F7" s="295" t="s">
        <v>324</v>
      </c>
      <c r="G7" s="295"/>
    </row>
    <row r="8" spans="1:9" ht="14.1" customHeight="1">
      <c r="A8" s="293"/>
      <c r="B8" s="295" t="s">
        <v>180</v>
      </c>
      <c r="C8" s="295" t="s">
        <v>140</v>
      </c>
      <c r="D8" s="295" t="s">
        <v>23</v>
      </c>
      <c r="E8" s="295" t="s">
        <v>52</v>
      </c>
      <c r="F8" s="295" t="s">
        <v>321</v>
      </c>
      <c r="G8" s="295" t="s">
        <v>54</v>
      </c>
    </row>
    <row r="9" spans="1:9" ht="14.1" customHeight="1">
      <c r="A9" s="17"/>
      <c r="B9" s="295" t="s">
        <v>315</v>
      </c>
      <c r="C9" s="295" t="s">
        <v>316</v>
      </c>
      <c r="D9" s="295" t="s">
        <v>317</v>
      </c>
      <c r="E9" s="295" t="s">
        <v>318</v>
      </c>
      <c r="F9" s="295" t="s">
        <v>322</v>
      </c>
      <c r="G9" s="295" t="s">
        <v>323</v>
      </c>
    </row>
    <row r="10" spans="1:9" ht="14.1" customHeight="1">
      <c r="A10" s="19" t="s">
        <v>81</v>
      </c>
      <c r="B10" s="479" t="s">
        <v>376</v>
      </c>
      <c r="C10" s="479" t="s">
        <v>379</v>
      </c>
      <c r="D10" s="479" t="s">
        <v>380</v>
      </c>
      <c r="E10" s="479" t="s">
        <v>536</v>
      </c>
      <c r="F10" s="302" t="s">
        <v>272</v>
      </c>
      <c r="G10" s="302" t="s">
        <v>272</v>
      </c>
      <c r="I10" s="155"/>
    </row>
    <row r="11" spans="1:9" ht="5.0999999999999996" customHeight="1">
      <c r="A11" s="22"/>
      <c r="C11" s="270"/>
      <c r="D11" s="245"/>
      <c r="E11" s="3"/>
    </row>
    <row r="12" spans="1:9" ht="13.5" customHeight="1">
      <c r="A12" s="357" t="s">
        <v>230</v>
      </c>
      <c r="B12" s="358">
        <v>639490</v>
      </c>
      <c r="C12" s="358">
        <v>0</v>
      </c>
      <c r="D12" s="358">
        <v>61450</v>
      </c>
      <c r="E12" s="358">
        <v>61430</v>
      </c>
      <c r="F12" s="358">
        <f>-Data!M11-Data!N11</f>
        <v>-19700</v>
      </c>
      <c r="G12" s="358">
        <f>SUM(B12:F12)</f>
        <v>742670</v>
      </c>
      <c r="H12" s="471">
        <v>742670</v>
      </c>
      <c r="I12" s="1">
        <f>G12-H12</f>
        <v>0</v>
      </c>
    </row>
    <row r="13" spans="1:9" ht="13.5" customHeight="1">
      <c r="A13" s="23" t="s">
        <v>231</v>
      </c>
      <c r="B13" s="24">
        <v>1066895</v>
      </c>
      <c r="C13" s="24">
        <v>0</v>
      </c>
      <c r="D13" s="24">
        <v>83863</v>
      </c>
      <c r="E13" s="24">
        <v>85721</v>
      </c>
      <c r="F13" s="24">
        <f>-Data!M12-Data!N12</f>
        <v>-32117</v>
      </c>
      <c r="G13" s="24">
        <f t="shared" ref="G13:G47" si="0">SUM(B13:F13)</f>
        <v>1204362</v>
      </c>
      <c r="H13" s="472">
        <v>1204362</v>
      </c>
      <c r="I13" s="1">
        <f t="shared" ref="I13:I49" si="1">G13-H13</f>
        <v>0</v>
      </c>
    </row>
    <row r="14" spans="1:9" ht="13.5" customHeight="1">
      <c r="A14" s="357" t="s">
        <v>232</v>
      </c>
      <c r="B14" s="358">
        <v>2857600</v>
      </c>
      <c r="C14" s="358">
        <v>0</v>
      </c>
      <c r="D14" s="358">
        <v>190400</v>
      </c>
      <c r="E14" s="358">
        <v>236800</v>
      </c>
      <c r="F14" s="358">
        <f>-Data!M13-Data!N13</f>
        <v>-73200</v>
      </c>
      <c r="G14" s="358">
        <f t="shared" si="0"/>
        <v>3211600</v>
      </c>
      <c r="H14" s="471">
        <v>3211600</v>
      </c>
      <c r="I14" s="1">
        <f t="shared" si="1"/>
        <v>0</v>
      </c>
    </row>
    <row r="15" spans="1:9" ht="13.5" customHeight="1">
      <c r="A15" s="23" t="s">
        <v>566</v>
      </c>
      <c r="B15" s="24"/>
      <c r="C15" s="24"/>
      <c r="D15" s="24"/>
      <c r="E15" s="24"/>
      <c r="F15" s="24"/>
      <c r="G15" s="24"/>
      <c r="H15" s="472"/>
      <c r="I15" s="1">
        <f t="shared" si="1"/>
        <v>0</v>
      </c>
    </row>
    <row r="16" spans="1:9" ht="13.5" customHeight="1">
      <c r="A16" s="357" t="s">
        <v>233</v>
      </c>
      <c r="B16" s="358">
        <v>772700</v>
      </c>
      <c r="C16" s="358">
        <v>0</v>
      </c>
      <c r="D16" s="358">
        <v>63250</v>
      </c>
      <c r="E16" s="358">
        <v>77250</v>
      </c>
      <c r="F16" s="358">
        <f>-Data!M15-Data!N15</f>
        <v>-25000</v>
      </c>
      <c r="G16" s="358">
        <f t="shared" si="0"/>
        <v>888200</v>
      </c>
      <c r="H16" s="471">
        <v>888200</v>
      </c>
      <c r="I16" s="1">
        <f t="shared" si="1"/>
        <v>0</v>
      </c>
    </row>
    <row r="17" spans="1:9" ht="13.5" customHeight="1">
      <c r="A17" s="23" t="s">
        <v>234</v>
      </c>
      <c r="B17" s="24">
        <v>681177</v>
      </c>
      <c r="C17" s="24">
        <v>0</v>
      </c>
      <c r="D17" s="24">
        <v>0</v>
      </c>
      <c r="E17" s="24">
        <v>63337</v>
      </c>
      <c r="F17" s="24">
        <f>-Data!M16-Data!N16</f>
        <v>-20000</v>
      </c>
      <c r="G17" s="24">
        <f t="shared" si="0"/>
        <v>724514</v>
      </c>
      <c r="H17" s="472">
        <v>724514</v>
      </c>
      <c r="I17" s="1">
        <f t="shared" si="1"/>
        <v>0</v>
      </c>
    </row>
    <row r="18" spans="1:9" ht="13.5" customHeight="1">
      <c r="A18" s="357" t="s">
        <v>235</v>
      </c>
      <c r="B18" s="358">
        <v>756067</v>
      </c>
      <c r="C18" s="358">
        <v>0</v>
      </c>
      <c r="D18" s="358">
        <v>42693</v>
      </c>
      <c r="E18" s="358">
        <v>62790</v>
      </c>
      <c r="F18" s="358">
        <f>-Data!M17-Data!N17</f>
        <v>-25100</v>
      </c>
      <c r="G18" s="358">
        <f t="shared" si="0"/>
        <v>836450</v>
      </c>
      <c r="H18" s="471">
        <v>836450</v>
      </c>
      <c r="I18" s="1">
        <f t="shared" si="1"/>
        <v>0</v>
      </c>
    </row>
    <row r="19" spans="1:9" ht="13.5" customHeight="1">
      <c r="A19" s="23" t="s">
        <v>236</v>
      </c>
      <c r="B19" s="24"/>
      <c r="C19" s="24"/>
      <c r="D19" s="24"/>
      <c r="E19" s="24"/>
      <c r="F19" s="24"/>
      <c r="G19" s="24"/>
      <c r="H19" s="472"/>
      <c r="I19" s="1">
        <f t="shared" si="1"/>
        <v>0</v>
      </c>
    </row>
    <row r="20" spans="1:9" ht="13.5" customHeight="1">
      <c r="A20" s="357" t="s">
        <v>237</v>
      </c>
      <c r="B20" s="358">
        <v>1505570</v>
      </c>
      <c r="C20" s="358">
        <v>0</v>
      </c>
      <c r="D20" s="358">
        <v>167400</v>
      </c>
      <c r="E20" s="358">
        <v>173925</v>
      </c>
      <c r="F20" s="358">
        <f>-Data!M19-Data!N19</f>
        <v>-32000</v>
      </c>
      <c r="G20" s="358">
        <f t="shared" si="0"/>
        <v>1814895</v>
      </c>
      <c r="H20" s="471">
        <v>1814895</v>
      </c>
      <c r="I20" s="1">
        <f t="shared" si="1"/>
        <v>0</v>
      </c>
    </row>
    <row r="21" spans="1:9" ht="13.5" customHeight="1">
      <c r="A21" s="23" t="s">
        <v>238</v>
      </c>
      <c r="B21" s="24">
        <v>2213400</v>
      </c>
      <c r="C21" s="24">
        <v>31300</v>
      </c>
      <c r="D21" s="24">
        <v>240600</v>
      </c>
      <c r="E21" s="24">
        <v>273600</v>
      </c>
      <c r="F21" s="24">
        <f>-Data!M20-Data!N20</f>
        <v>-61200</v>
      </c>
      <c r="G21" s="24">
        <f t="shared" si="0"/>
        <v>2697700</v>
      </c>
      <c r="H21" s="472">
        <v>2697700</v>
      </c>
      <c r="I21" s="1">
        <f t="shared" si="1"/>
        <v>0</v>
      </c>
    </row>
    <row r="22" spans="1:9" ht="13.5" customHeight="1">
      <c r="A22" s="357" t="s">
        <v>239</v>
      </c>
      <c r="B22" s="358">
        <v>1320000</v>
      </c>
      <c r="C22" s="358">
        <v>0</v>
      </c>
      <c r="D22" s="358">
        <v>158000</v>
      </c>
      <c r="E22" s="358">
        <v>115000</v>
      </c>
      <c r="F22" s="358">
        <f>-Data!M21-Data!N21</f>
        <v>-33000</v>
      </c>
      <c r="G22" s="358">
        <f t="shared" si="0"/>
        <v>1560000</v>
      </c>
      <c r="H22" s="471">
        <v>1560000</v>
      </c>
      <c r="I22" s="1">
        <f t="shared" si="1"/>
        <v>0</v>
      </c>
    </row>
    <row r="23" spans="1:9" ht="13.5" customHeight="1">
      <c r="A23" s="23" t="s">
        <v>240</v>
      </c>
      <c r="B23" s="24">
        <v>808245</v>
      </c>
      <c r="C23" s="24">
        <v>21850</v>
      </c>
      <c r="D23" s="24">
        <v>60440</v>
      </c>
      <c r="E23" s="24">
        <v>93590</v>
      </c>
      <c r="F23" s="24">
        <f>-Data!M22-Data!N22</f>
        <v>-33500</v>
      </c>
      <c r="G23" s="24">
        <f t="shared" si="0"/>
        <v>950625</v>
      </c>
      <c r="H23" s="472">
        <v>950625</v>
      </c>
      <c r="I23" s="1">
        <f t="shared" si="1"/>
        <v>0</v>
      </c>
    </row>
    <row r="24" spans="1:9" ht="13.5" customHeight="1">
      <c r="A24" s="357" t="s">
        <v>241</v>
      </c>
      <c r="B24" s="358">
        <v>608100</v>
      </c>
      <c r="C24" s="358">
        <v>0</v>
      </c>
      <c r="D24" s="358">
        <v>67700</v>
      </c>
      <c r="E24" s="358">
        <v>63000</v>
      </c>
      <c r="F24" s="358">
        <f>-Data!M23-Data!N23</f>
        <v>-23000</v>
      </c>
      <c r="G24" s="358">
        <f t="shared" si="0"/>
        <v>715800</v>
      </c>
      <c r="H24" s="471">
        <v>715800</v>
      </c>
      <c r="I24" s="1">
        <f t="shared" si="1"/>
        <v>0</v>
      </c>
    </row>
    <row r="25" spans="1:9" ht="13.5" customHeight="1">
      <c r="A25" s="23" t="s">
        <v>242</v>
      </c>
      <c r="B25" s="24">
        <v>1927780</v>
      </c>
      <c r="C25" s="24">
        <v>0</v>
      </c>
      <c r="D25" s="24">
        <v>170275</v>
      </c>
      <c r="E25" s="24">
        <v>235755</v>
      </c>
      <c r="F25" s="24">
        <f>-Data!M24-Data!N24</f>
        <v>-50000</v>
      </c>
      <c r="G25" s="24">
        <f t="shared" si="0"/>
        <v>2283810</v>
      </c>
      <c r="H25" s="472">
        <v>2283810</v>
      </c>
      <c r="I25" s="1">
        <f t="shared" si="1"/>
        <v>0</v>
      </c>
    </row>
    <row r="26" spans="1:9" ht="13.5" customHeight="1">
      <c r="A26" s="357" t="s">
        <v>243</v>
      </c>
      <c r="B26" s="358">
        <v>5490436</v>
      </c>
      <c r="C26" s="358">
        <v>0</v>
      </c>
      <c r="D26" s="358">
        <v>249679</v>
      </c>
      <c r="E26" s="358">
        <v>595024</v>
      </c>
      <c r="F26" s="358">
        <f>-Data!M25-Data!N25</f>
        <v>-499062</v>
      </c>
      <c r="G26" s="358">
        <f t="shared" si="0"/>
        <v>5836077</v>
      </c>
      <c r="H26" s="471">
        <v>5836077</v>
      </c>
      <c r="I26" s="1">
        <f t="shared" si="1"/>
        <v>0</v>
      </c>
    </row>
    <row r="27" spans="1:9" ht="13.5" customHeight="1">
      <c r="A27" s="23" t="s">
        <v>244</v>
      </c>
      <c r="B27" s="24">
        <v>1317772</v>
      </c>
      <c r="C27" s="24">
        <v>15898</v>
      </c>
      <c r="D27" s="24">
        <v>171237</v>
      </c>
      <c r="E27" s="24">
        <v>159519</v>
      </c>
      <c r="F27" s="24">
        <f>-Data!M26-Data!N26</f>
        <v>-29000</v>
      </c>
      <c r="G27" s="24">
        <f t="shared" si="0"/>
        <v>1635426</v>
      </c>
      <c r="H27" s="472">
        <v>1635426</v>
      </c>
      <c r="I27" s="1">
        <f t="shared" si="1"/>
        <v>0</v>
      </c>
    </row>
    <row r="28" spans="1:9" ht="13.5" customHeight="1">
      <c r="A28" s="357" t="s">
        <v>245</v>
      </c>
      <c r="B28" s="358">
        <v>1734031</v>
      </c>
      <c r="C28" s="358">
        <v>0</v>
      </c>
      <c r="D28" s="358">
        <v>0</v>
      </c>
      <c r="E28" s="358">
        <v>201013</v>
      </c>
      <c r="F28" s="358">
        <f>-Data!M27-Data!N27</f>
        <v>-70000</v>
      </c>
      <c r="G28" s="358">
        <f t="shared" si="0"/>
        <v>1865044</v>
      </c>
      <c r="H28" s="471">
        <v>1865044</v>
      </c>
      <c r="I28" s="1">
        <f t="shared" si="1"/>
        <v>0</v>
      </c>
    </row>
    <row r="29" spans="1:9" ht="13.5" customHeight="1">
      <c r="A29" s="23" t="s">
        <v>246</v>
      </c>
      <c r="B29" s="24">
        <v>1138134</v>
      </c>
      <c r="C29" s="24">
        <v>0</v>
      </c>
      <c r="D29" s="24">
        <v>67751</v>
      </c>
      <c r="E29" s="24">
        <v>54164</v>
      </c>
      <c r="F29" s="24">
        <f>-Data!M28-Data!N28</f>
        <v>-26000</v>
      </c>
      <c r="G29" s="24">
        <f t="shared" si="0"/>
        <v>1234049</v>
      </c>
      <c r="H29" s="472">
        <v>1234049</v>
      </c>
      <c r="I29" s="1">
        <f t="shared" si="1"/>
        <v>0</v>
      </c>
    </row>
    <row r="30" spans="1:9" ht="13.5" customHeight="1">
      <c r="A30" s="357" t="s">
        <v>247</v>
      </c>
      <c r="B30" s="358">
        <v>4915955</v>
      </c>
      <c r="C30" s="358">
        <v>354159</v>
      </c>
      <c r="D30" s="358">
        <v>178099</v>
      </c>
      <c r="E30" s="358">
        <v>950426</v>
      </c>
      <c r="F30" s="358">
        <f>-Data!M29-Data!N29</f>
        <v>-944035</v>
      </c>
      <c r="G30" s="358">
        <f t="shared" si="0"/>
        <v>5454604</v>
      </c>
      <c r="H30" s="471">
        <v>5454604</v>
      </c>
      <c r="I30" s="1">
        <f t="shared" si="1"/>
        <v>0</v>
      </c>
    </row>
    <row r="31" spans="1:9" ht="13.5" customHeight="1">
      <c r="A31" s="23" t="s">
        <v>248</v>
      </c>
      <c r="B31" s="24">
        <v>508470</v>
      </c>
      <c r="C31" s="24">
        <v>0</v>
      </c>
      <c r="D31" s="24">
        <v>61720</v>
      </c>
      <c r="E31" s="24">
        <v>62843</v>
      </c>
      <c r="F31" s="24">
        <f>-Data!M30-Data!N30</f>
        <v>-21500</v>
      </c>
      <c r="G31" s="24">
        <f t="shared" si="0"/>
        <v>611533</v>
      </c>
      <c r="H31" s="472">
        <v>611533</v>
      </c>
      <c r="I31" s="1">
        <f t="shared" si="1"/>
        <v>0</v>
      </c>
    </row>
    <row r="32" spans="1:9" ht="13.5" customHeight="1">
      <c r="A32" s="357" t="s">
        <v>249</v>
      </c>
      <c r="B32" s="358">
        <v>1205526</v>
      </c>
      <c r="C32" s="358">
        <v>0</v>
      </c>
      <c r="D32" s="358">
        <v>90450</v>
      </c>
      <c r="E32" s="358">
        <v>104686</v>
      </c>
      <c r="F32" s="358">
        <f>-Data!M31-Data!N31</f>
        <v>-40000</v>
      </c>
      <c r="G32" s="358">
        <f t="shared" si="0"/>
        <v>1360662</v>
      </c>
      <c r="H32" s="471">
        <v>1360662</v>
      </c>
      <c r="I32" s="1">
        <f t="shared" si="1"/>
        <v>0</v>
      </c>
    </row>
    <row r="33" spans="1:9" ht="13.5" customHeight="1">
      <c r="A33" s="23" t="s">
        <v>250</v>
      </c>
      <c r="B33" s="24">
        <v>1043595</v>
      </c>
      <c r="C33" s="24">
        <v>0</v>
      </c>
      <c r="D33" s="24">
        <v>89525</v>
      </c>
      <c r="E33" s="24">
        <v>83375</v>
      </c>
      <c r="F33" s="24">
        <f>-Data!M32-Data!N32</f>
        <v>-21500</v>
      </c>
      <c r="G33" s="24">
        <f t="shared" si="0"/>
        <v>1194995</v>
      </c>
      <c r="H33" s="472">
        <v>1194995</v>
      </c>
      <c r="I33" s="1">
        <f t="shared" si="1"/>
        <v>0</v>
      </c>
    </row>
    <row r="34" spans="1:9" ht="13.5" customHeight="1">
      <c r="A34" s="357" t="s">
        <v>251</v>
      </c>
      <c r="B34" s="358">
        <v>898500</v>
      </c>
      <c r="C34" s="358">
        <v>0</v>
      </c>
      <c r="D34" s="358">
        <v>103100</v>
      </c>
      <c r="E34" s="358">
        <v>105800</v>
      </c>
      <c r="F34" s="358">
        <f>-Data!M33-Data!N33</f>
        <v>-35000</v>
      </c>
      <c r="G34" s="358">
        <f t="shared" si="0"/>
        <v>1072400</v>
      </c>
      <c r="H34" s="471">
        <v>1072400</v>
      </c>
      <c r="I34" s="1">
        <f t="shared" si="1"/>
        <v>0</v>
      </c>
    </row>
    <row r="35" spans="1:9" ht="13.5" customHeight="1">
      <c r="A35" s="23" t="s">
        <v>252</v>
      </c>
      <c r="B35" s="24">
        <v>1029764</v>
      </c>
      <c r="C35" s="24">
        <v>6778</v>
      </c>
      <c r="D35" s="24">
        <v>91830</v>
      </c>
      <c r="E35" s="24">
        <v>64844</v>
      </c>
      <c r="F35" s="24">
        <f>-Data!M34-Data!N34</f>
        <v>-37500</v>
      </c>
      <c r="G35" s="24">
        <f t="shared" si="0"/>
        <v>1155716</v>
      </c>
      <c r="H35" s="472">
        <v>1155716</v>
      </c>
      <c r="I35" s="1">
        <f t="shared" si="1"/>
        <v>0</v>
      </c>
    </row>
    <row r="36" spans="1:9" ht="13.5" customHeight="1">
      <c r="A36" s="357" t="s">
        <v>253</v>
      </c>
      <c r="B36" s="358">
        <v>5028700</v>
      </c>
      <c r="C36" s="358">
        <v>369000</v>
      </c>
      <c r="D36" s="358">
        <v>357600</v>
      </c>
      <c r="E36" s="358">
        <v>820350</v>
      </c>
      <c r="F36" s="358">
        <f>-Data!M35-Data!N35</f>
        <v>-60000</v>
      </c>
      <c r="G36" s="358">
        <f t="shared" si="0"/>
        <v>6515650</v>
      </c>
      <c r="H36" s="471">
        <v>6515650</v>
      </c>
      <c r="I36" s="1">
        <f t="shared" si="1"/>
        <v>0</v>
      </c>
    </row>
    <row r="37" spans="1:9" ht="13.5" customHeight="1">
      <c r="A37" s="23" t="s">
        <v>254</v>
      </c>
      <c r="B37" s="24">
        <v>916195</v>
      </c>
      <c r="C37" s="24">
        <v>18630</v>
      </c>
      <c r="D37" s="24">
        <v>50625</v>
      </c>
      <c r="E37" s="24">
        <v>53250</v>
      </c>
      <c r="F37" s="24">
        <f>-Data!M36-Data!N36</f>
        <v>-30000</v>
      </c>
      <c r="G37" s="24">
        <f t="shared" si="0"/>
        <v>1008700</v>
      </c>
      <c r="H37" s="472">
        <v>1008700</v>
      </c>
      <c r="I37" s="1">
        <f t="shared" si="1"/>
        <v>0</v>
      </c>
    </row>
    <row r="38" spans="1:9" ht="13.5" customHeight="1">
      <c r="A38" s="357" t="s">
        <v>255</v>
      </c>
      <c r="B38" s="358">
        <v>1513956</v>
      </c>
      <c r="C38" s="358">
        <v>49789</v>
      </c>
      <c r="D38" s="358">
        <v>166345</v>
      </c>
      <c r="E38" s="358">
        <v>112940</v>
      </c>
      <c r="F38" s="358">
        <f>-Data!M37-Data!N37</f>
        <v>-37000</v>
      </c>
      <c r="G38" s="358">
        <f t="shared" si="0"/>
        <v>1806030</v>
      </c>
      <c r="H38" s="471">
        <v>1806030</v>
      </c>
      <c r="I38" s="1">
        <f t="shared" si="1"/>
        <v>0</v>
      </c>
    </row>
    <row r="39" spans="1:9" ht="13.5" customHeight="1">
      <c r="A39" s="23" t="s">
        <v>256</v>
      </c>
      <c r="B39" s="24">
        <v>3616840</v>
      </c>
      <c r="C39" s="24">
        <v>79330</v>
      </c>
      <c r="D39" s="24">
        <v>286110</v>
      </c>
      <c r="E39" s="24">
        <v>566420</v>
      </c>
      <c r="F39" s="24">
        <f>-Data!M38-Data!N38</f>
        <v>-68000</v>
      </c>
      <c r="G39" s="24">
        <f t="shared" si="0"/>
        <v>4480700</v>
      </c>
      <c r="H39" s="472">
        <v>4480700</v>
      </c>
      <c r="I39" s="1">
        <f t="shared" si="1"/>
        <v>0</v>
      </c>
    </row>
    <row r="40" spans="1:9" ht="13.5" customHeight="1">
      <c r="A40" s="357" t="s">
        <v>257</v>
      </c>
      <c r="B40" s="358">
        <v>831580</v>
      </c>
      <c r="C40" s="358">
        <v>0</v>
      </c>
      <c r="D40" s="358">
        <v>72600</v>
      </c>
      <c r="E40" s="358">
        <v>77300</v>
      </c>
      <c r="F40" s="358">
        <f>-Data!M39-Data!N39</f>
        <v>-27800</v>
      </c>
      <c r="G40" s="358">
        <f t="shared" si="0"/>
        <v>953680</v>
      </c>
      <c r="H40" s="471">
        <v>953680</v>
      </c>
      <c r="I40" s="1">
        <f t="shared" si="1"/>
        <v>0</v>
      </c>
    </row>
    <row r="41" spans="1:9" ht="13.5" customHeight="1">
      <c r="A41" s="23" t="s">
        <v>258</v>
      </c>
      <c r="B41" s="24">
        <v>3564313</v>
      </c>
      <c r="C41" s="24">
        <v>0</v>
      </c>
      <c r="D41" s="24">
        <v>127421</v>
      </c>
      <c r="E41" s="24">
        <v>457413</v>
      </c>
      <c r="F41" s="24">
        <f>-Data!M40-Data!N40</f>
        <v>-313626</v>
      </c>
      <c r="G41" s="24">
        <f t="shared" si="0"/>
        <v>3835521</v>
      </c>
      <c r="H41" s="472">
        <v>3835521</v>
      </c>
      <c r="I41" s="1">
        <f t="shared" si="1"/>
        <v>0</v>
      </c>
    </row>
    <row r="42" spans="1:9" ht="13.5" customHeight="1">
      <c r="A42" s="357" t="s">
        <v>259</v>
      </c>
      <c r="B42" s="358">
        <v>1988157</v>
      </c>
      <c r="C42" s="358">
        <v>41210</v>
      </c>
      <c r="D42" s="358">
        <v>291566</v>
      </c>
      <c r="E42" s="358">
        <v>160524</v>
      </c>
      <c r="F42" s="358">
        <f>-Data!M41-Data!N41</f>
        <v>-55000</v>
      </c>
      <c r="G42" s="358">
        <f t="shared" si="0"/>
        <v>2426457</v>
      </c>
      <c r="H42" s="471">
        <v>2426457</v>
      </c>
      <c r="I42" s="1">
        <f t="shared" si="1"/>
        <v>0</v>
      </c>
    </row>
    <row r="43" spans="1:9" ht="13.5" customHeight="1">
      <c r="A43" s="23" t="s">
        <v>260</v>
      </c>
      <c r="B43" s="24">
        <v>814911</v>
      </c>
      <c r="C43" s="24">
        <v>0</v>
      </c>
      <c r="D43" s="24">
        <v>94480</v>
      </c>
      <c r="E43" s="24">
        <v>52454</v>
      </c>
      <c r="F43" s="24">
        <f>-Data!M42-Data!N42</f>
        <v>-30553</v>
      </c>
      <c r="G43" s="24">
        <f t="shared" si="0"/>
        <v>931292</v>
      </c>
      <c r="H43" s="472">
        <v>931292</v>
      </c>
      <c r="I43" s="1">
        <f t="shared" si="1"/>
        <v>0</v>
      </c>
    </row>
    <row r="44" spans="1:9" ht="13.5" customHeight="1">
      <c r="A44" s="357" t="s">
        <v>261</v>
      </c>
      <c r="B44" s="358">
        <v>531020</v>
      </c>
      <c r="C44" s="358">
        <v>0</v>
      </c>
      <c r="D44" s="358">
        <v>7973</v>
      </c>
      <c r="E44" s="358">
        <v>15665</v>
      </c>
      <c r="F44" s="358">
        <f>-Data!M43-Data!N43</f>
        <v>-18600</v>
      </c>
      <c r="G44" s="358">
        <f t="shared" si="0"/>
        <v>536058</v>
      </c>
      <c r="H44" s="471">
        <v>536058</v>
      </c>
      <c r="I44" s="1">
        <f t="shared" si="1"/>
        <v>0</v>
      </c>
    </row>
    <row r="45" spans="1:9" ht="13.5" customHeight="1">
      <c r="A45" s="23" t="s">
        <v>262</v>
      </c>
      <c r="B45" s="24">
        <v>392391</v>
      </c>
      <c r="C45" s="24">
        <v>0</v>
      </c>
      <c r="D45" s="24">
        <v>30629</v>
      </c>
      <c r="E45" s="24">
        <v>30629</v>
      </c>
      <c r="F45" s="24">
        <f>-Data!M44-Data!N44</f>
        <v>-14000</v>
      </c>
      <c r="G45" s="24">
        <f t="shared" si="0"/>
        <v>439649</v>
      </c>
      <c r="H45" s="472">
        <v>439649</v>
      </c>
      <c r="I45" s="1">
        <f t="shared" si="1"/>
        <v>0</v>
      </c>
    </row>
    <row r="46" spans="1:9" ht="13.5" customHeight="1">
      <c r="A46" s="357" t="s">
        <v>263</v>
      </c>
      <c r="B46" s="358">
        <v>696911</v>
      </c>
      <c r="C46" s="358">
        <v>0</v>
      </c>
      <c r="D46" s="358">
        <v>47227</v>
      </c>
      <c r="E46" s="358">
        <v>51827</v>
      </c>
      <c r="F46" s="358">
        <f>-Data!M45-Data!N45</f>
        <v>-16500</v>
      </c>
      <c r="G46" s="358">
        <f t="shared" si="0"/>
        <v>779465</v>
      </c>
      <c r="H46" s="471">
        <v>779465</v>
      </c>
      <c r="I46" s="1">
        <f t="shared" si="1"/>
        <v>0</v>
      </c>
    </row>
    <row r="47" spans="1:9" ht="13.5" customHeight="1">
      <c r="A47" s="23" t="s">
        <v>264</v>
      </c>
      <c r="B47" s="24">
        <v>10417500</v>
      </c>
      <c r="C47" s="24">
        <v>237200</v>
      </c>
      <c r="D47" s="24">
        <v>274000</v>
      </c>
      <c r="E47" s="24">
        <v>1050500</v>
      </c>
      <c r="F47" s="24">
        <f>-Data!M46-Data!N46</f>
        <v>0</v>
      </c>
      <c r="G47" s="24">
        <f t="shared" si="0"/>
        <v>11979200</v>
      </c>
      <c r="H47" s="472">
        <v>11979200</v>
      </c>
      <c r="I47" s="1">
        <f t="shared" si="1"/>
        <v>0</v>
      </c>
    </row>
    <row r="48" spans="1:9" ht="5.0999999999999996" customHeight="1">
      <c r="A48"/>
      <c r="B48"/>
      <c r="C48"/>
      <c r="D48"/>
      <c r="E48"/>
      <c r="F48"/>
      <c r="G48"/>
      <c r="H48" s="473"/>
    </row>
    <row r="49" spans="1:9" ht="13.5" customHeight="1">
      <c r="A49" s="360" t="s">
        <v>265</v>
      </c>
      <c r="B49" s="361">
        <f t="shared" ref="B49:H49" si="2">SUM(B12:B47)</f>
        <v>64751681</v>
      </c>
      <c r="C49" s="361">
        <f t="shared" si="2"/>
        <v>1225144</v>
      </c>
      <c r="D49" s="361">
        <f t="shared" si="2"/>
        <v>4216038</v>
      </c>
      <c r="E49" s="361">
        <f t="shared" si="2"/>
        <v>7373164</v>
      </c>
      <c r="F49" s="361">
        <f t="shared" si="2"/>
        <v>-2822493</v>
      </c>
      <c r="G49" s="361">
        <f t="shared" si="2"/>
        <v>74743534</v>
      </c>
      <c r="H49" s="474">
        <f t="shared" si="2"/>
        <v>74743534</v>
      </c>
      <c r="I49" s="1">
        <f t="shared" si="1"/>
        <v>0</v>
      </c>
    </row>
    <row r="50" spans="1:9" ht="5.0999999999999996" customHeight="1">
      <c r="A50" s="25" t="s">
        <v>3</v>
      </c>
      <c r="B50" s="26"/>
      <c r="C50" s="26"/>
      <c r="D50" s="26"/>
      <c r="E50" s="26"/>
      <c r="F50" s="26"/>
      <c r="G50" s="26"/>
      <c r="H50" s="475"/>
    </row>
    <row r="51" spans="1:9" ht="13.5" customHeight="1">
      <c r="A51" s="23" t="s">
        <v>266</v>
      </c>
      <c r="B51" s="24">
        <v>147606</v>
      </c>
      <c r="C51" s="24">
        <v>0</v>
      </c>
      <c r="D51" s="24">
        <v>0</v>
      </c>
      <c r="E51" s="24">
        <v>12520</v>
      </c>
      <c r="F51" s="24">
        <f>-Data!M51-Data!N51</f>
        <v>-10850</v>
      </c>
      <c r="G51" s="24">
        <f>SUM(B51:F51)</f>
        <v>149276</v>
      </c>
      <c r="H51" s="472">
        <v>149276</v>
      </c>
    </row>
    <row r="52" spans="1:9" ht="13.5" customHeight="1">
      <c r="A52" s="511" t="s">
        <v>691</v>
      </c>
      <c r="B52" s="358"/>
      <c r="C52" s="358"/>
      <c r="D52" s="358"/>
      <c r="E52" s="358"/>
      <c r="F52" s="358"/>
      <c r="G52" s="358"/>
      <c r="H52" s="471"/>
      <c r="I52" s="1">
        <f>G52-H52</f>
        <v>0</v>
      </c>
    </row>
    <row r="53" spans="1:9" ht="49.5" customHeight="1">
      <c r="A53" s="27"/>
      <c r="B53" s="27"/>
      <c r="C53" s="27"/>
      <c r="D53" s="27"/>
      <c r="E53" s="27"/>
      <c r="F53" s="27"/>
      <c r="G53" s="27"/>
    </row>
    <row r="54" spans="1:9" ht="14.45" customHeight="1">
      <c r="A54" s="298" t="s">
        <v>576</v>
      </c>
      <c r="B54" s="303"/>
      <c r="C54" s="303"/>
      <c r="D54" s="303"/>
      <c r="E54" s="303"/>
      <c r="F54" s="303"/>
      <c r="G54" s="303"/>
    </row>
    <row r="55" spans="1:9" ht="12" customHeight="1">
      <c r="A55" s="298" t="s">
        <v>416</v>
      </c>
      <c r="B55" s="303"/>
      <c r="C55" s="303"/>
      <c r="D55" s="303"/>
      <c r="E55" s="303"/>
      <c r="F55" s="303"/>
      <c r="G55" s="303"/>
    </row>
    <row r="56" spans="1:9" ht="12" customHeight="1">
      <c r="A56" s="158" t="s">
        <v>686</v>
      </c>
      <c r="B56" s="39"/>
      <c r="C56" s="39"/>
      <c r="D56" s="39"/>
    </row>
    <row r="57" spans="1:9" ht="12" customHeight="1">
      <c r="A57" s="158" t="s">
        <v>687</v>
      </c>
      <c r="B57" s="39"/>
      <c r="C57" s="39"/>
      <c r="D57" s="39"/>
    </row>
    <row r="58" spans="1:9" ht="12" customHeight="1">
      <c r="A58" s="158" t="s">
        <v>688</v>
      </c>
      <c r="B58" s="39"/>
      <c r="C58" s="39"/>
      <c r="D58" s="39"/>
    </row>
    <row r="59" spans="1:9" ht="12" customHeight="1">
      <c r="A59" s="158" t="s">
        <v>690</v>
      </c>
      <c r="B59" s="39"/>
      <c r="C59" s="39"/>
      <c r="D59" s="39"/>
    </row>
    <row r="60" spans="1:9" ht="12" customHeight="1">
      <c r="A60" s="158" t="s">
        <v>689</v>
      </c>
      <c r="B60" s="39"/>
      <c r="C60" s="39"/>
      <c r="D60" s="39"/>
    </row>
    <row r="61" spans="1:9" ht="12" customHeight="1">
      <c r="A61" s="298" t="s">
        <v>573</v>
      </c>
      <c r="B61" s="39"/>
      <c r="C61" s="39"/>
      <c r="D61" s="39"/>
    </row>
    <row r="62" spans="1:9" ht="12" customHeight="1">
      <c r="A62" s="298" t="s">
        <v>645</v>
      </c>
    </row>
    <row r="63" spans="1:9" ht="12" customHeight="1">
      <c r="A63" s="298" t="s">
        <v>574</v>
      </c>
    </row>
    <row r="64" spans="1:9" ht="12" customHeight="1">
      <c r="A64" s="298" t="s">
        <v>575</v>
      </c>
    </row>
    <row r="66" spans="3:3" ht="15">
      <c r="C66" s="634"/>
    </row>
  </sheetData>
  <phoneticPr fontId="0" type="noConversion"/>
  <printOptions horizontalCentered="1"/>
  <pageMargins left="0.51181102362204722" right="0.51181102362204722" top="0.59055118110236227" bottom="0" header="0.31496062992125984" footer="0"/>
  <pageSetup scale="85" orientation="portrait" r:id="rId1"/>
  <headerFooter alignWithMargins="0">
    <oddHeader>&amp;C&amp;"Arial,Bold"&amp;10&amp;A</oddHeader>
  </headerFooter>
</worksheet>
</file>

<file path=xl/worksheets/sheet51.xml><?xml version="1.0" encoding="utf-8"?>
<worksheet xmlns="http://schemas.openxmlformats.org/spreadsheetml/2006/main" xmlns:r="http://schemas.openxmlformats.org/officeDocument/2006/relationships">
  <sheetPr codeName="Sheet6111">
    <pageSetUpPr fitToPage="1"/>
  </sheetPr>
  <dimension ref="A1:J60"/>
  <sheetViews>
    <sheetView showGridLines="0" showZeros="0" workbookViewId="0"/>
  </sheetViews>
  <sheetFormatPr defaultColWidth="14.83203125" defaultRowHeight="12"/>
  <cols>
    <col min="1" max="1" width="26.83203125" style="1" customWidth="1"/>
    <col min="2" max="2" width="16.83203125" style="1" customWidth="1"/>
    <col min="3" max="3" width="17.83203125" style="1" customWidth="1"/>
    <col min="4" max="4" width="18.83203125" style="1" customWidth="1"/>
    <col min="5" max="5" width="16.83203125" style="1" customWidth="1"/>
    <col min="6" max="7" width="18.83203125" style="1" customWidth="1"/>
    <col min="8" max="9" width="0" style="1" hidden="1" customWidth="1"/>
    <col min="10" max="16384" width="14.83203125" style="1"/>
  </cols>
  <sheetData>
    <row r="1" spans="1:10" ht="6.95" customHeight="1">
      <c r="A1" s="3"/>
      <c r="B1" s="4"/>
      <c r="C1" s="4"/>
      <c r="D1" s="4"/>
    </row>
    <row r="2" spans="1:10" ht="20.100000000000001" customHeight="1">
      <c r="A2" s="285"/>
      <c r="B2" s="285" t="str">
        <f>"ADMINISTRATION EXPENSES "&amp;YEAR&amp;"/"&amp;YEAR+1&amp;" BUDGET"</f>
        <v>ADMINISTRATION EXPENSES 2014/2015 BUDGET</v>
      </c>
      <c r="C2" s="514"/>
      <c r="D2" s="514"/>
      <c r="E2" s="514"/>
      <c r="F2" s="514"/>
      <c r="G2" s="516" t="s">
        <v>370</v>
      </c>
    </row>
    <row r="3" spans="1:10" ht="20.100000000000001" customHeight="1">
      <c r="A3" s="5"/>
      <c r="B3" s="286"/>
      <c r="C3" s="287"/>
      <c r="D3" s="287"/>
      <c r="E3" s="287"/>
      <c r="F3" s="287"/>
      <c r="G3" s="288"/>
    </row>
    <row r="4" spans="1:10" ht="15.95" customHeight="1">
      <c r="A4" s="289"/>
      <c r="B4" s="290" t="s">
        <v>373</v>
      </c>
      <c r="C4" s="291"/>
      <c r="D4" s="291"/>
      <c r="E4" s="291"/>
      <c r="F4" s="291"/>
      <c r="G4" s="292"/>
    </row>
    <row r="5" spans="1:10" ht="14.1" customHeight="1">
      <c r="A5" s="293"/>
      <c r="B5" s="294"/>
      <c r="C5" s="294"/>
      <c r="D5" s="294"/>
      <c r="E5" s="294"/>
      <c r="F5" s="294"/>
      <c r="G5" s="294"/>
    </row>
    <row r="6" spans="1:10" ht="14.1" customHeight="1">
      <c r="A6" s="293"/>
      <c r="B6" s="276"/>
      <c r="C6" s="276"/>
      <c r="D6" s="276"/>
      <c r="E6" s="276"/>
      <c r="F6" s="276"/>
      <c r="G6" s="276" t="s">
        <v>54</v>
      </c>
    </row>
    <row r="7" spans="1:10" ht="14.1" customHeight="1">
      <c r="A7" s="293"/>
      <c r="B7" s="295"/>
      <c r="C7" s="141"/>
      <c r="D7" s="295"/>
      <c r="E7" s="295"/>
      <c r="F7" s="295"/>
      <c r="G7" s="295" t="s">
        <v>323</v>
      </c>
    </row>
    <row r="8" spans="1:10" ht="14.1" customHeight="1">
      <c r="A8" s="293"/>
      <c r="B8" s="295" t="s">
        <v>54</v>
      </c>
      <c r="C8" s="295" t="s">
        <v>326</v>
      </c>
      <c r="D8" s="295" t="s">
        <v>329</v>
      </c>
      <c r="E8" s="295"/>
      <c r="F8" s="295" t="s">
        <v>54</v>
      </c>
      <c r="G8" s="296" t="s">
        <v>272</v>
      </c>
    </row>
    <row r="9" spans="1:10" ht="14.1" customHeight="1">
      <c r="A9" s="293"/>
      <c r="B9" s="295" t="s">
        <v>108</v>
      </c>
      <c r="C9" s="295" t="s">
        <v>95</v>
      </c>
      <c r="D9" s="295" t="s">
        <v>330</v>
      </c>
      <c r="E9" s="295" t="s">
        <v>371</v>
      </c>
      <c r="F9" s="295" t="s">
        <v>323</v>
      </c>
      <c r="G9" s="295" t="s">
        <v>328</v>
      </c>
    </row>
    <row r="10" spans="1:10" ht="14.1" customHeight="1">
      <c r="A10" s="17"/>
      <c r="B10" s="296" t="s">
        <v>272</v>
      </c>
      <c r="C10" s="295" t="s">
        <v>327</v>
      </c>
      <c r="D10" s="296" t="s">
        <v>325</v>
      </c>
      <c r="E10" s="296" t="s">
        <v>188</v>
      </c>
      <c r="F10" s="296" t="s">
        <v>272</v>
      </c>
      <c r="G10" s="296" t="s">
        <v>188</v>
      </c>
    </row>
    <row r="11" spans="1:10" ht="14.1" customHeight="1">
      <c r="A11" s="19" t="s">
        <v>81</v>
      </c>
      <c r="B11" s="297" t="s">
        <v>372</v>
      </c>
      <c r="C11" s="297" t="s">
        <v>131</v>
      </c>
      <c r="D11" s="297" t="s">
        <v>404</v>
      </c>
      <c r="E11" s="297" t="s">
        <v>117</v>
      </c>
      <c r="F11" s="297" t="s">
        <v>530</v>
      </c>
      <c r="G11" s="297" t="s">
        <v>117</v>
      </c>
    </row>
    <row r="12" spans="1:10" ht="5.0999999999999996" customHeight="1">
      <c r="A12" s="22"/>
      <c r="C12" s="270"/>
      <c r="D12" s="245"/>
      <c r="E12" s="3"/>
    </row>
    <row r="13" spans="1:10" ht="14.1" customHeight="1">
      <c r="A13" s="357" t="s">
        <v>230</v>
      </c>
      <c r="B13" s="358">
        <f>'- 3 -'!B11</f>
        <v>17441454</v>
      </c>
      <c r="C13" s="358">
        <v>135000</v>
      </c>
      <c r="D13" s="358">
        <v>0</v>
      </c>
      <c r="E13" s="358">
        <f>SUM(B13:D13)</f>
        <v>17576454</v>
      </c>
      <c r="F13" s="358">
        <f>'- 57 -'!G12</f>
        <v>742670</v>
      </c>
      <c r="G13" s="359">
        <f>F13/E13*100</f>
        <v>4.2253687803011921</v>
      </c>
      <c r="H13" s="484">
        <v>4.2253687803011919E-2</v>
      </c>
      <c r="I13" s="471">
        <v>17576454</v>
      </c>
      <c r="J13" s="1">
        <f>I13-E13</f>
        <v>0</v>
      </c>
    </row>
    <row r="14" spans="1:10" ht="14.1" customHeight="1">
      <c r="A14" s="23" t="s">
        <v>231</v>
      </c>
      <c r="B14" s="24">
        <f>'- 3 -'!B12</f>
        <v>31793145</v>
      </c>
      <c r="C14" s="24">
        <v>286436</v>
      </c>
      <c r="D14" s="24">
        <v>-532399</v>
      </c>
      <c r="E14" s="24">
        <f t="shared" ref="E14:E48" si="0">SUM(B14:D14)</f>
        <v>31547182</v>
      </c>
      <c r="F14" s="24">
        <f>'- 57 -'!G13</f>
        <v>1204362</v>
      </c>
      <c r="G14" s="350">
        <f>F14/E14*100</f>
        <v>3.8176531900694011</v>
      </c>
      <c r="H14" s="485">
        <v>3.8176531900694012E-2</v>
      </c>
      <c r="I14" s="472">
        <v>31547182</v>
      </c>
      <c r="J14" s="1">
        <f t="shared" ref="J14:J52" si="1">I14-E14</f>
        <v>0</v>
      </c>
    </row>
    <row r="15" spans="1:10" ht="14.1" customHeight="1">
      <c r="A15" s="357" t="s">
        <v>232</v>
      </c>
      <c r="B15" s="358">
        <f>'- 3 -'!B13</f>
        <v>89398700</v>
      </c>
      <c r="C15" s="358">
        <v>254500</v>
      </c>
      <c r="D15" s="358">
        <v>0</v>
      </c>
      <c r="E15" s="358">
        <f t="shared" si="0"/>
        <v>89653200</v>
      </c>
      <c r="F15" s="358">
        <f>'- 57 -'!G14</f>
        <v>3211600</v>
      </c>
      <c r="G15" s="359">
        <f>F15/E15*100</f>
        <v>3.5822480402261156</v>
      </c>
      <c r="H15" s="484">
        <v>3.5822480402261159E-2</v>
      </c>
      <c r="I15" s="471">
        <v>89653200</v>
      </c>
      <c r="J15" s="1">
        <f t="shared" si="1"/>
        <v>0</v>
      </c>
    </row>
    <row r="16" spans="1:10" ht="14.1" customHeight="1">
      <c r="A16" s="23" t="s">
        <v>566</v>
      </c>
      <c r="B16" s="24"/>
      <c r="C16" s="24"/>
      <c r="D16" s="24"/>
      <c r="E16" s="24"/>
      <c r="F16" s="24"/>
      <c r="G16" s="480" t="s">
        <v>184</v>
      </c>
      <c r="H16" s="486"/>
      <c r="I16" s="472"/>
      <c r="J16" s="1">
        <f t="shared" si="1"/>
        <v>0</v>
      </c>
    </row>
    <row r="17" spans="1:10" ht="14.1" customHeight="1">
      <c r="A17" s="357" t="s">
        <v>233</v>
      </c>
      <c r="B17" s="358">
        <f>'- 3 -'!B15</f>
        <v>19876602</v>
      </c>
      <c r="C17" s="358">
        <v>335497</v>
      </c>
      <c r="D17" s="358">
        <v>0</v>
      </c>
      <c r="E17" s="358">
        <f t="shared" si="0"/>
        <v>20212099</v>
      </c>
      <c r="F17" s="358">
        <f>'- 57 -'!G16</f>
        <v>888200</v>
      </c>
      <c r="G17" s="359">
        <f>F17/E17*100</f>
        <v>4.3943976328237859</v>
      </c>
      <c r="H17" s="484">
        <v>4.3943976328237856E-2</v>
      </c>
      <c r="I17" s="471">
        <v>20212099</v>
      </c>
      <c r="J17" s="1">
        <f t="shared" si="1"/>
        <v>0</v>
      </c>
    </row>
    <row r="18" spans="1:10" ht="14.1" customHeight="1">
      <c r="A18" s="23" t="s">
        <v>234</v>
      </c>
      <c r="B18" s="24">
        <f>'- 3 -'!B16</f>
        <v>13481584</v>
      </c>
      <c r="C18" s="24">
        <v>240000</v>
      </c>
      <c r="D18" s="24">
        <v>-97942</v>
      </c>
      <c r="E18" s="24">
        <f t="shared" si="0"/>
        <v>13623642</v>
      </c>
      <c r="F18" s="24">
        <f>'- 57 -'!G17</f>
        <v>724514</v>
      </c>
      <c r="G18" s="350">
        <f>F18/E18*100</f>
        <v>5.3180639949288153</v>
      </c>
      <c r="H18" s="485">
        <v>5.3180639949288157E-2</v>
      </c>
      <c r="I18" s="472">
        <v>13623642</v>
      </c>
      <c r="J18" s="1">
        <f t="shared" si="1"/>
        <v>0</v>
      </c>
    </row>
    <row r="19" spans="1:10" ht="14.1" customHeight="1">
      <c r="A19" s="357" t="s">
        <v>235</v>
      </c>
      <c r="B19" s="358">
        <f>'- 3 -'!B17</f>
        <v>17308806</v>
      </c>
      <c r="C19" s="358">
        <v>200000</v>
      </c>
      <c r="D19" s="358">
        <v>0</v>
      </c>
      <c r="E19" s="358">
        <f t="shared" si="0"/>
        <v>17508806</v>
      </c>
      <c r="F19" s="358">
        <f>'- 57 -'!G18</f>
        <v>836450</v>
      </c>
      <c r="G19" s="359">
        <f>F19/E19*100</f>
        <v>4.7773103431496127</v>
      </c>
      <c r="H19" s="484">
        <v>4.7773103431496128E-2</v>
      </c>
      <c r="I19" s="471">
        <v>17508806</v>
      </c>
      <c r="J19" s="1">
        <f t="shared" si="1"/>
        <v>0</v>
      </c>
    </row>
    <row r="20" spans="1:10" ht="14.1" customHeight="1">
      <c r="A20" s="23" t="s">
        <v>236</v>
      </c>
      <c r="B20" s="24"/>
      <c r="C20" s="24"/>
      <c r="D20" s="24"/>
      <c r="E20" s="24"/>
      <c r="F20" s="24"/>
      <c r="G20" s="480" t="s">
        <v>184</v>
      </c>
      <c r="H20" s="486"/>
      <c r="I20" s="472"/>
      <c r="J20" s="1">
        <f t="shared" si="1"/>
        <v>0</v>
      </c>
    </row>
    <row r="21" spans="1:10" ht="14.1" customHeight="1">
      <c r="A21" s="357" t="s">
        <v>237</v>
      </c>
      <c r="B21" s="358">
        <f>'- 3 -'!B19</f>
        <v>43747720</v>
      </c>
      <c r="C21" s="358">
        <v>1246900</v>
      </c>
      <c r="D21" s="358">
        <v>0</v>
      </c>
      <c r="E21" s="358">
        <f t="shared" si="0"/>
        <v>44994620</v>
      </c>
      <c r="F21" s="358">
        <f>'- 57 -'!G20</f>
        <v>1814895</v>
      </c>
      <c r="G21" s="359">
        <f t="shared" ref="G21:G48" si="2">F21/E21*100</f>
        <v>4.033582237165243</v>
      </c>
      <c r="H21" s="484">
        <v>4.0335822371652431E-2</v>
      </c>
      <c r="I21" s="471">
        <v>44994620</v>
      </c>
      <c r="J21" s="1">
        <f t="shared" si="1"/>
        <v>0</v>
      </c>
    </row>
    <row r="22" spans="1:10" ht="14.1" customHeight="1">
      <c r="A22" s="23" t="s">
        <v>238</v>
      </c>
      <c r="B22" s="24">
        <f>'- 3 -'!B20</f>
        <v>76784400</v>
      </c>
      <c r="C22" s="24">
        <v>1839700</v>
      </c>
      <c r="D22" s="24">
        <v>0</v>
      </c>
      <c r="E22" s="24">
        <f t="shared" si="0"/>
        <v>78624100</v>
      </c>
      <c r="F22" s="24">
        <f>'- 57 -'!G21</f>
        <v>2697700</v>
      </c>
      <c r="G22" s="350">
        <f t="shared" si="2"/>
        <v>3.4311362546598305</v>
      </c>
      <c r="H22" s="485">
        <v>3.4311362546598306E-2</v>
      </c>
      <c r="I22" s="472">
        <v>78624100</v>
      </c>
      <c r="J22" s="1">
        <f t="shared" si="1"/>
        <v>0</v>
      </c>
    </row>
    <row r="23" spans="1:10" ht="14.1" customHeight="1">
      <c r="A23" s="357" t="s">
        <v>239</v>
      </c>
      <c r="B23" s="358">
        <f>'- 3 -'!B21</f>
        <v>34826000</v>
      </c>
      <c r="C23" s="358">
        <v>250000</v>
      </c>
      <c r="D23" s="358">
        <v>0</v>
      </c>
      <c r="E23" s="358">
        <f t="shared" si="0"/>
        <v>35076000</v>
      </c>
      <c r="F23" s="358">
        <f>'- 57 -'!G22</f>
        <v>1560000</v>
      </c>
      <c r="G23" s="359">
        <f t="shared" si="2"/>
        <v>4.447485460143688</v>
      </c>
      <c r="H23" s="484">
        <v>4.4474854601436881E-2</v>
      </c>
      <c r="I23" s="471">
        <v>35076000</v>
      </c>
      <c r="J23" s="1">
        <f t="shared" si="1"/>
        <v>0</v>
      </c>
    </row>
    <row r="24" spans="1:10" ht="14.1" customHeight="1">
      <c r="A24" s="23" t="s">
        <v>240</v>
      </c>
      <c r="B24" s="24">
        <f>'- 3 -'!B22</f>
        <v>19421049</v>
      </c>
      <c r="C24" s="24">
        <v>165000</v>
      </c>
      <c r="D24" s="24">
        <v>-613290</v>
      </c>
      <c r="E24" s="24">
        <f t="shared" si="0"/>
        <v>18972759</v>
      </c>
      <c r="F24" s="24">
        <f>'- 57 -'!G23</f>
        <v>950625</v>
      </c>
      <c r="G24" s="350">
        <f t="shared" si="2"/>
        <v>5.0104731736696806</v>
      </c>
      <c r="H24" s="485">
        <v>5.0104731736696807E-2</v>
      </c>
      <c r="I24" s="472">
        <v>18972759</v>
      </c>
      <c r="J24" s="1">
        <f t="shared" si="1"/>
        <v>0</v>
      </c>
    </row>
    <row r="25" spans="1:10" ht="14.1" customHeight="1">
      <c r="A25" s="357" t="s">
        <v>241</v>
      </c>
      <c r="B25" s="358">
        <f>'- 3 -'!B23</f>
        <v>16329980</v>
      </c>
      <c r="C25" s="358">
        <v>200000</v>
      </c>
      <c r="D25" s="358">
        <v>-230000</v>
      </c>
      <c r="E25" s="358">
        <f t="shared" si="0"/>
        <v>16299980</v>
      </c>
      <c r="F25" s="358">
        <f>'- 57 -'!G24</f>
        <v>715800</v>
      </c>
      <c r="G25" s="359">
        <f t="shared" si="2"/>
        <v>4.3914164311858048</v>
      </c>
      <c r="H25" s="484">
        <v>4.3914164311858052E-2</v>
      </c>
      <c r="I25" s="471">
        <v>16299980</v>
      </c>
      <c r="J25" s="1">
        <f t="shared" si="1"/>
        <v>0</v>
      </c>
    </row>
    <row r="26" spans="1:10" ht="14.1" customHeight="1">
      <c r="A26" s="23" t="s">
        <v>242</v>
      </c>
      <c r="B26" s="24">
        <f>'- 3 -'!B24</f>
        <v>54564177</v>
      </c>
      <c r="C26" s="24">
        <v>485035</v>
      </c>
      <c r="D26" s="24">
        <v>-329670</v>
      </c>
      <c r="E26" s="24">
        <f t="shared" si="0"/>
        <v>54719542</v>
      </c>
      <c r="F26" s="24">
        <f>'- 57 -'!G25</f>
        <v>2283810</v>
      </c>
      <c r="G26" s="350">
        <f t="shared" si="2"/>
        <v>4.1736643190471145</v>
      </c>
      <c r="H26" s="485">
        <v>4.173664319047115E-2</v>
      </c>
      <c r="I26" s="472">
        <v>54719542</v>
      </c>
      <c r="J26" s="1">
        <f t="shared" si="1"/>
        <v>0</v>
      </c>
    </row>
    <row r="27" spans="1:10" ht="14.1" customHeight="1">
      <c r="A27" s="357" t="s">
        <v>243</v>
      </c>
      <c r="B27" s="358">
        <f>'- 3 -'!B25</f>
        <v>160190478</v>
      </c>
      <c r="C27" s="358">
        <v>1022055</v>
      </c>
      <c r="D27" s="358">
        <v>0</v>
      </c>
      <c r="E27" s="358">
        <f t="shared" si="0"/>
        <v>161212533</v>
      </c>
      <c r="F27" s="358">
        <f>'- 57 -'!G26</f>
        <v>5836077</v>
      </c>
      <c r="G27" s="359">
        <f t="shared" si="2"/>
        <v>3.6201137041870064</v>
      </c>
      <c r="H27" s="484">
        <v>3.6201137041870064E-2</v>
      </c>
      <c r="I27" s="471">
        <v>161212533</v>
      </c>
      <c r="J27" s="1">
        <f t="shared" si="1"/>
        <v>0</v>
      </c>
    </row>
    <row r="28" spans="1:10" ht="14.1" customHeight="1">
      <c r="A28" s="23" t="s">
        <v>244</v>
      </c>
      <c r="B28" s="24">
        <f>'- 3 -'!B26</f>
        <v>38926248</v>
      </c>
      <c r="C28" s="24">
        <v>812972</v>
      </c>
      <c r="D28" s="24">
        <v>0</v>
      </c>
      <c r="E28" s="24">
        <f t="shared" si="0"/>
        <v>39739220</v>
      </c>
      <c r="F28" s="24">
        <f>'- 57 -'!G27</f>
        <v>1635426</v>
      </c>
      <c r="G28" s="350">
        <f t="shared" si="2"/>
        <v>4.1153953197873534</v>
      </c>
      <c r="H28" s="485">
        <v>4.1153953197873537E-2</v>
      </c>
      <c r="I28" s="472">
        <v>39739220</v>
      </c>
      <c r="J28" s="1">
        <f t="shared" si="1"/>
        <v>0</v>
      </c>
    </row>
    <row r="29" spans="1:10" ht="14.1" customHeight="1">
      <c r="A29" s="357" t="s">
        <v>245</v>
      </c>
      <c r="B29" s="358">
        <f>'- 3 -'!B27</f>
        <v>39101597</v>
      </c>
      <c r="C29" s="358">
        <v>564900</v>
      </c>
      <c r="D29" s="358">
        <v>0</v>
      </c>
      <c r="E29" s="358">
        <f t="shared" si="0"/>
        <v>39666497</v>
      </c>
      <c r="F29" s="358">
        <f>'- 57 -'!G28</f>
        <v>1865044</v>
      </c>
      <c r="G29" s="359">
        <f t="shared" si="2"/>
        <v>4.7018117077492372</v>
      </c>
      <c r="H29" s="484">
        <v>4.7018117077492372E-2</v>
      </c>
      <c r="I29" s="471">
        <v>39666497</v>
      </c>
      <c r="J29" s="1">
        <f t="shared" si="1"/>
        <v>0</v>
      </c>
    </row>
    <row r="30" spans="1:10" ht="14.1" customHeight="1">
      <c r="A30" s="23" t="s">
        <v>246</v>
      </c>
      <c r="B30" s="24">
        <f>'- 3 -'!B28</f>
        <v>27473889</v>
      </c>
      <c r="C30" s="24">
        <v>54000</v>
      </c>
      <c r="D30" s="24">
        <v>-148774</v>
      </c>
      <c r="E30" s="24">
        <f t="shared" si="0"/>
        <v>27379115</v>
      </c>
      <c r="F30" s="24">
        <f>'- 57 -'!G29</f>
        <v>1234049</v>
      </c>
      <c r="G30" s="350">
        <f t="shared" si="2"/>
        <v>4.5072640222300828</v>
      </c>
      <c r="H30" s="485">
        <v>4.5072640222300828E-2</v>
      </c>
      <c r="I30" s="472">
        <v>27379115</v>
      </c>
      <c r="J30" s="1">
        <f t="shared" si="1"/>
        <v>0</v>
      </c>
    </row>
    <row r="31" spans="1:10" ht="14.1" customHeight="1">
      <c r="A31" s="357" t="s">
        <v>247</v>
      </c>
      <c r="B31" s="358">
        <f>'- 3 -'!B29</f>
        <v>149097748</v>
      </c>
      <c r="C31" s="358">
        <v>1143500</v>
      </c>
      <c r="D31" s="358">
        <v>0</v>
      </c>
      <c r="E31" s="358">
        <f t="shared" si="0"/>
        <v>150241248</v>
      </c>
      <c r="F31" s="358">
        <f>'- 57 -'!G30</f>
        <v>5454604</v>
      </c>
      <c r="G31" s="359">
        <f t="shared" si="2"/>
        <v>3.6305635586839644</v>
      </c>
      <c r="H31" s="484">
        <v>3.6305635586839642E-2</v>
      </c>
      <c r="I31" s="471">
        <v>150241248</v>
      </c>
      <c r="J31" s="1">
        <f t="shared" si="1"/>
        <v>0</v>
      </c>
    </row>
    <row r="32" spans="1:10" ht="14.1" customHeight="1">
      <c r="A32" s="23" t="s">
        <v>248</v>
      </c>
      <c r="B32" s="24">
        <f>'- 3 -'!B30</f>
        <v>13425105</v>
      </c>
      <c r="C32" s="24">
        <v>180000</v>
      </c>
      <c r="D32" s="24">
        <v>0</v>
      </c>
      <c r="E32" s="24">
        <f t="shared" si="0"/>
        <v>13605105</v>
      </c>
      <c r="F32" s="24">
        <f>'- 57 -'!G31</f>
        <v>611533</v>
      </c>
      <c r="G32" s="350">
        <f t="shared" si="2"/>
        <v>4.4948789443374384</v>
      </c>
      <c r="H32" s="485">
        <v>4.4948789443374382E-2</v>
      </c>
      <c r="I32" s="472">
        <v>13605105</v>
      </c>
      <c r="J32" s="1">
        <f t="shared" si="1"/>
        <v>0</v>
      </c>
    </row>
    <row r="33" spans="1:10" ht="14.1" customHeight="1">
      <c r="A33" s="357" t="s">
        <v>249</v>
      </c>
      <c r="B33" s="358">
        <f>'- 3 -'!B31</f>
        <v>35025654</v>
      </c>
      <c r="C33" s="358">
        <v>586000</v>
      </c>
      <c r="D33" s="358">
        <v>0</v>
      </c>
      <c r="E33" s="358">
        <f t="shared" si="0"/>
        <v>35611654</v>
      </c>
      <c r="F33" s="358">
        <f>'- 57 -'!G32</f>
        <v>1360662</v>
      </c>
      <c r="G33" s="359">
        <f t="shared" si="2"/>
        <v>3.8208334833310467</v>
      </c>
      <c r="H33" s="484">
        <v>3.8208334833310466E-2</v>
      </c>
      <c r="I33" s="471">
        <v>35611654</v>
      </c>
      <c r="J33" s="1">
        <f t="shared" si="1"/>
        <v>0</v>
      </c>
    </row>
    <row r="34" spans="1:10" ht="14.1" customHeight="1">
      <c r="A34" s="23" t="s">
        <v>250</v>
      </c>
      <c r="B34" s="24">
        <f>'- 3 -'!B32</f>
        <v>26821678</v>
      </c>
      <c r="C34" s="24">
        <v>375100</v>
      </c>
      <c r="D34" s="24">
        <v>-258875</v>
      </c>
      <c r="E34" s="24">
        <f t="shared" si="0"/>
        <v>26937903</v>
      </c>
      <c r="F34" s="24">
        <f>'- 57 -'!G33</f>
        <v>1194995</v>
      </c>
      <c r="G34" s="350">
        <f t="shared" si="2"/>
        <v>4.436109967431392</v>
      </c>
      <c r="H34" s="485">
        <v>4.4361099674313918E-2</v>
      </c>
      <c r="I34" s="472">
        <v>26937903</v>
      </c>
      <c r="J34" s="1">
        <f t="shared" si="1"/>
        <v>0</v>
      </c>
    </row>
    <row r="35" spans="1:10" ht="14.1" customHeight="1">
      <c r="A35" s="357" t="s">
        <v>251</v>
      </c>
      <c r="B35" s="358">
        <f>'- 3 -'!B33</f>
        <v>27228724</v>
      </c>
      <c r="C35" s="358">
        <v>805025</v>
      </c>
      <c r="D35" s="358">
        <v>0</v>
      </c>
      <c r="E35" s="358">
        <f t="shared" si="0"/>
        <v>28033749</v>
      </c>
      <c r="F35" s="358">
        <f>'- 57 -'!G34</f>
        <v>1072400</v>
      </c>
      <c r="G35" s="359">
        <f t="shared" si="2"/>
        <v>3.8253891764529957</v>
      </c>
      <c r="H35" s="484">
        <v>3.8253891764529958E-2</v>
      </c>
      <c r="I35" s="471">
        <v>28033749</v>
      </c>
      <c r="J35" s="1">
        <f t="shared" si="1"/>
        <v>0</v>
      </c>
    </row>
    <row r="36" spans="1:10" ht="14.1" customHeight="1">
      <c r="A36" s="23" t="s">
        <v>252</v>
      </c>
      <c r="B36" s="24">
        <f>'- 3 -'!B34</f>
        <v>26704400</v>
      </c>
      <c r="C36" s="24">
        <v>362374</v>
      </c>
      <c r="D36" s="24">
        <v>0</v>
      </c>
      <c r="E36" s="24">
        <f t="shared" si="0"/>
        <v>27066774</v>
      </c>
      <c r="F36" s="24">
        <f>'- 57 -'!G35</f>
        <v>1155716</v>
      </c>
      <c r="G36" s="350">
        <f t="shared" si="2"/>
        <v>4.2698697672652086</v>
      </c>
      <c r="H36" s="485">
        <v>4.2698697672652088E-2</v>
      </c>
      <c r="I36" s="472">
        <v>27066774</v>
      </c>
      <c r="J36" s="1">
        <f t="shared" si="1"/>
        <v>0</v>
      </c>
    </row>
    <row r="37" spans="1:10" ht="14.1" customHeight="1">
      <c r="A37" s="357" t="s">
        <v>253</v>
      </c>
      <c r="B37" s="358">
        <f>'- 3 -'!B35</f>
        <v>170490990</v>
      </c>
      <c r="C37" s="358">
        <v>1655000</v>
      </c>
      <c r="D37" s="358">
        <v>0</v>
      </c>
      <c r="E37" s="358">
        <f t="shared" si="0"/>
        <v>172145990</v>
      </c>
      <c r="F37" s="358">
        <f>'- 57 -'!G36</f>
        <v>6515650</v>
      </c>
      <c r="G37" s="359">
        <f t="shared" si="2"/>
        <v>3.7849560132071622</v>
      </c>
      <c r="H37" s="484">
        <v>3.7849560132071622E-2</v>
      </c>
      <c r="I37" s="471">
        <v>172145990</v>
      </c>
      <c r="J37" s="1">
        <f t="shared" si="1"/>
        <v>0</v>
      </c>
    </row>
    <row r="38" spans="1:10" ht="14.1" customHeight="1">
      <c r="A38" s="23" t="s">
        <v>254</v>
      </c>
      <c r="B38" s="24">
        <f>'- 3 -'!B36</f>
        <v>22399325</v>
      </c>
      <c r="C38" s="24">
        <v>340000</v>
      </c>
      <c r="D38" s="24">
        <v>0</v>
      </c>
      <c r="E38" s="24">
        <f t="shared" si="0"/>
        <v>22739325</v>
      </c>
      <c r="F38" s="24">
        <f>'- 57 -'!G37</f>
        <v>1008700</v>
      </c>
      <c r="G38" s="350">
        <f t="shared" si="2"/>
        <v>4.4359276275790949</v>
      </c>
      <c r="H38" s="485">
        <v>4.4359276275790949E-2</v>
      </c>
      <c r="I38" s="472">
        <v>22739325</v>
      </c>
      <c r="J38" s="1">
        <f t="shared" si="1"/>
        <v>0</v>
      </c>
    </row>
    <row r="39" spans="1:10" ht="14.1" customHeight="1">
      <c r="A39" s="357" t="s">
        <v>255</v>
      </c>
      <c r="B39" s="358">
        <f>'- 3 -'!B37</f>
        <v>45264000</v>
      </c>
      <c r="C39" s="358">
        <v>758000</v>
      </c>
      <c r="D39" s="358">
        <v>0</v>
      </c>
      <c r="E39" s="358">
        <f t="shared" si="0"/>
        <v>46022000</v>
      </c>
      <c r="F39" s="358">
        <f>'- 57 -'!G38</f>
        <v>1806030</v>
      </c>
      <c r="G39" s="359">
        <f t="shared" si="2"/>
        <v>3.9242753465733777</v>
      </c>
      <c r="H39" s="484">
        <v>3.9242753465733776E-2</v>
      </c>
      <c r="I39" s="471">
        <v>46022000</v>
      </c>
      <c r="J39" s="1">
        <f t="shared" si="1"/>
        <v>0</v>
      </c>
    </row>
    <row r="40" spans="1:10" ht="14.1" customHeight="1">
      <c r="A40" s="23" t="s">
        <v>256</v>
      </c>
      <c r="B40" s="24">
        <f>'- 3 -'!B38</f>
        <v>123468155</v>
      </c>
      <c r="C40" s="24">
        <v>2038725</v>
      </c>
      <c r="D40" s="24">
        <v>-701730</v>
      </c>
      <c r="E40" s="24">
        <f t="shared" si="0"/>
        <v>124805150</v>
      </c>
      <c r="F40" s="24">
        <f>'- 57 -'!G39</f>
        <v>4480700</v>
      </c>
      <c r="G40" s="350">
        <f t="shared" si="2"/>
        <v>3.5901563356960833</v>
      </c>
      <c r="H40" s="485">
        <v>3.5901563356960833E-2</v>
      </c>
      <c r="I40" s="472">
        <v>124805150</v>
      </c>
      <c r="J40" s="1">
        <f t="shared" si="1"/>
        <v>0</v>
      </c>
    </row>
    <row r="41" spans="1:10" ht="14.1" customHeight="1">
      <c r="A41" s="357" t="s">
        <v>257</v>
      </c>
      <c r="B41" s="358">
        <f>'- 3 -'!B39</f>
        <v>20965072</v>
      </c>
      <c r="C41" s="358">
        <v>343500</v>
      </c>
      <c r="D41" s="358">
        <v>0</v>
      </c>
      <c r="E41" s="358">
        <f t="shared" si="0"/>
        <v>21308572</v>
      </c>
      <c r="F41" s="358">
        <f>'- 57 -'!G40</f>
        <v>953680</v>
      </c>
      <c r="G41" s="359">
        <f t="shared" si="2"/>
        <v>4.4755697378501011</v>
      </c>
      <c r="H41" s="484">
        <v>4.4755697378501012E-2</v>
      </c>
      <c r="I41" s="471">
        <v>21308572</v>
      </c>
      <c r="J41" s="1">
        <f t="shared" si="1"/>
        <v>0</v>
      </c>
    </row>
    <row r="42" spans="1:10" ht="14.1" customHeight="1">
      <c r="A42" s="23" t="s">
        <v>258</v>
      </c>
      <c r="B42" s="24">
        <f>'- 3 -'!B40</f>
        <v>99746453</v>
      </c>
      <c r="C42" s="24">
        <v>1070830</v>
      </c>
      <c r="D42" s="24">
        <v>0</v>
      </c>
      <c r="E42" s="24">
        <f t="shared" si="0"/>
        <v>100817283</v>
      </c>
      <c r="F42" s="24">
        <f>'- 57 -'!G41</f>
        <v>3835521</v>
      </c>
      <c r="G42" s="350">
        <f t="shared" si="2"/>
        <v>3.8044280562490465</v>
      </c>
      <c r="H42" s="485">
        <v>3.8044280562490464E-2</v>
      </c>
      <c r="I42" s="472">
        <v>100817283</v>
      </c>
      <c r="J42" s="1">
        <f t="shared" si="1"/>
        <v>0</v>
      </c>
    </row>
    <row r="43" spans="1:10" ht="14.1" customHeight="1">
      <c r="A43" s="357" t="s">
        <v>259</v>
      </c>
      <c r="B43" s="358">
        <f>'- 3 -'!B41</f>
        <v>60063654</v>
      </c>
      <c r="C43" s="358">
        <v>1075652</v>
      </c>
      <c r="D43" s="358">
        <v>-980175</v>
      </c>
      <c r="E43" s="358">
        <f t="shared" si="0"/>
        <v>60159131</v>
      </c>
      <c r="F43" s="358">
        <f>'- 57 -'!G42</f>
        <v>2426457</v>
      </c>
      <c r="G43" s="359">
        <f t="shared" si="2"/>
        <v>4.0333976898702213</v>
      </c>
      <c r="H43" s="484">
        <v>4.033397689870221E-2</v>
      </c>
      <c r="I43" s="471">
        <v>60159131</v>
      </c>
      <c r="J43" s="1">
        <f t="shared" si="1"/>
        <v>0</v>
      </c>
    </row>
    <row r="44" spans="1:10" ht="14.1" customHeight="1">
      <c r="A44" s="23" t="s">
        <v>260</v>
      </c>
      <c r="B44" s="24">
        <f>'- 3 -'!B42</f>
        <v>20363424</v>
      </c>
      <c r="C44" s="24">
        <v>198000</v>
      </c>
      <c r="D44" s="24">
        <v>0</v>
      </c>
      <c r="E44" s="24">
        <f t="shared" si="0"/>
        <v>20561424</v>
      </c>
      <c r="F44" s="24">
        <f>'- 57 -'!G43</f>
        <v>931292</v>
      </c>
      <c r="G44" s="350">
        <f t="shared" si="2"/>
        <v>4.5293166465513286</v>
      </c>
      <c r="H44" s="485">
        <v>4.5293166465513283E-2</v>
      </c>
      <c r="I44" s="472">
        <v>20561424</v>
      </c>
      <c r="J44" s="1">
        <f t="shared" si="1"/>
        <v>0</v>
      </c>
    </row>
    <row r="45" spans="1:10" ht="14.1" customHeight="1">
      <c r="A45" s="357" t="s">
        <v>261</v>
      </c>
      <c r="B45" s="358">
        <f>'- 3 -'!B43</f>
        <v>12469845</v>
      </c>
      <c r="C45" s="358">
        <v>212000</v>
      </c>
      <c r="D45" s="358">
        <v>-218669</v>
      </c>
      <c r="E45" s="358">
        <f t="shared" si="0"/>
        <v>12463176</v>
      </c>
      <c r="F45" s="358">
        <f>'- 57 -'!G44</f>
        <v>536058</v>
      </c>
      <c r="G45" s="359">
        <f t="shared" si="2"/>
        <v>4.3011347990271505</v>
      </c>
      <c r="H45" s="484">
        <v>4.3011347990271502E-2</v>
      </c>
      <c r="I45" s="471">
        <v>12463176</v>
      </c>
      <c r="J45" s="1">
        <f t="shared" si="1"/>
        <v>0</v>
      </c>
    </row>
    <row r="46" spans="1:10" ht="14.1" customHeight="1">
      <c r="A46" s="23" t="s">
        <v>262</v>
      </c>
      <c r="B46" s="24">
        <f>'- 3 -'!B44</f>
        <v>10954447</v>
      </c>
      <c r="C46" s="24">
        <v>100000</v>
      </c>
      <c r="D46" s="24">
        <v>0</v>
      </c>
      <c r="E46" s="24">
        <f t="shared" si="0"/>
        <v>11054447</v>
      </c>
      <c r="F46" s="24">
        <f>'- 57 -'!G45</f>
        <v>439649</v>
      </c>
      <c r="G46" s="350">
        <f t="shared" si="2"/>
        <v>3.9771234146764645</v>
      </c>
      <c r="H46" s="485">
        <v>3.9771234146764645E-2</v>
      </c>
      <c r="I46" s="472">
        <v>11054447</v>
      </c>
      <c r="J46" s="1">
        <f t="shared" si="1"/>
        <v>0</v>
      </c>
    </row>
    <row r="47" spans="1:10" ht="14.1" customHeight="1">
      <c r="A47" s="357" t="s">
        <v>263</v>
      </c>
      <c r="B47" s="358">
        <f>'- 3 -'!B45</f>
        <v>17707218</v>
      </c>
      <c r="C47" s="358">
        <v>525200</v>
      </c>
      <c r="D47" s="358">
        <v>-385499</v>
      </c>
      <c r="E47" s="358">
        <f>SUM(B47:D47)</f>
        <v>17846919</v>
      </c>
      <c r="F47" s="358">
        <f>'- 57 -'!G46</f>
        <v>779465</v>
      </c>
      <c r="G47" s="359">
        <f>F47/E47*100</f>
        <v>4.3675045535870929</v>
      </c>
      <c r="H47" s="484">
        <v>4.3675045535870927E-2</v>
      </c>
      <c r="I47" s="471">
        <v>17846919</v>
      </c>
      <c r="J47" s="1">
        <f>I47-E47</f>
        <v>0</v>
      </c>
    </row>
    <row r="48" spans="1:10" ht="14.1" customHeight="1">
      <c r="A48" s="23" t="s">
        <v>264</v>
      </c>
      <c r="B48" s="24">
        <f>'- 3 -'!B46</f>
        <v>372129000</v>
      </c>
      <c r="C48" s="24">
        <v>1912400</v>
      </c>
      <c r="D48" s="24">
        <v>-756700</v>
      </c>
      <c r="E48" s="24">
        <f t="shared" si="0"/>
        <v>373284700</v>
      </c>
      <c r="F48" s="24">
        <f>'- 57 -'!G47</f>
        <v>11979200</v>
      </c>
      <c r="G48" s="350">
        <f t="shared" si="2"/>
        <v>3.2091323325065293</v>
      </c>
      <c r="H48" s="485">
        <v>3.2091323325065292E-2</v>
      </c>
      <c r="I48" s="472">
        <v>373284700</v>
      </c>
      <c r="J48" s="1">
        <f t="shared" si="1"/>
        <v>0</v>
      </c>
    </row>
    <row r="49" spans="1:10" ht="5.0999999999999996" customHeight="1">
      <c r="A49"/>
      <c r="B49"/>
      <c r="C49"/>
      <c r="D49"/>
      <c r="E49"/>
      <c r="F49"/>
      <c r="G49"/>
      <c r="H49" s="487"/>
      <c r="I49" s="473"/>
    </row>
    <row r="50" spans="1:10" ht="14.45" customHeight="1">
      <c r="A50" s="360" t="s">
        <v>265</v>
      </c>
      <c r="B50" s="361">
        <f>SUM(B13:B48)</f>
        <v>1954990721</v>
      </c>
      <c r="C50" s="361">
        <f>SUM(C13:C48)</f>
        <v>21773301</v>
      </c>
      <c r="D50" s="361">
        <f>SUM(D13:D48)</f>
        <v>-5253723</v>
      </c>
      <c r="E50" s="361">
        <f>SUM(E13:E48)</f>
        <v>1971510299</v>
      </c>
      <c r="F50" s="361">
        <f>SUM(F13:F48)</f>
        <v>74743534</v>
      </c>
      <c r="G50" s="362">
        <f>F50/E50*100</f>
        <v>3.791181513883636</v>
      </c>
      <c r="H50" s="488"/>
      <c r="I50" s="489">
        <f>SUM(I13:I48)</f>
        <v>1971510299</v>
      </c>
      <c r="J50" s="1">
        <f t="shared" si="1"/>
        <v>0</v>
      </c>
    </row>
    <row r="51" spans="1:10" ht="5.0999999999999996" customHeight="1">
      <c r="A51" s="25" t="s">
        <v>3</v>
      </c>
      <c r="B51" s="26"/>
      <c r="C51" s="26"/>
      <c r="D51" s="26"/>
      <c r="E51" s="26"/>
      <c r="F51" s="26"/>
      <c r="G51" s="349"/>
      <c r="H51" s="487"/>
      <c r="I51" s="475"/>
    </row>
    <row r="52" spans="1:10" ht="14.45" customHeight="1">
      <c r="A52" s="23" t="s">
        <v>266</v>
      </c>
      <c r="B52" s="24">
        <f>'- 3 -'!B50</f>
        <v>3374968</v>
      </c>
      <c r="C52" s="24">
        <v>45500</v>
      </c>
      <c r="D52" s="24">
        <v>0</v>
      </c>
      <c r="E52" s="24">
        <f>SUM(B52:D52)</f>
        <v>3420468</v>
      </c>
      <c r="F52" s="24">
        <f>'- 57 -'!G51</f>
        <v>149276</v>
      </c>
      <c r="G52" s="350">
        <f>F52/E52*100</f>
        <v>4.3641981155795051</v>
      </c>
      <c r="H52" s="485">
        <v>4.3641981155795054E-2</v>
      </c>
      <c r="I52" s="472">
        <v>3420468</v>
      </c>
      <c r="J52" s="1">
        <f t="shared" si="1"/>
        <v>0</v>
      </c>
    </row>
    <row r="53" spans="1:10" ht="14.45" customHeight="1">
      <c r="A53" s="511" t="s">
        <v>691</v>
      </c>
      <c r="B53" s="358"/>
      <c r="C53" s="358"/>
      <c r="D53" s="358"/>
      <c r="E53" s="358"/>
      <c r="F53" s="358"/>
      <c r="G53" s="481" t="s">
        <v>184</v>
      </c>
      <c r="H53" s="326"/>
      <c r="I53" s="320"/>
    </row>
    <row r="54" spans="1:10" ht="49.5" customHeight="1">
      <c r="A54" s="27"/>
      <c r="B54" s="27"/>
      <c r="C54" s="27"/>
      <c r="D54" s="27"/>
      <c r="E54" s="27"/>
      <c r="F54" s="27"/>
      <c r="G54" s="27"/>
    </row>
    <row r="55" spans="1:10" ht="14.45" customHeight="1">
      <c r="A55" s="298" t="s">
        <v>614</v>
      </c>
      <c r="B55" s="299"/>
      <c r="C55" s="299"/>
      <c r="D55" s="299"/>
      <c r="E55" s="205"/>
      <c r="F55" s="205"/>
      <c r="G55" s="205"/>
    </row>
    <row r="56" spans="1:10" ht="12" customHeight="1">
      <c r="A56" s="158" t="s">
        <v>683</v>
      </c>
      <c r="B56" s="39"/>
      <c r="C56" s="39"/>
      <c r="D56" s="39"/>
    </row>
    <row r="57" spans="1:10" ht="14.45" customHeight="1">
      <c r="A57" s="39"/>
      <c r="B57" s="39"/>
      <c r="C57" s="39"/>
      <c r="D57" s="39"/>
    </row>
    <row r="58" spans="1:10" ht="14.45" customHeight="1">
      <c r="A58" s="39"/>
      <c r="B58" s="39"/>
      <c r="C58" s="39"/>
      <c r="D58" s="39"/>
    </row>
    <row r="59" spans="1:10" ht="14.45" customHeight="1">
      <c r="A59" s="39"/>
      <c r="B59" s="39"/>
      <c r="C59" s="39"/>
      <c r="D59" s="39"/>
    </row>
    <row r="60" spans="1:10">
      <c r="A60" s="39"/>
    </row>
  </sheetData>
  <phoneticPr fontId="0" type="noConversion"/>
  <printOptions horizontalCentered="1"/>
  <pageMargins left="0.51181102362204722" right="0.51181102362204722" top="0.59055118110236227" bottom="0" header="0.31496062992125984" footer="0"/>
  <pageSetup scale="87" orientation="portrait" r:id="rId1"/>
  <headerFooter alignWithMargins="0">
    <oddHeader>&amp;C&amp;"Arial,Bold"&amp;10&amp;A</oddHeader>
  </headerFooter>
</worksheet>
</file>

<file path=xl/worksheets/sheet52.xml><?xml version="1.0" encoding="utf-8"?>
<worksheet xmlns="http://schemas.openxmlformats.org/spreadsheetml/2006/main" xmlns:r="http://schemas.openxmlformats.org/officeDocument/2006/relationships">
  <sheetPr transitionEvaluation="1" transitionEntry="1" codeName="Sheet39">
    <pageSetUpPr autoPageBreaks="0" fitToPage="1"/>
  </sheetPr>
  <dimension ref="A1:I56"/>
  <sheetViews>
    <sheetView showGridLines="0" showZeros="0" defaultGridColor="0" colorId="22" workbookViewId="0"/>
  </sheetViews>
  <sheetFormatPr defaultColWidth="15.83203125" defaultRowHeight="12"/>
  <cols>
    <col min="1" max="1" width="26.1640625" style="540" bestFit="1" customWidth="1"/>
    <col min="2" max="2" width="15.83203125" style="557" customWidth="1"/>
    <col min="3" max="3" width="13.33203125" style="540" customWidth="1"/>
    <col min="4" max="4" width="13.1640625" style="540" customWidth="1"/>
    <col min="5" max="5" width="16" style="540" customWidth="1"/>
    <col min="6" max="6" width="15.33203125" style="540" customWidth="1"/>
    <col min="7" max="7" width="14.83203125" style="540" customWidth="1"/>
    <col min="8" max="8" width="10.5" style="540" customWidth="1"/>
    <col min="9" max="9" width="13" style="540" customWidth="1"/>
    <col min="10" max="16384" width="15.83203125" style="540"/>
  </cols>
  <sheetData>
    <row r="1" spans="1:9" ht="20.25">
      <c r="A1" s="538"/>
      <c r="B1" s="539"/>
    </row>
    <row r="2" spans="1:9" s="542" customFormat="1" ht="15.95" customHeight="1">
      <c r="A2" s="671" t="s">
        <v>545</v>
      </c>
      <c r="B2" s="671"/>
      <c r="C2" s="671"/>
      <c r="D2" s="671"/>
      <c r="E2" s="671"/>
      <c r="F2" s="671"/>
      <c r="G2" s="671"/>
      <c r="H2" s="671"/>
      <c r="I2" s="541"/>
    </row>
    <row r="3" spans="1:9" s="542" customFormat="1" ht="15.95" customHeight="1">
      <c r="A3" s="672" t="str">
        <f>RIGHT(TEXT('- 58 -'!B2,"0"),16)</f>
        <v>2014/2015 BUDGET</v>
      </c>
      <c r="B3" s="673"/>
      <c r="C3" s="673"/>
      <c r="D3" s="673"/>
      <c r="E3" s="673"/>
      <c r="F3" s="673"/>
      <c r="G3" s="673"/>
      <c r="H3" s="673"/>
      <c r="I3" s="543"/>
    </row>
    <row r="4" spans="1:9">
      <c r="B4" s="544"/>
    </row>
    <row r="5" spans="1:9">
      <c r="B5" s="544"/>
    </row>
    <row r="6" spans="1:9">
      <c r="B6" s="540"/>
    </row>
    <row r="7" spans="1:9">
      <c r="B7" s="670"/>
      <c r="C7" s="670"/>
      <c r="D7" s="670"/>
      <c r="E7" s="670"/>
      <c r="F7" s="670"/>
      <c r="G7" s="670"/>
      <c r="H7" s="670"/>
    </row>
    <row r="8" spans="1:9" ht="36" customHeight="1">
      <c r="A8" s="545"/>
      <c r="B8" s="674" t="s">
        <v>542</v>
      </c>
      <c r="C8" s="606" t="s">
        <v>218</v>
      </c>
      <c r="D8" s="607"/>
      <c r="E8" s="675" t="s">
        <v>543</v>
      </c>
      <c r="F8" s="668" t="s">
        <v>544</v>
      </c>
      <c r="G8" s="668" t="s">
        <v>601</v>
      </c>
      <c r="H8" s="668" t="s">
        <v>546</v>
      </c>
      <c r="I8" s="668" t="s">
        <v>29</v>
      </c>
    </row>
    <row r="9" spans="1:9" ht="18.75" customHeight="1">
      <c r="A9" s="546" t="s">
        <v>494</v>
      </c>
      <c r="B9" s="669"/>
      <c r="C9" s="602" t="s">
        <v>602</v>
      </c>
      <c r="D9" s="602" t="s">
        <v>44</v>
      </c>
      <c r="E9" s="669"/>
      <c r="F9" s="669"/>
      <c r="G9" s="669"/>
      <c r="H9" s="669"/>
      <c r="I9" s="669"/>
    </row>
    <row r="10" spans="1:9" ht="3.95" customHeight="1">
      <c r="A10" s="547"/>
      <c r="B10" s="544"/>
    </row>
    <row r="11" spans="1:9">
      <c r="A11" s="548" t="s">
        <v>230</v>
      </c>
      <c r="B11" s="549">
        <v>10.119999999999999</v>
      </c>
      <c r="C11" s="549">
        <v>107.6</v>
      </c>
      <c r="D11" s="549">
        <v>50.3</v>
      </c>
      <c r="E11" s="549">
        <v>39.459999999999994</v>
      </c>
      <c r="F11" s="549">
        <v>9</v>
      </c>
      <c r="G11" s="549">
        <v>2</v>
      </c>
      <c r="H11" s="549">
        <v>2.25</v>
      </c>
      <c r="I11" s="549">
        <f t="shared" ref="I11:I46" si="0">SUM(B11:H11)</f>
        <v>220.72999999999996</v>
      </c>
    </row>
    <row r="12" spans="1:9">
      <c r="A12" s="550" t="s">
        <v>231</v>
      </c>
      <c r="B12" s="551">
        <v>19.649999999999999</v>
      </c>
      <c r="C12" s="551">
        <v>172.21999999999997</v>
      </c>
      <c r="D12" s="551">
        <v>104.39999999999999</v>
      </c>
      <c r="E12" s="551">
        <v>69.63</v>
      </c>
      <c r="F12" s="551">
        <v>23.230000000000004</v>
      </c>
      <c r="G12" s="551">
        <v>5.4</v>
      </c>
      <c r="H12" s="551">
        <v>4.6100000000000003</v>
      </c>
      <c r="I12" s="551">
        <f t="shared" si="0"/>
        <v>399.14</v>
      </c>
    </row>
    <row r="13" spans="1:9">
      <c r="A13" s="548" t="s">
        <v>232</v>
      </c>
      <c r="B13" s="549">
        <v>44.75</v>
      </c>
      <c r="C13" s="549">
        <v>596.92999999999995</v>
      </c>
      <c r="D13" s="549">
        <v>280.15000000000003</v>
      </c>
      <c r="E13" s="549">
        <v>122.83000000000001</v>
      </c>
      <c r="F13" s="549">
        <v>46.85</v>
      </c>
      <c r="G13" s="549">
        <v>20</v>
      </c>
      <c r="H13" s="549">
        <v>7</v>
      </c>
      <c r="I13" s="549">
        <f t="shared" si="0"/>
        <v>1118.5099999999998</v>
      </c>
    </row>
    <row r="14" spans="1:9">
      <c r="A14" s="550" t="s">
        <v>566</v>
      </c>
      <c r="B14" s="551">
        <v>52.75</v>
      </c>
      <c r="C14" s="551">
        <v>394.09000000000003</v>
      </c>
      <c r="D14" s="551">
        <v>236.57</v>
      </c>
      <c r="E14" s="551">
        <v>60.629999999999995</v>
      </c>
      <c r="F14" s="551">
        <v>54.31</v>
      </c>
      <c r="G14" s="551">
        <v>13.3</v>
      </c>
      <c r="H14" s="551">
        <v>7</v>
      </c>
      <c r="I14" s="551">
        <f t="shared" si="0"/>
        <v>818.65000000000009</v>
      </c>
    </row>
    <row r="15" spans="1:9">
      <c r="A15" s="548" t="s">
        <v>233</v>
      </c>
      <c r="B15" s="549">
        <v>13.649999999999999</v>
      </c>
      <c r="C15" s="549">
        <v>102.38</v>
      </c>
      <c r="D15" s="549">
        <v>61.599999999999994</v>
      </c>
      <c r="E15" s="549">
        <v>36.549999999999997</v>
      </c>
      <c r="F15" s="549">
        <v>13.5</v>
      </c>
      <c r="G15" s="549">
        <v>2.1</v>
      </c>
      <c r="H15" s="549">
        <v>2</v>
      </c>
      <c r="I15" s="549">
        <f t="shared" si="0"/>
        <v>231.78</v>
      </c>
    </row>
    <row r="16" spans="1:9">
      <c r="A16" s="550" t="s">
        <v>234</v>
      </c>
      <c r="B16" s="551">
        <v>9.67</v>
      </c>
      <c r="C16" s="551">
        <v>70.849999999999994</v>
      </c>
      <c r="D16" s="551">
        <v>37</v>
      </c>
      <c r="E16" s="551">
        <v>24.83</v>
      </c>
      <c r="F16" s="551">
        <v>9.4</v>
      </c>
      <c r="G16" s="551">
        <v>1.8</v>
      </c>
      <c r="H16" s="551">
        <v>2</v>
      </c>
      <c r="I16" s="551">
        <f t="shared" si="0"/>
        <v>155.55000000000001</v>
      </c>
    </row>
    <row r="17" spans="1:9">
      <c r="A17" s="548" t="s">
        <v>495</v>
      </c>
      <c r="B17" s="549">
        <v>11</v>
      </c>
      <c r="C17" s="549">
        <v>93.79</v>
      </c>
      <c r="D17" s="549">
        <v>58.1</v>
      </c>
      <c r="E17" s="549">
        <v>49.93</v>
      </c>
      <c r="F17" s="549">
        <v>12.469999999999999</v>
      </c>
      <c r="G17" s="549">
        <v>2.5</v>
      </c>
      <c r="H17" s="549">
        <v>3</v>
      </c>
      <c r="I17" s="549">
        <f t="shared" si="0"/>
        <v>230.79000000000002</v>
      </c>
    </row>
    <row r="18" spans="1:9">
      <c r="A18" s="550" t="s">
        <v>496</v>
      </c>
      <c r="B18" s="551">
        <v>69.7</v>
      </c>
      <c r="C18" s="551">
        <v>473.53000000000003</v>
      </c>
      <c r="D18" s="551">
        <v>430.09</v>
      </c>
      <c r="E18" s="551">
        <v>278.03999999999996</v>
      </c>
      <c r="F18" s="551">
        <v>65.47</v>
      </c>
      <c r="G18" s="551">
        <v>11.34</v>
      </c>
      <c r="H18" s="551">
        <v>10.25</v>
      </c>
      <c r="I18" s="551">
        <f t="shared" si="0"/>
        <v>1338.4199999999998</v>
      </c>
    </row>
    <row r="19" spans="1:9">
      <c r="A19" s="548" t="s">
        <v>497</v>
      </c>
      <c r="B19" s="549">
        <v>21.25</v>
      </c>
      <c r="C19" s="549">
        <v>269.41000000000003</v>
      </c>
      <c r="D19" s="549">
        <v>150.31</v>
      </c>
      <c r="E19" s="549">
        <v>107.35</v>
      </c>
      <c r="F19" s="549">
        <v>19.5</v>
      </c>
      <c r="G19" s="549">
        <v>10.8</v>
      </c>
      <c r="H19" s="549">
        <v>8</v>
      </c>
      <c r="I19" s="549">
        <f t="shared" si="0"/>
        <v>586.62</v>
      </c>
    </row>
    <row r="20" spans="1:9">
      <c r="A20" s="550" t="s">
        <v>498</v>
      </c>
      <c r="B20" s="551">
        <v>47.103000000000002</v>
      </c>
      <c r="C20" s="551">
        <v>470.60899999999998</v>
      </c>
      <c r="D20" s="551">
        <v>189.34800000000001</v>
      </c>
      <c r="E20" s="551">
        <v>202.511</v>
      </c>
      <c r="F20" s="551">
        <v>77.548000000000002</v>
      </c>
      <c r="G20" s="551">
        <v>13.3</v>
      </c>
      <c r="H20" s="551">
        <v>10.33</v>
      </c>
      <c r="I20" s="551">
        <f t="shared" si="0"/>
        <v>1010.7489999999999</v>
      </c>
    </row>
    <row r="21" spans="1:9">
      <c r="A21" s="548" t="s">
        <v>499</v>
      </c>
      <c r="B21" s="549">
        <v>23</v>
      </c>
      <c r="C21" s="549">
        <v>211.6</v>
      </c>
      <c r="D21" s="549">
        <v>110.8</v>
      </c>
      <c r="E21" s="549">
        <v>76.5</v>
      </c>
      <c r="F21" s="549">
        <v>23.05</v>
      </c>
      <c r="G21" s="549">
        <v>6.75</v>
      </c>
      <c r="H21" s="549">
        <v>7</v>
      </c>
      <c r="I21" s="549">
        <f t="shared" si="0"/>
        <v>458.7</v>
      </c>
    </row>
    <row r="22" spans="1:9">
      <c r="A22" s="550" t="s">
        <v>500</v>
      </c>
      <c r="B22" s="551">
        <v>10</v>
      </c>
      <c r="C22" s="551">
        <v>116.65</v>
      </c>
      <c r="D22" s="551">
        <v>56.25</v>
      </c>
      <c r="E22" s="551">
        <v>32.450000000000003</v>
      </c>
      <c r="F22" s="551">
        <v>15.45</v>
      </c>
      <c r="G22" s="551">
        <v>2</v>
      </c>
      <c r="H22" s="551">
        <v>2</v>
      </c>
      <c r="I22" s="551">
        <f t="shared" si="0"/>
        <v>234.8</v>
      </c>
    </row>
    <row r="23" spans="1:9">
      <c r="A23" s="548" t="s">
        <v>501</v>
      </c>
      <c r="B23" s="549">
        <v>10.75</v>
      </c>
      <c r="C23" s="549">
        <v>91.75</v>
      </c>
      <c r="D23" s="549">
        <v>77.5</v>
      </c>
      <c r="E23" s="549">
        <v>35.700000000000003</v>
      </c>
      <c r="F23" s="549">
        <v>9.9500000000000011</v>
      </c>
      <c r="G23" s="549">
        <v>3.5</v>
      </c>
      <c r="H23" s="549">
        <v>2</v>
      </c>
      <c r="I23" s="549">
        <f t="shared" si="0"/>
        <v>231.14999999999998</v>
      </c>
    </row>
    <row r="24" spans="1:9">
      <c r="A24" s="550" t="s">
        <v>502</v>
      </c>
      <c r="B24" s="551">
        <v>28</v>
      </c>
      <c r="C24" s="551">
        <v>310.10000000000002</v>
      </c>
      <c r="D24" s="551">
        <v>186.38</v>
      </c>
      <c r="E24" s="551">
        <v>124.91999999999999</v>
      </c>
      <c r="F24" s="551">
        <v>31.5</v>
      </c>
      <c r="G24" s="551">
        <v>11.5</v>
      </c>
      <c r="H24" s="551">
        <v>9</v>
      </c>
      <c r="I24" s="551">
        <f t="shared" si="0"/>
        <v>701.4</v>
      </c>
    </row>
    <row r="25" spans="1:9">
      <c r="A25" s="548" t="s">
        <v>503</v>
      </c>
      <c r="B25" s="549">
        <v>81</v>
      </c>
      <c r="C25" s="549">
        <v>918.12</v>
      </c>
      <c r="D25" s="549">
        <v>506.15</v>
      </c>
      <c r="E25" s="549">
        <v>168.97</v>
      </c>
      <c r="F25" s="549">
        <v>116.97</v>
      </c>
      <c r="G25" s="549">
        <v>33.18</v>
      </c>
      <c r="H25" s="549">
        <v>17</v>
      </c>
      <c r="I25" s="549">
        <f t="shared" si="0"/>
        <v>1841.39</v>
      </c>
    </row>
    <row r="26" spans="1:9">
      <c r="A26" s="550" t="s">
        <v>504</v>
      </c>
      <c r="B26" s="551">
        <v>27.65</v>
      </c>
      <c r="C26" s="551">
        <v>213.75</v>
      </c>
      <c r="D26" s="551">
        <v>143.39900000000003</v>
      </c>
      <c r="E26" s="551">
        <v>115.813</v>
      </c>
      <c r="F26" s="551">
        <v>25.356999999999999</v>
      </c>
      <c r="G26" s="551">
        <v>6.1</v>
      </c>
      <c r="H26" s="551">
        <v>6</v>
      </c>
      <c r="I26" s="551">
        <f t="shared" si="0"/>
        <v>538.06900000000007</v>
      </c>
    </row>
    <row r="27" spans="1:9">
      <c r="A27" s="548" t="s">
        <v>505</v>
      </c>
      <c r="B27" s="549">
        <v>19.600000000000001</v>
      </c>
      <c r="C27" s="549">
        <v>226.90000000000003</v>
      </c>
      <c r="D27" s="549">
        <v>96</v>
      </c>
      <c r="E27" s="549">
        <v>37</v>
      </c>
      <c r="F27" s="549">
        <v>26</v>
      </c>
      <c r="G27" s="549">
        <v>10.88</v>
      </c>
      <c r="H27" s="549">
        <v>6</v>
      </c>
      <c r="I27" s="549">
        <f t="shared" si="0"/>
        <v>422.38</v>
      </c>
    </row>
    <row r="28" spans="1:9">
      <c r="A28" s="550" t="s">
        <v>506</v>
      </c>
      <c r="B28" s="551">
        <v>15.8</v>
      </c>
      <c r="C28" s="551">
        <v>158</v>
      </c>
      <c r="D28" s="551">
        <v>93.8</v>
      </c>
      <c r="E28" s="551">
        <v>55</v>
      </c>
      <c r="F28" s="551">
        <v>19.05</v>
      </c>
      <c r="G28" s="551">
        <v>4.3</v>
      </c>
      <c r="H28" s="551">
        <v>4.5</v>
      </c>
      <c r="I28" s="551">
        <f t="shared" si="0"/>
        <v>350.45000000000005</v>
      </c>
    </row>
    <row r="29" spans="1:9">
      <c r="A29" s="548" t="s">
        <v>507</v>
      </c>
      <c r="B29" s="549">
        <v>73.05</v>
      </c>
      <c r="C29" s="549">
        <v>825.06999999999994</v>
      </c>
      <c r="D29" s="549">
        <v>498.86</v>
      </c>
      <c r="E29" s="549">
        <v>173.36</v>
      </c>
      <c r="F29" s="549">
        <v>109.63999999999999</v>
      </c>
      <c r="G29" s="549">
        <v>28.35</v>
      </c>
      <c r="H29" s="549">
        <v>19</v>
      </c>
      <c r="I29" s="549">
        <f t="shared" si="0"/>
        <v>1727.33</v>
      </c>
    </row>
    <row r="30" spans="1:9">
      <c r="A30" s="550" t="s">
        <v>508</v>
      </c>
      <c r="B30" s="551">
        <v>10.349999999999998</v>
      </c>
      <c r="C30" s="551">
        <v>75.55</v>
      </c>
      <c r="D30" s="551">
        <v>35.07</v>
      </c>
      <c r="E30" s="551">
        <v>37.5</v>
      </c>
      <c r="F30" s="551">
        <v>8.9700000000000006</v>
      </c>
      <c r="G30" s="551">
        <v>3.5</v>
      </c>
      <c r="H30" s="551">
        <v>3</v>
      </c>
      <c r="I30" s="551">
        <f t="shared" si="0"/>
        <v>173.94</v>
      </c>
    </row>
    <row r="31" spans="1:9">
      <c r="A31" s="548" t="s">
        <v>509</v>
      </c>
      <c r="B31" s="549">
        <v>20.71</v>
      </c>
      <c r="C31" s="549">
        <v>226.52</v>
      </c>
      <c r="D31" s="549">
        <v>142.57</v>
      </c>
      <c r="E31" s="549">
        <v>69.94</v>
      </c>
      <c r="F31" s="549">
        <v>20.13</v>
      </c>
      <c r="G31" s="549">
        <v>7.77</v>
      </c>
      <c r="H31" s="549">
        <v>6.14</v>
      </c>
      <c r="I31" s="549">
        <f t="shared" si="0"/>
        <v>493.78</v>
      </c>
    </row>
    <row r="32" spans="1:9">
      <c r="A32" s="550" t="s">
        <v>510</v>
      </c>
      <c r="B32" s="551">
        <v>14.999999999999998</v>
      </c>
      <c r="C32" s="551">
        <v>159.75</v>
      </c>
      <c r="D32" s="551">
        <v>100.33</v>
      </c>
      <c r="E32" s="551">
        <v>63.95</v>
      </c>
      <c r="F32" s="551">
        <v>19.109999999999996</v>
      </c>
      <c r="G32" s="551">
        <v>3.2</v>
      </c>
      <c r="H32" s="551">
        <v>5</v>
      </c>
      <c r="I32" s="551">
        <f t="shared" si="0"/>
        <v>366.34</v>
      </c>
    </row>
    <row r="33" spans="1:9">
      <c r="A33" s="548" t="s">
        <v>511</v>
      </c>
      <c r="B33" s="549">
        <v>19.98</v>
      </c>
      <c r="C33" s="549">
        <v>138.434</v>
      </c>
      <c r="D33" s="549">
        <v>88.63</v>
      </c>
      <c r="E33" s="549">
        <v>97.688000000000002</v>
      </c>
      <c r="F33" s="549">
        <v>19.36</v>
      </c>
      <c r="G33" s="549">
        <v>4.9850000000000003</v>
      </c>
      <c r="H33" s="549">
        <v>5</v>
      </c>
      <c r="I33" s="549">
        <f t="shared" si="0"/>
        <v>374.077</v>
      </c>
    </row>
    <row r="34" spans="1:9">
      <c r="A34" s="550" t="s">
        <v>512</v>
      </c>
      <c r="B34" s="551">
        <v>15.700000000000001</v>
      </c>
      <c r="C34" s="551">
        <v>146.36499999999998</v>
      </c>
      <c r="D34" s="551">
        <v>77.260000000000005</v>
      </c>
      <c r="E34" s="551">
        <v>80.210000000000008</v>
      </c>
      <c r="F34" s="551">
        <v>19.750000000000004</v>
      </c>
      <c r="G34" s="551">
        <v>4.45</v>
      </c>
      <c r="H34" s="551">
        <v>3.15</v>
      </c>
      <c r="I34" s="551">
        <f t="shared" si="0"/>
        <v>346.88499999999993</v>
      </c>
    </row>
    <row r="35" spans="1:9">
      <c r="A35" s="548" t="s">
        <v>513</v>
      </c>
      <c r="B35" s="549">
        <v>92.46</v>
      </c>
      <c r="C35" s="549">
        <v>1046.3899999999999</v>
      </c>
      <c r="D35" s="549">
        <v>468.42</v>
      </c>
      <c r="E35" s="549">
        <v>272.44</v>
      </c>
      <c r="F35" s="549">
        <v>118.57</v>
      </c>
      <c r="G35" s="549">
        <v>27.12</v>
      </c>
      <c r="H35" s="549">
        <v>16.5</v>
      </c>
      <c r="I35" s="549">
        <f t="shared" si="0"/>
        <v>2041.8999999999999</v>
      </c>
    </row>
    <row r="36" spans="1:9">
      <c r="A36" s="550" t="s">
        <v>514</v>
      </c>
      <c r="B36" s="551">
        <v>13.88</v>
      </c>
      <c r="C36" s="551">
        <v>124.13999999999999</v>
      </c>
      <c r="D36" s="551">
        <v>73.75</v>
      </c>
      <c r="E36" s="551">
        <v>62.17</v>
      </c>
      <c r="F36" s="551">
        <v>14.81</v>
      </c>
      <c r="G36" s="551">
        <v>2.5</v>
      </c>
      <c r="H36" s="551">
        <v>2.4</v>
      </c>
      <c r="I36" s="551">
        <f t="shared" si="0"/>
        <v>293.64999999999998</v>
      </c>
    </row>
    <row r="37" spans="1:9">
      <c r="A37" s="548" t="s">
        <v>515</v>
      </c>
      <c r="B37" s="549">
        <v>28</v>
      </c>
      <c r="C37" s="549">
        <v>264.45999999999998</v>
      </c>
      <c r="D37" s="549">
        <v>136.29000000000002</v>
      </c>
      <c r="E37" s="549">
        <v>122</v>
      </c>
      <c r="F37" s="549">
        <v>28.5</v>
      </c>
      <c r="G37" s="549">
        <v>9.5</v>
      </c>
      <c r="H37" s="549">
        <v>4</v>
      </c>
      <c r="I37" s="549">
        <f t="shared" si="0"/>
        <v>592.75</v>
      </c>
    </row>
    <row r="38" spans="1:9">
      <c r="A38" s="550" t="s">
        <v>516</v>
      </c>
      <c r="B38" s="551">
        <v>67</v>
      </c>
      <c r="C38" s="551">
        <v>706.09</v>
      </c>
      <c r="D38" s="551">
        <v>313.40000000000003</v>
      </c>
      <c r="E38" s="551">
        <v>134.04</v>
      </c>
      <c r="F38" s="551">
        <v>71</v>
      </c>
      <c r="G38" s="551">
        <v>20.03</v>
      </c>
      <c r="H38" s="551">
        <v>9</v>
      </c>
      <c r="I38" s="551">
        <f t="shared" si="0"/>
        <v>1320.56</v>
      </c>
    </row>
    <row r="39" spans="1:9">
      <c r="A39" s="548" t="s">
        <v>517</v>
      </c>
      <c r="B39" s="549">
        <v>11.55</v>
      </c>
      <c r="C39" s="549">
        <v>116.51</v>
      </c>
      <c r="D39" s="549">
        <v>63.45</v>
      </c>
      <c r="E39" s="549">
        <v>58.58</v>
      </c>
      <c r="F39" s="549">
        <v>14.5</v>
      </c>
      <c r="G39" s="549">
        <v>2.3199999999999998</v>
      </c>
      <c r="H39" s="549">
        <v>3.5</v>
      </c>
      <c r="I39" s="549">
        <f t="shared" si="0"/>
        <v>270.40999999999997</v>
      </c>
    </row>
    <row r="40" spans="1:9">
      <c r="A40" s="550" t="s">
        <v>518</v>
      </c>
      <c r="B40" s="551">
        <v>58.05</v>
      </c>
      <c r="C40" s="551">
        <v>545.98</v>
      </c>
      <c r="D40" s="551">
        <v>324.19000000000005</v>
      </c>
      <c r="E40" s="551">
        <v>102.03</v>
      </c>
      <c r="F40" s="551">
        <v>90.21</v>
      </c>
      <c r="G40" s="551">
        <v>24.47</v>
      </c>
      <c r="H40" s="551">
        <v>13</v>
      </c>
      <c r="I40" s="551">
        <f t="shared" si="0"/>
        <v>1157.93</v>
      </c>
    </row>
    <row r="41" spans="1:9">
      <c r="A41" s="548" t="s">
        <v>519</v>
      </c>
      <c r="B41" s="549">
        <v>26.98</v>
      </c>
      <c r="C41" s="549">
        <v>325.69</v>
      </c>
      <c r="D41" s="549">
        <v>156.77000000000001</v>
      </c>
      <c r="E41" s="549">
        <v>139.083</v>
      </c>
      <c r="F41" s="549">
        <v>40.75</v>
      </c>
      <c r="G41" s="549">
        <v>10.189999999999998</v>
      </c>
      <c r="H41" s="549">
        <v>6.5</v>
      </c>
      <c r="I41" s="549">
        <f t="shared" si="0"/>
        <v>705.96299999999997</v>
      </c>
    </row>
    <row r="42" spans="1:9">
      <c r="A42" s="550" t="s">
        <v>520</v>
      </c>
      <c r="B42" s="551">
        <v>11.31</v>
      </c>
      <c r="C42" s="551">
        <v>104.74</v>
      </c>
      <c r="D42" s="551">
        <v>74.139999999999986</v>
      </c>
      <c r="E42" s="551">
        <v>61.36</v>
      </c>
      <c r="F42" s="551">
        <v>19.080000000000002</v>
      </c>
      <c r="G42" s="551">
        <v>3.2</v>
      </c>
      <c r="H42" s="551">
        <v>3</v>
      </c>
      <c r="I42" s="551">
        <f t="shared" si="0"/>
        <v>276.83</v>
      </c>
    </row>
    <row r="43" spans="1:9">
      <c r="A43" s="548" t="s">
        <v>521</v>
      </c>
      <c r="B43" s="549">
        <v>6.71</v>
      </c>
      <c r="C43" s="549">
        <v>72.84</v>
      </c>
      <c r="D43" s="549">
        <v>39.74</v>
      </c>
      <c r="E43" s="549">
        <v>33.642499999999998</v>
      </c>
      <c r="F43" s="549">
        <v>6.9499999999999993</v>
      </c>
      <c r="G43" s="549">
        <v>2.9950000000000001</v>
      </c>
      <c r="H43" s="549">
        <v>1</v>
      </c>
      <c r="I43" s="549">
        <f t="shared" si="0"/>
        <v>163.8775</v>
      </c>
    </row>
    <row r="44" spans="1:9">
      <c r="A44" s="550" t="s">
        <v>522</v>
      </c>
      <c r="B44" s="551">
        <v>5.5</v>
      </c>
      <c r="C44" s="551">
        <v>58.53</v>
      </c>
      <c r="D44" s="551">
        <v>50</v>
      </c>
      <c r="E44" s="551">
        <v>44.88</v>
      </c>
      <c r="F44" s="551">
        <v>7.3199999999999994</v>
      </c>
      <c r="G44" s="551">
        <v>1.5</v>
      </c>
      <c r="H44" s="551">
        <v>2</v>
      </c>
      <c r="I44" s="551">
        <f t="shared" si="0"/>
        <v>169.73</v>
      </c>
    </row>
    <row r="45" spans="1:9">
      <c r="A45" s="548" t="s">
        <v>523</v>
      </c>
      <c r="B45" s="549">
        <v>10</v>
      </c>
      <c r="C45" s="549">
        <v>109.49</v>
      </c>
      <c r="D45" s="549">
        <v>71.650000000000006</v>
      </c>
      <c r="E45" s="549">
        <v>35.419999999999995</v>
      </c>
      <c r="F45" s="549">
        <v>9.6300000000000008</v>
      </c>
      <c r="G45" s="549">
        <v>2.35</v>
      </c>
      <c r="H45" s="549">
        <v>3</v>
      </c>
      <c r="I45" s="549">
        <f t="shared" si="0"/>
        <v>241.53999999999996</v>
      </c>
    </row>
    <row r="46" spans="1:9">
      <c r="A46" s="550" t="s">
        <v>524</v>
      </c>
      <c r="B46" s="551">
        <v>138.67000000000002</v>
      </c>
      <c r="C46" s="551">
        <v>2083.6600000000003</v>
      </c>
      <c r="D46" s="551">
        <v>1123.1100000000001</v>
      </c>
      <c r="E46" s="551">
        <v>579.19000000000005</v>
      </c>
      <c r="F46" s="551">
        <v>276.33000000000004</v>
      </c>
      <c r="G46" s="551">
        <v>85.49</v>
      </c>
      <c r="H46" s="551">
        <v>17</v>
      </c>
      <c r="I46" s="551">
        <f t="shared" si="0"/>
        <v>4303.4500000000007</v>
      </c>
    </row>
    <row r="47" spans="1:9" ht="6" customHeight="1">
      <c r="A47" s="550"/>
      <c r="B47" s="551"/>
      <c r="C47" s="551"/>
      <c r="D47" s="551"/>
      <c r="E47" s="551"/>
      <c r="F47" s="551"/>
      <c r="G47" s="551"/>
      <c r="H47" s="551"/>
      <c r="I47" s="551"/>
    </row>
    <row r="48" spans="1:9">
      <c r="A48" s="552" t="s">
        <v>366</v>
      </c>
      <c r="B48" s="553">
        <f t="shared" ref="B48:I48" si="1">SUM(B11:B46)</f>
        <v>1140.3430000000001</v>
      </c>
      <c r="C48" s="553">
        <f t="shared" si="1"/>
        <v>12128.488000000001</v>
      </c>
      <c r="D48" s="553">
        <f t="shared" si="1"/>
        <v>6705.777</v>
      </c>
      <c r="E48" s="553">
        <f t="shared" si="1"/>
        <v>3805.5975000000008</v>
      </c>
      <c r="F48" s="553">
        <f t="shared" si="1"/>
        <v>1493.2150000000001</v>
      </c>
      <c r="G48" s="553">
        <f t="shared" si="1"/>
        <v>404.66999999999996</v>
      </c>
      <c r="H48" s="553">
        <f t="shared" si="1"/>
        <v>232.13</v>
      </c>
      <c r="I48" s="553">
        <f t="shared" si="1"/>
        <v>25910.220500000003</v>
      </c>
    </row>
    <row r="49" spans="1:9" ht="6" customHeight="1">
      <c r="B49" s="554"/>
      <c r="C49" s="554"/>
      <c r="D49" s="554"/>
      <c r="E49" s="554"/>
      <c r="F49" s="554"/>
      <c r="G49" s="554"/>
      <c r="H49" s="554"/>
      <c r="I49" s="554"/>
    </row>
    <row r="50" spans="1:9">
      <c r="A50" s="550" t="s">
        <v>525</v>
      </c>
      <c r="B50" s="551">
        <v>1.9899999999999998</v>
      </c>
      <c r="C50" s="551">
        <v>20.71</v>
      </c>
      <c r="D50" s="551">
        <v>9</v>
      </c>
      <c r="E50" s="551">
        <v>4.67</v>
      </c>
      <c r="F50" s="551">
        <v>3.1699999999999995</v>
      </c>
      <c r="G50" s="551">
        <v>0.26</v>
      </c>
      <c r="H50" s="551">
        <v>0</v>
      </c>
      <c r="I50" s="551">
        <f>SUM(B50:H50)</f>
        <v>39.799999999999997</v>
      </c>
    </row>
    <row r="51" spans="1:9">
      <c r="A51" s="511" t="s">
        <v>691</v>
      </c>
      <c r="B51" s="549">
        <v>9.6999999999999993</v>
      </c>
      <c r="C51" s="549">
        <v>30.45</v>
      </c>
      <c r="D51" s="549">
        <v>5.7999999999999972</v>
      </c>
      <c r="E51" s="549">
        <v>21.799999999999997</v>
      </c>
      <c r="F51" s="549">
        <v>12.100000000000001</v>
      </c>
      <c r="G51" s="549">
        <v>0</v>
      </c>
      <c r="H51" s="549">
        <v>4</v>
      </c>
      <c r="I51" s="549">
        <f>SUM(B51:H51)</f>
        <v>83.85</v>
      </c>
    </row>
    <row r="52" spans="1:9" ht="49.5" customHeight="1">
      <c r="A52" s="555"/>
      <c r="B52" s="555"/>
      <c r="C52" s="556">
        <v>0</v>
      </c>
      <c r="D52" s="555"/>
      <c r="E52" s="555"/>
      <c r="F52" s="555"/>
      <c r="G52" s="555"/>
      <c r="H52" s="555"/>
      <c r="I52" s="555"/>
    </row>
    <row r="53" spans="1:9">
      <c r="A53" s="632" t="s">
        <v>680</v>
      </c>
      <c r="B53" s="540"/>
      <c r="C53" s="557"/>
    </row>
    <row r="54" spans="1:9">
      <c r="A54" s="633" t="s">
        <v>681</v>
      </c>
      <c r="B54" s="540"/>
      <c r="C54" s="557"/>
    </row>
    <row r="55" spans="1:9">
      <c r="A55" s="313" t="s">
        <v>635</v>
      </c>
      <c r="B55" s="540"/>
      <c r="C55" s="557"/>
    </row>
    <row r="56" spans="1:9">
      <c r="A56" s="313" t="s">
        <v>577</v>
      </c>
      <c r="B56" s="540"/>
      <c r="C56" s="557"/>
    </row>
  </sheetData>
  <mergeCells count="9">
    <mergeCell ref="I8:I9"/>
    <mergeCell ref="B7:H7"/>
    <mergeCell ref="A2:H2"/>
    <mergeCell ref="A3:H3"/>
    <mergeCell ref="B8:B9"/>
    <mergeCell ref="E8:E9"/>
    <mergeCell ref="F8:F9"/>
    <mergeCell ref="G8:G9"/>
    <mergeCell ref="H8:H9"/>
  </mergeCells>
  <phoneticPr fontId="21" type="noConversion"/>
  <printOptions horizontalCentered="1"/>
  <pageMargins left="0.51180000000000003" right="0.51180000000000003" top="0.59055118110236204" bottom="0" header="0.31496062992126" footer="0"/>
  <pageSetup scale="85" orientation="portrait" r:id="rId1"/>
  <headerFooter alignWithMargins="0">
    <oddHeader>&amp;C&amp;"Arial,Bold"&amp;10&amp;A</oddHeader>
  </headerFooter>
</worksheet>
</file>

<file path=xl/worksheets/sheet53.xml><?xml version="1.0" encoding="utf-8"?>
<worksheet xmlns="http://schemas.openxmlformats.org/spreadsheetml/2006/main" xmlns:r="http://schemas.openxmlformats.org/officeDocument/2006/relationships">
  <sheetPr codeName="Sheet26"/>
  <dimension ref="A1:I57"/>
  <sheetViews>
    <sheetView showGridLines="0" workbookViewId="0"/>
  </sheetViews>
  <sheetFormatPr defaultColWidth="19.83203125" defaultRowHeight="12"/>
  <cols>
    <col min="1" max="1" width="30.83203125" style="563" customWidth="1"/>
    <col min="2" max="2" width="17" style="563" customWidth="1"/>
    <col min="3" max="3" width="12" style="563" customWidth="1"/>
    <col min="4" max="4" width="16.83203125" style="563" customWidth="1"/>
    <col min="5" max="5" width="11.5" style="563" customWidth="1"/>
    <col min="6" max="6" width="13.33203125" style="563" customWidth="1"/>
    <col min="7" max="7" width="12.5" style="563" customWidth="1"/>
    <col min="8" max="8" width="19.83203125" style="563"/>
    <col min="9" max="9" width="19.83203125" style="596"/>
    <col min="10" max="16384" width="19.83203125" style="563"/>
  </cols>
  <sheetData>
    <row r="1" spans="1:9" ht="6.95" customHeight="1">
      <c r="A1" s="561"/>
      <c r="B1" s="562"/>
      <c r="C1" s="562"/>
    </row>
    <row r="2" spans="1:9" ht="15.95" customHeight="1">
      <c r="A2" s="564" t="s">
        <v>551</v>
      </c>
      <c r="B2" s="565"/>
      <c r="C2" s="565"/>
      <c r="D2" s="565"/>
      <c r="E2" s="565"/>
      <c r="F2" s="565"/>
      <c r="G2" s="565"/>
    </row>
    <row r="3" spans="1:9" ht="15.95" customHeight="1">
      <c r="A3" s="592" t="str">
        <f>+'- 61 -'!A3</f>
        <v>2013/14 AND 2014/15 BUDGET</v>
      </c>
      <c r="B3" s="566"/>
      <c r="C3" s="566"/>
      <c r="D3" s="566"/>
      <c r="E3" s="566"/>
      <c r="F3" s="566"/>
      <c r="G3" s="566"/>
    </row>
    <row r="4" spans="1:9" ht="15.95" customHeight="1">
      <c r="B4" s="562"/>
      <c r="C4" s="562"/>
    </row>
    <row r="5" spans="1:9" ht="12" customHeight="1">
      <c r="B5" s="562"/>
      <c r="C5" s="562"/>
    </row>
    <row r="6" spans="1:9" ht="15.75" customHeight="1">
      <c r="B6" s="567" t="s">
        <v>552</v>
      </c>
      <c r="C6" s="568"/>
      <c r="D6" s="569"/>
      <c r="E6" s="568"/>
      <c r="F6" s="567" t="s">
        <v>552</v>
      </c>
      <c r="G6" s="569"/>
    </row>
    <row r="7" spans="1:9">
      <c r="B7" s="570" t="s">
        <v>553</v>
      </c>
      <c r="C7" s="571"/>
      <c r="D7" s="572"/>
      <c r="E7" s="571"/>
      <c r="F7" s="570" t="s">
        <v>553</v>
      </c>
      <c r="G7" s="572"/>
    </row>
    <row r="8" spans="1:9" ht="13.5">
      <c r="A8" s="573"/>
      <c r="B8" s="574" t="s">
        <v>603</v>
      </c>
      <c r="C8" s="575"/>
      <c r="D8" s="576"/>
      <c r="E8" s="575"/>
      <c r="F8" s="574" t="s">
        <v>554</v>
      </c>
      <c r="G8" s="576"/>
    </row>
    <row r="9" spans="1:9" ht="25.5" customHeight="1">
      <c r="A9" s="577" t="s">
        <v>81</v>
      </c>
      <c r="B9" s="578" t="str">
        <f>+'- 61 -'!B9</f>
        <v>2013/14</v>
      </c>
      <c r="C9" s="593" t="s">
        <v>555</v>
      </c>
      <c r="D9" s="578" t="str">
        <f>+'- 61 -'!C9</f>
        <v>2014/15</v>
      </c>
      <c r="E9" s="593" t="s">
        <v>555</v>
      </c>
      <c r="F9" s="578" t="str">
        <f>+B9</f>
        <v>2013/14</v>
      </c>
      <c r="G9" s="578" t="str">
        <f>+D9</f>
        <v>2014/15</v>
      </c>
    </row>
    <row r="10" spans="1:9" ht="5.0999999999999996" customHeight="1">
      <c r="A10" s="579"/>
      <c r="B10" s="580"/>
      <c r="C10" s="580"/>
      <c r="D10" s="561"/>
      <c r="E10" s="561"/>
      <c r="F10" s="561"/>
    </row>
    <row r="11" spans="1:9" ht="14.1" customHeight="1">
      <c r="A11" s="581" t="s">
        <v>230</v>
      </c>
      <c r="B11" s="582">
        <v>12861856</v>
      </c>
      <c r="C11" s="583">
        <v>76.856113550412758</v>
      </c>
      <c r="D11" s="582">
        <v>13321367</v>
      </c>
      <c r="E11" s="583">
        <f>+D11/'- 3 -'!F11*100</f>
        <v>76.774894327205686</v>
      </c>
      <c r="F11" s="582">
        <v>8398.20829252367</v>
      </c>
      <c r="G11" s="582">
        <f>+D11/'- 7 -'!F11</f>
        <v>8613.8810216618167</v>
      </c>
      <c r="I11" s="597" t="str">
        <f>IF(+D11-'- 15 -'!B11-'- 15 -'!E11-'- 16 -'!G11=0,"","Ckeck")</f>
        <v/>
      </c>
    </row>
    <row r="12" spans="1:9" ht="14.1" customHeight="1">
      <c r="A12" s="584" t="s">
        <v>231</v>
      </c>
      <c r="B12" s="585">
        <v>23187192</v>
      </c>
      <c r="C12" s="586">
        <v>76.271748592082943</v>
      </c>
      <c r="D12" s="585">
        <v>23475454</v>
      </c>
      <c r="E12" s="586">
        <f>+D12/'- 3 -'!F12*100</f>
        <v>76.023061987795415</v>
      </c>
      <c r="F12" s="585">
        <v>10178.302971774723</v>
      </c>
      <c r="G12" s="585">
        <f>+D12/'- 7 -'!F12</f>
        <v>10735.66045328992</v>
      </c>
      <c r="I12" s="597" t="str">
        <f>IF(+D12-'- 15 -'!B12-'- 15 -'!E12-'- 16 -'!G12=0,"","Ckeck")</f>
        <v/>
      </c>
    </row>
    <row r="13" spans="1:9" ht="14.1" customHeight="1">
      <c r="A13" s="581" t="s">
        <v>232</v>
      </c>
      <c r="B13" s="582">
        <v>72466700</v>
      </c>
      <c r="C13" s="583">
        <v>84.192432676098221</v>
      </c>
      <c r="D13" s="582">
        <v>74830300</v>
      </c>
      <c r="E13" s="583">
        <f>+D13/'- 3 -'!F13*100</f>
        <v>84.109230285046308</v>
      </c>
      <c r="F13" s="582">
        <v>8964.1799943839887</v>
      </c>
      <c r="G13" s="582">
        <f>+D13/'- 7 -'!F13</f>
        <v>9214.9527186033429</v>
      </c>
      <c r="I13" s="597" t="str">
        <f>IF(+D13-'- 15 -'!B13-'- 15 -'!E13-'- 16 -'!G13=0,"","Ckeck")</f>
        <v/>
      </c>
    </row>
    <row r="14" spans="1:9" ht="14.1" customHeight="1">
      <c r="A14" s="584" t="s">
        <v>566</v>
      </c>
      <c r="B14" s="585">
        <v>53754971</v>
      </c>
      <c r="C14" s="586">
        <v>72.862176107764569</v>
      </c>
      <c r="D14" s="585">
        <v>57432904</v>
      </c>
      <c r="E14" s="586">
        <f>+D14/'- 3 -'!F14*100</f>
        <v>73.1803556854356</v>
      </c>
      <c r="F14" s="585">
        <v>10307.76049856184</v>
      </c>
      <c r="G14" s="585">
        <f>+D14/'- 7 -'!F14</f>
        <v>10805.814487300095</v>
      </c>
      <c r="I14" s="597" t="str">
        <f>IF(+D14-'- 15 -'!B14-'- 15 -'!E14-'- 16 -'!G14=0,"","Ckeck")</f>
        <v/>
      </c>
    </row>
    <row r="15" spans="1:9" ht="14.1" customHeight="1">
      <c r="A15" s="581" t="s">
        <v>233</v>
      </c>
      <c r="B15" s="582">
        <v>14600346</v>
      </c>
      <c r="C15" s="583">
        <v>74.899588195406963</v>
      </c>
      <c r="D15" s="582">
        <v>14779302</v>
      </c>
      <c r="E15" s="583">
        <f>+D15/'- 3 -'!F15*100</f>
        <v>74.80311628911241</v>
      </c>
      <c r="F15" s="582">
        <v>9605.4907894736843</v>
      </c>
      <c r="G15" s="582">
        <f>+D15/'- 7 -'!F15</f>
        <v>10175.07882960413</v>
      </c>
      <c r="I15" s="597" t="str">
        <f>IF(+D15-'- 15 -'!B15-'- 15 -'!E15-'- 16 -'!G15=0,"","Ckeck")</f>
        <v/>
      </c>
    </row>
    <row r="16" spans="1:9" ht="14.1" customHeight="1">
      <c r="A16" s="584" t="s">
        <v>234</v>
      </c>
      <c r="B16" s="585">
        <v>9746695</v>
      </c>
      <c r="C16" s="586">
        <v>75.059064560901518</v>
      </c>
      <c r="D16" s="585">
        <v>10044982</v>
      </c>
      <c r="E16" s="586">
        <f>+D16/'- 3 -'!F16*100</f>
        <v>75.120012755094407</v>
      </c>
      <c r="F16" s="585">
        <v>9795.6733668341712</v>
      </c>
      <c r="G16" s="585">
        <f>+D16/'- 7 -'!F16</f>
        <v>10441.76923076923</v>
      </c>
      <c r="I16" s="597" t="str">
        <f>IF(+D16-'- 15 -'!B16-'- 15 -'!E16-'- 16 -'!G16=0,"","Ckeck")</f>
        <v/>
      </c>
    </row>
    <row r="17" spans="1:9" ht="14.1" customHeight="1">
      <c r="A17" s="581" t="s">
        <v>235</v>
      </c>
      <c r="B17" s="582">
        <v>12016669</v>
      </c>
      <c r="C17" s="583">
        <v>73.947940495898692</v>
      </c>
      <c r="D17" s="582">
        <v>12605128</v>
      </c>
      <c r="E17" s="583">
        <f>+D17/'- 3 -'!F17*100</f>
        <v>74.555075442700641</v>
      </c>
      <c r="F17" s="582">
        <v>9240.0376778162245</v>
      </c>
      <c r="G17" s="582">
        <f>+D17/'- 7 -'!F17</f>
        <v>9424.3947663551407</v>
      </c>
      <c r="I17" s="597" t="str">
        <f>IF(+D17-'- 15 -'!B17-'- 15 -'!E17-'- 16 -'!G17=0,"","Ckeck")</f>
        <v/>
      </c>
    </row>
    <row r="18" spans="1:9" ht="14.1" customHeight="1">
      <c r="A18" s="584" t="s">
        <v>236</v>
      </c>
      <c r="B18" s="585">
        <v>76065928</v>
      </c>
      <c r="C18" s="586">
        <v>66.146817777727605</v>
      </c>
      <c r="D18" s="585">
        <v>78569830</v>
      </c>
      <c r="E18" s="586">
        <f>+D18/'- 3 -'!F18*100</f>
        <v>65.754167791374741</v>
      </c>
      <c r="F18" s="585">
        <v>12204.721700762135</v>
      </c>
      <c r="G18" s="585">
        <f>+D18/'- 7 -'!F18</f>
        <v>12732.725622700829</v>
      </c>
      <c r="I18" s="597" t="str">
        <f>IF(+D18-'- 15 -'!B18-'- 15 -'!E18-'- 16 -'!G18=0,"","Ckeck")</f>
        <v/>
      </c>
    </row>
    <row r="19" spans="1:9" ht="14.1" customHeight="1">
      <c r="A19" s="581" t="s">
        <v>237</v>
      </c>
      <c r="B19" s="582">
        <v>34686650</v>
      </c>
      <c r="C19" s="583">
        <v>80.038982679889642</v>
      </c>
      <c r="D19" s="582">
        <v>34391800</v>
      </c>
      <c r="E19" s="583">
        <f>+D19/'- 3 -'!F19*100</f>
        <v>79.2934376874734</v>
      </c>
      <c r="F19" s="582">
        <v>8241.0667617011168</v>
      </c>
      <c r="G19" s="582">
        <f>+D19/'- 7 -'!F19</f>
        <v>8430.3958818482661</v>
      </c>
      <c r="I19" s="597" t="str">
        <f>IF(+D19-'- 15 -'!B19-'- 15 -'!E19-'- 16 -'!G19=0,"","Ckeck")</f>
        <v/>
      </c>
    </row>
    <row r="20" spans="1:9" ht="14.1" customHeight="1">
      <c r="A20" s="584" t="s">
        <v>238</v>
      </c>
      <c r="B20" s="585">
        <v>56168600</v>
      </c>
      <c r="C20" s="586">
        <v>79.164781576147092</v>
      </c>
      <c r="D20" s="585">
        <v>58933900</v>
      </c>
      <c r="E20" s="586">
        <f>+D20/'- 3 -'!F20*100</f>
        <v>77.982332407963654</v>
      </c>
      <c r="F20" s="585">
        <v>7449.9104715166786</v>
      </c>
      <c r="G20" s="585">
        <f>+D20/'- 7 -'!F20</f>
        <v>7796.5207037967984</v>
      </c>
      <c r="I20" s="597" t="str">
        <f>IF(+D20-'- 15 -'!B20-'- 15 -'!E20-'- 16 -'!G20=0,"","Ckeck")</f>
        <v/>
      </c>
    </row>
    <row r="21" spans="1:9" ht="14.1" customHeight="1">
      <c r="A21" s="581" t="s">
        <v>239</v>
      </c>
      <c r="B21" s="582">
        <v>26287047</v>
      </c>
      <c r="C21" s="583">
        <v>77.753587027410873</v>
      </c>
      <c r="D21" s="582">
        <v>26723104</v>
      </c>
      <c r="E21" s="583">
        <f>+D21/'- 3 -'!F21*100</f>
        <v>78.049402804498683</v>
      </c>
      <c r="F21" s="582">
        <v>9772.1364312267651</v>
      </c>
      <c r="G21" s="582">
        <f>+D21/'- 7 -'!F21</f>
        <v>10050.057916509966</v>
      </c>
      <c r="I21" s="597" t="str">
        <f>IF(+D21-'- 15 -'!B21-'- 15 -'!E21-'- 16 -'!G21=0,"","Ckeck")</f>
        <v/>
      </c>
    </row>
    <row r="22" spans="1:9" ht="14.1" customHeight="1">
      <c r="A22" s="584" t="s">
        <v>240</v>
      </c>
      <c r="B22" s="585">
        <v>14897557</v>
      </c>
      <c r="C22" s="586">
        <v>78.249833547391361</v>
      </c>
      <c r="D22" s="585">
        <v>14278239</v>
      </c>
      <c r="E22" s="586">
        <f>+D22/'- 3 -'!F22*100</f>
        <v>76.333017449591807</v>
      </c>
      <c r="F22" s="585">
        <v>9201.7029030265603</v>
      </c>
      <c r="G22" s="585">
        <f>+D22/'- 7 -'!F22</f>
        <v>9146.8539397821914</v>
      </c>
      <c r="I22" s="597" t="str">
        <f>IF(+D22-'- 15 -'!B22-'- 15 -'!E22-'- 16 -'!G22=0,"","Ckeck")</f>
        <v/>
      </c>
    </row>
    <row r="23" spans="1:9" ht="14.1" customHeight="1">
      <c r="A23" s="581" t="s">
        <v>241</v>
      </c>
      <c r="B23" s="582">
        <v>11699208</v>
      </c>
      <c r="C23" s="583">
        <v>75.420468566875414</v>
      </c>
      <c r="D23" s="582">
        <v>11893108</v>
      </c>
      <c r="E23" s="583">
        <f>+D23/'- 3 -'!F23*100</f>
        <v>75.340164754831534</v>
      </c>
      <c r="F23" s="582">
        <v>9897.8071065989843</v>
      </c>
      <c r="G23" s="582">
        <f>+D23/'- 7 -'!F23</f>
        <v>10364.364270152506</v>
      </c>
      <c r="I23" s="597" t="str">
        <f>IF(+D23-'- 15 -'!B23-'- 15 -'!E23-'- 16 -'!G23=0,"","Ckeck")</f>
        <v/>
      </c>
    </row>
    <row r="24" spans="1:9" ht="14.1" customHeight="1">
      <c r="A24" s="584" t="s">
        <v>242</v>
      </c>
      <c r="B24" s="585">
        <v>41043640</v>
      </c>
      <c r="C24" s="586">
        <v>78.914468551748953</v>
      </c>
      <c r="D24" s="585">
        <v>42068257</v>
      </c>
      <c r="E24" s="586">
        <f>+D24/'- 3 -'!F24*100</f>
        <v>78.493920443423377</v>
      </c>
      <c r="F24" s="585">
        <v>9780.4456094364359</v>
      </c>
      <c r="G24" s="585">
        <f>+D24/'- 7 -'!F24</f>
        <v>10389.789330698937</v>
      </c>
      <c r="I24" s="597" t="str">
        <f>IF(+D24-'- 15 -'!B24-'- 15 -'!E24-'- 16 -'!G24=0,"","Ckeck")</f>
        <v/>
      </c>
    </row>
    <row r="25" spans="1:9" ht="14.1" customHeight="1">
      <c r="A25" s="581" t="s">
        <v>243</v>
      </c>
      <c r="B25" s="582">
        <v>126526813</v>
      </c>
      <c r="C25" s="583">
        <v>82.234314842443226</v>
      </c>
      <c r="D25" s="582">
        <v>129299278</v>
      </c>
      <c r="E25" s="583">
        <f>+D25/'- 3 -'!F25*100</f>
        <v>81.84885168584951</v>
      </c>
      <c r="F25" s="582">
        <v>9163.9612515390745</v>
      </c>
      <c r="G25" s="582">
        <f>+D25/'- 7 -'!F25</f>
        <v>9407.0045834849043</v>
      </c>
      <c r="I25" s="597" t="str">
        <f>IF(+D25-'- 15 -'!B25-'- 15 -'!E25-'- 16 -'!G25=0,"","Ckeck")</f>
        <v/>
      </c>
    </row>
    <row r="26" spans="1:9" ht="14.1" customHeight="1">
      <c r="A26" s="584" t="s">
        <v>244</v>
      </c>
      <c r="B26" s="585">
        <v>28396888</v>
      </c>
      <c r="C26" s="586">
        <v>75.040755030778811</v>
      </c>
      <c r="D26" s="585">
        <v>28803278</v>
      </c>
      <c r="E26" s="586">
        <f>+D26/'- 3 -'!F26*100</f>
        <v>74.231663438128621</v>
      </c>
      <c r="F26" s="585">
        <v>9194.3946899789535</v>
      </c>
      <c r="G26" s="585">
        <f>+D26/'- 7 -'!F26</f>
        <v>9327.4863989637306</v>
      </c>
      <c r="I26" s="597" t="str">
        <f>IF(+D26-'- 15 -'!B26-'- 15 -'!E26-'- 16 -'!G26=0,"","Ckeck")</f>
        <v/>
      </c>
    </row>
    <row r="27" spans="1:9" ht="14.1" customHeight="1">
      <c r="A27" s="581" t="s">
        <v>245</v>
      </c>
      <c r="B27" s="582">
        <v>30719523</v>
      </c>
      <c r="C27" s="583">
        <v>79.941686942556174</v>
      </c>
      <c r="D27" s="582">
        <v>31280736</v>
      </c>
      <c r="E27" s="583">
        <f>+D27/'- 3 -'!F27*100</f>
        <v>80.112767848675261</v>
      </c>
      <c r="F27" s="582">
        <v>11166.675027262814</v>
      </c>
      <c r="G27" s="582">
        <f>+D27/'- 7 -'!F27</f>
        <v>10823.784083044982</v>
      </c>
      <c r="I27" s="597" t="str">
        <f>IF(+D27-'- 15 -'!B27-'- 15 -'!E27-'- 16 -'!G27=0,"","Ckeck")</f>
        <v/>
      </c>
    </row>
    <row r="28" spans="1:9" ht="14.1" customHeight="1">
      <c r="A28" s="584" t="s">
        <v>246</v>
      </c>
      <c r="B28" s="585">
        <v>19231300</v>
      </c>
      <c r="C28" s="586">
        <v>74.394564728373751</v>
      </c>
      <c r="D28" s="585">
        <v>20401435</v>
      </c>
      <c r="E28" s="586">
        <f>+D28/'- 3 -'!F28*100</f>
        <v>75.251702929534531</v>
      </c>
      <c r="F28" s="585">
        <v>9737.3670886075943</v>
      </c>
      <c r="G28" s="585">
        <f>+D28/'- 7 -'!F28</f>
        <v>10290.761664564943</v>
      </c>
      <c r="I28" s="597" t="str">
        <f>IF(+D28-'- 15 -'!B28-'- 15 -'!E28-'- 16 -'!G28=0,"","Ckeck")</f>
        <v/>
      </c>
    </row>
    <row r="29" spans="1:9" ht="14.1" customHeight="1">
      <c r="A29" s="581" t="s">
        <v>247</v>
      </c>
      <c r="B29" s="582">
        <v>114627279</v>
      </c>
      <c r="C29" s="583">
        <v>81.051145674851441</v>
      </c>
      <c r="D29" s="582">
        <v>118713323</v>
      </c>
      <c r="E29" s="583">
        <f>+D29/'- 3 -'!F29*100</f>
        <v>81.056082923507219</v>
      </c>
      <c r="F29" s="582">
        <v>9483.1254601861419</v>
      </c>
      <c r="G29" s="582">
        <f>+D29/'- 7 -'!F29</f>
        <v>9843.151030222627</v>
      </c>
      <c r="I29" s="597" t="str">
        <f>IF(+D29-'- 15 -'!B29-'- 15 -'!E29-'- 16 -'!G29=0,"","Ckeck")</f>
        <v/>
      </c>
    </row>
    <row r="30" spans="1:9" ht="14.1" customHeight="1">
      <c r="A30" s="584" t="s">
        <v>248</v>
      </c>
      <c r="B30" s="585">
        <v>9986008</v>
      </c>
      <c r="C30" s="586">
        <v>74.288709977510308</v>
      </c>
      <c r="D30" s="585">
        <v>9976819</v>
      </c>
      <c r="E30" s="586">
        <f>+D30/'- 3 -'!F30*100</f>
        <v>74.529041791030281</v>
      </c>
      <c r="F30" s="585">
        <v>9332.7177570093463</v>
      </c>
      <c r="G30" s="585">
        <f>+D30/'- 7 -'!F30</f>
        <v>9728.7362262311071</v>
      </c>
      <c r="I30" s="597" t="str">
        <f>IF(+D30-'- 15 -'!B30-'- 15 -'!E30-'- 16 -'!G30=0,"","Ckeck")</f>
        <v/>
      </c>
    </row>
    <row r="31" spans="1:9" ht="14.1" customHeight="1">
      <c r="A31" s="581" t="s">
        <v>249</v>
      </c>
      <c r="B31" s="582">
        <v>27053894</v>
      </c>
      <c r="C31" s="583">
        <v>80.57362186669566</v>
      </c>
      <c r="D31" s="582">
        <v>28028336</v>
      </c>
      <c r="E31" s="583">
        <f>+D31/'- 3 -'!F31*100</f>
        <v>80.265492660927265</v>
      </c>
      <c r="F31" s="582">
        <v>8480.8445141065822</v>
      </c>
      <c r="G31" s="582">
        <f>+D31/'- 7 -'!F31</f>
        <v>8783.5587590097148</v>
      </c>
      <c r="I31" s="597" t="str">
        <f>IF(+D31-'- 15 -'!B31-'- 15 -'!E31-'- 16 -'!G31=0,"","Ckeck")</f>
        <v/>
      </c>
    </row>
    <row r="32" spans="1:9" ht="14.1" customHeight="1">
      <c r="A32" s="584" t="s">
        <v>250</v>
      </c>
      <c r="B32" s="585">
        <v>19070123</v>
      </c>
      <c r="C32" s="586">
        <v>75.505898132708026</v>
      </c>
      <c r="D32" s="585">
        <v>19985513</v>
      </c>
      <c r="E32" s="586">
        <f>+D32/'- 3 -'!F32*100</f>
        <v>75.918758642968314</v>
      </c>
      <c r="F32" s="585">
        <v>9322.9640674651673</v>
      </c>
      <c r="G32" s="585">
        <f>+D32/'- 7 -'!F32</f>
        <v>9501.0758260042785</v>
      </c>
      <c r="I32" s="597" t="str">
        <f>IF(+D32-'- 15 -'!B32-'- 15 -'!E32-'- 16 -'!G32=0,"","Ckeck")</f>
        <v/>
      </c>
    </row>
    <row r="33" spans="1:9" ht="14.1" customHeight="1">
      <c r="A33" s="581" t="s">
        <v>251</v>
      </c>
      <c r="B33" s="582">
        <v>19278700</v>
      </c>
      <c r="C33" s="583">
        <v>73.489419935730538</v>
      </c>
      <c r="D33" s="582">
        <v>19949024</v>
      </c>
      <c r="E33" s="583">
        <f>+D33/'- 3 -'!F33*100</f>
        <v>73.692244064104088</v>
      </c>
      <c r="F33" s="582">
        <v>9515.6465942744326</v>
      </c>
      <c r="G33" s="582">
        <f>+D33/'- 7 -'!F33</f>
        <v>10007.034863305744</v>
      </c>
      <c r="I33" s="597" t="str">
        <f>IF(+D33-'- 15 -'!B33-'- 15 -'!E33-'- 16 -'!G33=0,"","Ckeck")</f>
        <v/>
      </c>
    </row>
    <row r="34" spans="1:9" ht="14.1" customHeight="1">
      <c r="A34" s="584" t="s">
        <v>252</v>
      </c>
      <c r="B34" s="585">
        <v>18821036</v>
      </c>
      <c r="C34" s="586">
        <v>73.769829400785611</v>
      </c>
      <c r="D34" s="585">
        <v>19377761</v>
      </c>
      <c r="E34" s="586">
        <f>+D34/'- 3 -'!F34*100</f>
        <v>73.753565357852693</v>
      </c>
      <c r="F34" s="585">
        <v>9343.3857732194192</v>
      </c>
      <c r="G34" s="585">
        <f>+D34/'- 7 -'!F34</f>
        <v>9759.6378745907823</v>
      </c>
      <c r="I34" s="597" t="str">
        <f>IF(+D34-'- 15 -'!B34-'- 15 -'!E34-'- 16 -'!G34=0,"","Ckeck")</f>
        <v/>
      </c>
    </row>
    <row r="35" spans="1:9" ht="14.1" customHeight="1">
      <c r="A35" s="581" t="s">
        <v>253</v>
      </c>
      <c r="B35" s="582">
        <v>135397508</v>
      </c>
      <c r="C35" s="583">
        <v>81.106624779255938</v>
      </c>
      <c r="D35" s="582">
        <v>137605117</v>
      </c>
      <c r="E35" s="583">
        <f>+D35/'- 3 -'!F35*100</f>
        <v>81.018679810610806</v>
      </c>
      <c r="F35" s="582">
        <v>8577.3341357574991</v>
      </c>
      <c r="G35" s="582">
        <f>+D35/'- 7 -'!F35</f>
        <v>8879.4680905981804</v>
      </c>
      <c r="I35" s="597" t="str">
        <f>IF(+D35-'- 15 -'!B35-'- 15 -'!E35-'- 16 -'!G35=0,"","Ckeck")</f>
        <v/>
      </c>
    </row>
    <row r="36" spans="1:9" ht="14.1" customHeight="1">
      <c r="A36" s="584" t="s">
        <v>254</v>
      </c>
      <c r="B36" s="585">
        <v>16107550</v>
      </c>
      <c r="C36" s="586">
        <v>74.78009404876255</v>
      </c>
      <c r="D36" s="585">
        <v>16523205</v>
      </c>
      <c r="E36" s="586">
        <f>+D36/'- 3 -'!F36*100</f>
        <v>74.812010160144524</v>
      </c>
      <c r="F36" s="585">
        <v>9596.395591301758</v>
      </c>
      <c r="G36" s="585">
        <f>+D36/'- 7 -'!F36</f>
        <v>10023.175614194723</v>
      </c>
      <c r="I36" s="597" t="str">
        <f>IF(+D36-'- 15 -'!B36-'- 15 -'!E36-'- 16 -'!G36=0,"","Ckeck")</f>
        <v/>
      </c>
    </row>
    <row r="37" spans="1:9" ht="14.1" customHeight="1">
      <c r="A37" s="581" t="s">
        <v>255</v>
      </c>
      <c r="B37" s="582">
        <v>32051721</v>
      </c>
      <c r="C37" s="583">
        <v>77.246879604513353</v>
      </c>
      <c r="D37" s="582">
        <v>34784930</v>
      </c>
      <c r="E37" s="583">
        <f>+D37/'- 3 -'!F37*100</f>
        <v>78.141671618719272</v>
      </c>
      <c r="F37" s="582">
        <v>8596.4116937106082</v>
      </c>
      <c r="G37" s="582">
        <f>+D37/'- 7 -'!F37</f>
        <v>8888.4451258464287</v>
      </c>
      <c r="I37" s="597" t="str">
        <f>IF(+D37-'- 15 -'!B37-'- 15 -'!E37-'- 16 -'!G37=0,"","Ckeck")</f>
        <v/>
      </c>
    </row>
    <row r="38" spans="1:9" ht="14.1" customHeight="1">
      <c r="A38" s="584" t="s">
        <v>256</v>
      </c>
      <c r="B38" s="585">
        <v>93931460</v>
      </c>
      <c r="C38" s="586">
        <v>81.458431003014937</v>
      </c>
      <c r="D38" s="585">
        <v>97875065</v>
      </c>
      <c r="E38" s="586">
        <f>+D38/'- 3 -'!F38*100</f>
        <v>81.738090120955178</v>
      </c>
      <c r="F38" s="585">
        <v>8901.768385140258</v>
      </c>
      <c r="G38" s="585">
        <f>+D38/'- 7 -'!F38</f>
        <v>9125.4547573539694</v>
      </c>
      <c r="I38" s="597" t="str">
        <f>IF(+D38-'- 15 -'!B38-'- 15 -'!E38-'- 16 -'!G38=0,"","Ckeck")</f>
        <v/>
      </c>
    </row>
    <row r="39" spans="1:9" ht="14.1" customHeight="1">
      <c r="A39" s="581" t="s">
        <v>257</v>
      </c>
      <c r="B39" s="582">
        <v>14885190</v>
      </c>
      <c r="C39" s="583">
        <v>73.053063772522975</v>
      </c>
      <c r="D39" s="582">
        <v>15157632</v>
      </c>
      <c r="E39" s="583">
        <f>+D39/'- 3 -'!F39*100</f>
        <v>73.268202742167006</v>
      </c>
      <c r="F39" s="582">
        <v>9403.1522425773856</v>
      </c>
      <c r="G39" s="582">
        <f>+D39/'- 7 -'!F39</f>
        <v>9775.963882618511</v>
      </c>
      <c r="I39" s="597" t="str">
        <f>IF(+D39-'- 15 -'!B39-'- 15 -'!E39-'- 16 -'!G39=0,"","Ckeck")</f>
        <v/>
      </c>
    </row>
    <row r="40" spans="1:9" ht="14.1" customHeight="1">
      <c r="A40" s="584" t="s">
        <v>258</v>
      </c>
      <c r="B40" s="585">
        <v>79090429</v>
      </c>
      <c r="C40" s="586">
        <v>82.221952366666372</v>
      </c>
      <c r="D40" s="585">
        <v>80864387</v>
      </c>
      <c r="E40" s="586">
        <f>+D40/'- 3 -'!F40*100</f>
        <v>82.387395449026997</v>
      </c>
      <c r="F40" s="585">
        <v>9907.7290891553002</v>
      </c>
      <c r="G40" s="585">
        <f>+D40/'- 7 -'!F40</f>
        <v>10183.290160170964</v>
      </c>
      <c r="I40" s="597" t="str">
        <f>IF(+D40-'- 15 -'!B40-'- 15 -'!E40-'- 16 -'!G40=0,"","Ckeck")</f>
        <v/>
      </c>
    </row>
    <row r="41" spans="1:9" ht="14.1" customHeight="1">
      <c r="A41" s="581" t="s">
        <v>259</v>
      </c>
      <c r="B41" s="582">
        <v>43608811</v>
      </c>
      <c r="C41" s="583">
        <v>77.34873688250444</v>
      </c>
      <c r="D41" s="582">
        <v>44432423</v>
      </c>
      <c r="E41" s="583">
        <f>+D41/'- 3 -'!F41*100</f>
        <v>76.428620807992758</v>
      </c>
      <c r="F41" s="582">
        <v>9806.3438272993026</v>
      </c>
      <c r="G41" s="582">
        <f>+D41/'- 7 -'!F41</f>
        <v>10130.511399908801</v>
      </c>
      <c r="I41" s="597" t="str">
        <f>IF(+D41-'- 15 -'!B41-'- 15 -'!E41-'- 16 -'!G41=0,"","Ckeck")</f>
        <v/>
      </c>
    </row>
    <row r="42" spans="1:9" ht="14.1" customHeight="1">
      <c r="A42" s="584" t="s">
        <v>260</v>
      </c>
      <c r="B42" s="585">
        <v>15001209</v>
      </c>
      <c r="C42" s="586">
        <v>75.191512384447478</v>
      </c>
      <c r="D42" s="585">
        <v>15025956</v>
      </c>
      <c r="E42" s="586">
        <f>+D42/'- 3 -'!F42*100</f>
        <v>74.556189412374835</v>
      </c>
      <c r="F42" s="585">
        <v>10722.80843459614</v>
      </c>
      <c r="G42" s="585">
        <f>+D42/'- 7 -'!F42</f>
        <v>10721.338565822332</v>
      </c>
      <c r="I42" s="597" t="str">
        <f>IF(+D42-'- 15 -'!B42-'- 15 -'!E42-'- 16 -'!G42=0,"","Ckeck")</f>
        <v/>
      </c>
    </row>
    <row r="43" spans="1:9" ht="14.1" customHeight="1">
      <c r="A43" s="581" t="s">
        <v>261</v>
      </c>
      <c r="B43" s="582">
        <v>8956880</v>
      </c>
      <c r="C43" s="583">
        <v>76.62813877364762</v>
      </c>
      <c r="D43" s="582">
        <v>9373677</v>
      </c>
      <c r="E43" s="583">
        <f>+D43/'- 3 -'!F43*100</f>
        <v>76.75845270786769</v>
      </c>
      <c r="F43" s="582">
        <v>9276.9342309684107</v>
      </c>
      <c r="G43" s="582">
        <f>+D43/'- 7 -'!F43</f>
        <v>9764.2468750000007</v>
      </c>
      <c r="I43" s="597" t="str">
        <f>IF(+D43-'- 15 -'!B43-'- 15 -'!E43-'- 16 -'!G43=0,"","Ckeck")</f>
        <v/>
      </c>
    </row>
    <row r="44" spans="1:9" ht="14.1" customHeight="1">
      <c r="A44" s="584" t="s">
        <v>262</v>
      </c>
      <c r="B44" s="585">
        <v>7763381</v>
      </c>
      <c r="C44" s="586">
        <v>73.733464564797785</v>
      </c>
      <c r="D44" s="585">
        <v>7899528</v>
      </c>
      <c r="E44" s="586">
        <f>+D44/'- 3 -'!F44*100</f>
        <v>73.452775923010194</v>
      </c>
      <c r="F44" s="585">
        <v>10309.934926958831</v>
      </c>
      <c r="G44" s="585">
        <f>+D44/'- 7 -'!F44</f>
        <v>11252.888888888889</v>
      </c>
      <c r="I44" s="597" t="str">
        <f>IF(+D44-'- 15 -'!B44-'- 15 -'!E44-'- 16 -'!G44=0,"","Ckeck")</f>
        <v/>
      </c>
    </row>
    <row r="45" spans="1:9" ht="14.1" customHeight="1">
      <c r="A45" s="581" t="s">
        <v>263</v>
      </c>
      <c r="B45" s="582">
        <v>13163639</v>
      </c>
      <c r="C45" s="583">
        <v>79.785118552094332</v>
      </c>
      <c r="D45" s="582">
        <v>13636042</v>
      </c>
      <c r="E45" s="583">
        <f>+D45/'- 3 -'!F45*100</f>
        <v>79.649350015175145</v>
      </c>
      <c r="F45" s="582">
        <v>7812.2486646884272</v>
      </c>
      <c r="G45" s="582">
        <f>+D45/'- 7 -'!F45</f>
        <v>8111.8631766805474</v>
      </c>
      <c r="I45" s="597" t="str">
        <f>IF(+D45-'- 15 -'!B45-'- 15 -'!E45-'- 16 -'!G45=0,"","Ckeck")</f>
        <v/>
      </c>
    </row>
    <row r="46" spans="1:9" ht="14.1" customHeight="1">
      <c r="A46" s="584" t="s">
        <v>264</v>
      </c>
      <c r="B46" s="585">
        <v>283694700</v>
      </c>
      <c r="C46" s="586">
        <v>80.764553121976974</v>
      </c>
      <c r="D46" s="585">
        <v>290999900</v>
      </c>
      <c r="E46" s="586">
        <f>+D46/'- 3 -'!F46*100</f>
        <v>80.872461305570994</v>
      </c>
      <c r="F46" s="585">
        <v>9350.5174686882001</v>
      </c>
      <c r="G46" s="585">
        <f>+D46/'- 7 -'!F46</f>
        <v>9623.6490508631523</v>
      </c>
      <c r="I46" s="597" t="str">
        <f>IF(+D46-'- 15 -'!B46-'- 15 -'!E46-'- 16 -'!G46=0,"","Ckeck")</f>
        <v/>
      </c>
    </row>
    <row r="47" spans="1:9" ht="5.0999999999999996" customHeight="1">
      <c r="B47" s="587"/>
      <c r="C47" s="587"/>
      <c r="D47" s="587"/>
      <c r="E47" s="587"/>
      <c r="F47" s="587"/>
      <c r="G47" s="587"/>
      <c r="I47" s="597"/>
    </row>
    <row r="48" spans="1:9" ht="14.1" customHeight="1">
      <c r="A48" s="588" t="s">
        <v>265</v>
      </c>
      <c r="B48" s="589">
        <v>1616847101</v>
      </c>
      <c r="C48" s="590">
        <v>78.680491968029543</v>
      </c>
      <c r="D48" s="589">
        <f>SUM(D11:D46)</f>
        <v>1663341040</v>
      </c>
      <c r="E48" s="590">
        <f>+D48/'- 3 -'!F48*100</f>
        <v>78.568021590562338</v>
      </c>
      <c r="F48" s="589">
        <v>9316.4689548434071</v>
      </c>
      <c r="G48" s="589">
        <f>+D48/'- 7 -'!F48</f>
        <v>9622.708870630895</v>
      </c>
      <c r="I48" s="597" t="str">
        <f>IF(+D48-'- 15 -'!B48-'- 15 -'!E48-'- 16 -'!G48=0,"","Ckeck")</f>
        <v/>
      </c>
    </row>
    <row r="49" spans="1:7" ht="5.0999999999999996" customHeight="1">
      <c r="B49" s="587"/>
      <c r="C49" s="587"/>
      <c r="D49" s="587"/>
      <c r="E49" s="587"/>
      <c r="F49" s="587"/>
      <c r="G49" s="587"/>
    </row>
    <row r="50" spans="1:7" ht="49.5" customHeight="1">
      <c r="A50" s="594"/>
      <c r="B50" s="595"/>
      <c r="C50" s="595"/>
      <c r="D50" s="595"/>
      <c r="E50" s="595"/>
      <c r="F50" s="595"/>
      <c r="G50" s="595"/>
    </row>
    <row r="51" spans="1:7" ht="18" customHeight="1">
      <c r="A51" s="591" t="s">
        <v>556</v>
      </c>
      <c r="B51" s="587"/>
      <c r="C51" s="587"/>
      <c r="D51" s="587"/>
      <c r="E51" s="587"/>
      <c r="F51" s="587"/>
      <c r="G51" s="587"/>
    </row>
    <row r="52" spans="1:7" ht="13.5" customHeight="1">
      <c r="A52" s="591" t="s">
        <v>606</v>
      </c>
      <c r="B52" s="587"/>
      <c r="C52" s="587"/>
      <c r="D52" s="587"/>
      <c r="E52" s="587"/>
      <c r="F52" s="587"/>
      <c r="G52" s="587"/>
    </row>
    <row r="53" spans="1:7" ht="15" customHeight="1">
      <c r="B53" s="591"/>
      <c r="C53" s="591"/>
    </row>
    <row r="54" spans="1:7" ht="12" customHeight="1">
      <c r="B54" s="591"/>
      <c r="C54" s="591"/>
    </row>
    <row r="55" spans="1:7" ht="12" customHeight="1">
      <c r="A55" s="591"/>
      <c r="B55" s="591"/>
      <c r="C55" s="591"/>
    </row>
    <row r="56" spans="1:7" ht="12" customHeight="1">
      <c r="A56" s="591"/>
      <c r="B56" s="591"/>
      <c r="C56" s="591"/>
    </row>
    <row r="57" spans="1:7" ht="14.45" customHeight="1">
      <c r="A57" s="591"/>
    </row>
  </sheetData>
  <phoneticPr fontId="16" type="noConversion"/>
  <printOptions horizontalCentered="1"/>
  <pageMargins left="0.51180000000000003" right="0.51180000000000003" top="0.59050000000000002" bottom="0" header="0.31490000000000001" footer="0"/>
  <pageSetup scale="88" orientation="portrait" r:id="rId1"/>
  <headerFooter alignWithMargins="0">
    <oddHeader>&amp;C&amp;"Arial,Bold"&amp;10&amp;A</oddHeader>
  </headerFooter>
</worksheet>
</file>

<file path=xl/worksheets/sheet54.xml><?xml version="1.0" encoding="utf-8"?>
<worksheet xmlns="http://schemas.openxmlformats.org/spreadsheetml/2006/main" xmlns:r="http://schemas.openxmlformats.org/officeDocument/2006/relationships">
  <sheetPr codeName="Sheet61">
    <pageSetUpPr fitToPage="1"/>
  </sheetPr>
  <dimension ref="A1:I55"/>
  <sheetViews>
    <sheetView showGridLines="0" showZeros="0" workbookViewId="0"/>
  </sheetViews>
  <sheetFormatPr defaultColWidth="19.83203125" defaultRowHeight="12"/>
  <cols>
    <col min="1" max="1" width="30.83203125" style="1" customWidth="1"/>
    <col min="2" max="9" width="12.83203125" style="1" customWidth="1"/>
    <col min="10" max="16384" width="19.83203125" style="1"/>
  </cols>
  <sheetData>
    <row r="1" spans="1:9" ht="6.95" customHeight="1">
      <c r="A1" s="3"/>
      <c r="B1" s="4"/>
      <c r="C1" s="4"/>
      <c r="D1" s="4"/>
      <c r="E1" s="4"/>
      <c r="F1" s="4"/>
    </row>
    <row r="2" spans="1:9" ht="15.95" customHeight="1">
      <c r="A2" s="5" t="s">
        <v>192</v>
      </c>
      <c r="B2" s="6"/>
      <c r="C2" s="6"/>
      <c r="D2" s="6"/>
      <c r="E2" s="6"/>
      <c r="F2" s="6"/>
      <c r="G2" s="6"/>
      <c r="H2" s="6"/>
      <c r="I2" s="6"/>
    </row>
    <row r="3" spans="1:9" ht="15.95" customHeight="1">
      <c r="A3" s="46" t="str">
        <f>B9&amp;" AND "&amp;C9&amp;" BUDGET"</f>
        <v>2013/14 AND 2014/15 BUDGET</v>
      </c>
      <c r="B3" s="48"/>
      <c r="C3" s="48"/>
      <c r="D3" s="8"/>
      <c r="E3" s="8"/>
      <c r="F3" s="8"/>
      <c r="G3" s="8"/>
      <c r="H3" s="8"/>
      <c r="I3" s="8"/>
    </row>
    <row r="4" spans="1:9" ht="15.95" customHeight="1">
      <c r="B4" s="30"/>
      <c r="C4" s="30"/>
      <c r="D4" s="4"/>
      <c r="E4" s="4"/>
      <c r="F4" s="4"/>
    </row>
    <row r="5" spans="1:9" ht="15.95" customHeight="1">
      <c r="B5" s="283"/>
      <c r="C5" s="283"/>
      <c r="D5" s="4"/>
      <c r="E5" s="4"/>
      <c r="F5" s="4"/>
    </row>
    <row r="6" spans="1:9" ht="15.95" customHeight="1">
      <c r="B6" s="460" t="s">
        <v>108</v>
      </c>
      <c r="C6" s="461"/>
      <c r="D6" s="462"/>
      <c r="E6" s="463"/>
      <c r="F6" s="460" t="s">
        <v>113</v>
      </c>
      <c r="G6" s="461"/>
      <c r="H6" s="462"/>
      <c r="I6" s="463"/>
    </row>
    <row r="7" spans="1:9" ht="15.95" customHeight="1">
      <c r="B7" s="464" t="s">
        <v>188</v>
      </c>
      <c r="C7" s="465"/>
      <c r="D7" s="464" t="s">
        <v>0</v>
      </c>
      <c r="E7" s="465"/>
      <c r="F7" s="464" t="s">
        <v>191</v>
      </c>
      <c r="G7" s="465"/>
      <c r="H7" s="464" t="s">
        <v>147</v>
      </c>
      <c r="I7" s="465"/>
    </row>
    <row r="8" spans="1:9" ht="15.95" customHeight="1">
      <c r="A8" s="102"/>
      <c r="B8" s="466" t="s">
        <v>403</v>
      </c>
      <c r="C8" s="467"/>
      <c r="D8" s="466" t="s">
        <v>1</v>
      </c>
      <c r="E8" s="467"/>
      <c r="F8" s="466" t="s">
        <v>84</v>
      </c>
      <c r="G8" s="467"/>
      <c r="H8" s="466" t="s">
        <v>333</v>
      </c>
      <c r="I8" s="467"/>
    </row>
    <row r="9" spans="1:9" ht="18" customHeight="1">
      <c r="A9" s="35" t="s">
        <v>81</v>
      </c>
      <c r="B9" s="628" t="s">
        <v>649</v>
      </c>
      <c r="C9" s="628" t="s">
        <v>666</v>
      </c>
      <c r="D9" s="284" t="str">
        <f>+B9</f>
        <v>2013/14</v>
      </c>
      <c r="E9" s="629" t="s">
        <v>667</v>
      </c>
      <c r="F9" s="628" t="s">
        <v>668</v>
      </c>
      <c r="G9" s="628" t="s">
        <v>669</v>
      </c>
      <c r="H9" s="628" t="s">
        <v>668</v>
      </c>
      <c r="I9" s="628" t="s">
        <v>670</v>
      </c>
    </row>
    <row r="10" spans="1:9" ht="5.0999999999999996" customHeight="1">
      <c r="A10" s="37"/>
      <c r="D10" s="270"/>
      <c r="E10" s="270"/>
      <c r="F10" s="245"/>
      <c r="G10" s="3"/>
      <c r="H10" s="3"/>
    </row>
    <row r="11" spans="1:9" ht="14.1" customHeight="1">
      <c r="A11" s="357" t="s">
        <v>230</v>
      </c>
      <c r="B11" s="358">
        <v>10927</v>
      </c>
      <c r="C11" s="358">
        <f>'- 4 -'!E11</f>
        <v>11220</v>
      </c>
      <c r="D11" s="384">
        <v>13.424789621318373</v>
      </c>
      <c r="E11" s="384">
        <f>'- 9 -'!C11</f>
        <v>13.5278166550035</v>
      </c>
      <c r="F11" s="358">
        <v>334342</v>
      </c>
      <c r="G11" s="358">
        <f>'- 51 -'!F11</f>
        <v>387567</v>
      </c>
      <c r="H11" s="384">
        <v>14.773414251757448</v>
      </c>
      <c r="I11" s="384">
        <f>'- 48 -'!G11</f>
        <v>13.191450998307207</v>
      </c>
    </row>
    <row r="12" spans="1:9" ht="14.1" customHeight="1">
      <c r="A12" s="23" t="s">
        <v>231</v>
      </c>
      <c r="B12" s="24">
        <v>13345</v>
      </c>
      <c r="C12" s="24">
        <f>'- 4 -'!E12</f>
        <v>14122</v>
      </c>
      <c r="D12" s="67">
        <v>12.048976569524518</v>
      </c>
      <c r="E12" s="67">
        <f>'- 9 -'!C12</f>
        <v>11.602270918448561</v>
      </c>
      <c r="F12" s="24">
        <v>266111</v>
      </c>
      <c r="G12" s="24">
        <f>'- 51 -'!F12</f>
        <v>312187</v>
      </c>
      <c r="H12" s="67">
        <v>18.149988788655811</v>
      </c>
      <c r="I12" s="67">
        <f>'- 48 -'!G12</f>
        <v>16.800000153498914</v>
      </c>
    </row>
    <row r="13" spans="1:9" ht="14.1" customHeight="1">
      <c r="A13" s="357" t="s">
        <v>232</v>
      </c>
      <c r="B13" s="358">
        <v>10647</v>
      </c>
      <c r="C13" s="358">
        <f>'- 4 -'!E13</f>
        <v>10956</v>
      </c>
      <c r="D13" s="384">
        <v>12.581168780639642</v>
      </c>
      <c r="E13" s="384">
        <f>'- 9 -'!C13</f>
        <v>12.855448961499494</v>
      </c>
      <c r="F13" s="358">
        <v>293505</v>
      </c>
      <c r="G13" s="358">
        <f>'- 51 -'!F13</f>
        <v>330782</v>
      </c>
      <c r="H13" s="384">
        <v>16.577755047306972</v>
      </c>
      <c r="I13" s="384">
        <f>'- 48 -'!G13</f>
        <v>15.503878318572109</v>
      </c>
    </row>
    <row r="14" spans="1:9" ht="14.1" customHeight="1">
      <c r="A14" s="23" t="s">
        <v>566</v>
      </c>
      <c r="B14" s="24">
        <v>14147</v>
      </c>
      <c r="C14" s="24">
        <f>'- 4 -'!E14</f>
        <v>14766</v>
      </c>
      <c r="D14" s="67">
        <v>12.486830763336846</v>
      </c>
      <c r="E14" s="67">
        <f>'- 9 -'!C14</f>
        <v>12.166926105667978</v>
      </c>
      <c r="F14" s="24">
        <v>332958</v>
      </c>
      <c r="G14" s="24">
        <f>'- 51 -'!F14</f>
        <v>380178</v>
      </c>
      <c r="H14" s="67">
        <v>0</v>
      </c>
      <c r="I14" s="67">
        <f>'- 48 -'!G14</f>
        <v>0</v>
      </c>
    </row>
    <row r="15" spans="1:9" ht="14.1" customHeight="1">
      <c r="A15" s="357" t="s">
        <v>233</v>
      </c>
      <c r="B15" s="358">
        <v>12824</v>
      </c>
      <c r="C15" s="358">
        <f>'- 4 -'!E15</f>
        <v>13602</v>
      </c>
      <c r="D15" s="384">
        <v>13.241571565467376</v>
      </c>
      <c r="E15" s="384">
        <f>'- 9 -'!C15</f>
        <v>12.861949880456921</v>
      </c>
      <c r="F15" s="358">
        <v>523644</v>
      </c>
      <c r="G15" s="358">
        <f>'- 51 -'!F15</f>
        <v>556723</v>
      </c>
      <c r="H15" s="384">
        <v>11.506448245555587</v>
      </c>
      <c r="I15" s="384">
        <f>'- 48 -'!G15</f>
        <v>11.445407414871621</v>
      </c>
    </row>
    <row r="16" spans="1:9" ht="14.1" customHeight="1">
      <c r="A16" s="23" t="s">
        <v>234</v>
      </c>
      <c r="B16" s="24">
        <v>13051</v>
      </c>
      <c r="C16" s="24">
        <f>'- 4 -'!E16</f>
        <v>13900</v>
      </c>
      <c r="D16" s="67">
        <v>12.82216494845361</v>
      </c>
      <c r="E16" s="67">
        <f>'- 9 -'!C16</f>
        <v>12.35709698137444</v>
      </c>
      <c r="F16" s="24">
        <v>161798</v>
      </c>
      <c r="G16" s="24">
        <f>'- 51 -'!F16</f>
        <v>171478</v>
      </c>
      <c r="H16" s="67">
        <v>17.976861937571606</v>
      </c>
      <c r="I16" s="67">
        <f>'- 48 -'!G16</f>
        <v>19.759731717131807</v>
      </c>
    </row>
    <row r="17" spans="1:9" ht="14.1" customHeight="1">
      <c r="A17" s="357" t="s">
        <v>235</v>
      </c>
      <c r="B17" s="358">
        <v>12495</v>
      </c>
      <c r="C17" s="358">
        <f>'- 4 -'!E17</f>
        <v>12641</v>
      </c>
      <c r="D17" s="384">
        <v>13.117813193463789</v>
      </c>
      <c r="E17" s="384">
        <f>'- 9 -'!C17</f>
        <v>13.139797622556243</v>
      </c>
      <c r="F17" s="358">
        <v>500514</v>
      </c>
      <c r="G17" s="358">
        <f>'- 51 -'!F17</f>
        <v>633237</v>
      </c>
      <c r="H17" s="384">
        <v>11.830673908994086</v>
      </c>
      <c r="I17" s="384">
        <f>'- 48 -'!G17</f>
        <v>9.7989453264793145</v>
      </c>
    </row>
    <row r="18" spans="1:9" ht="14.1" customHeight="1">
      <c r="A18" s="23" t="s">
        <v>236</v>
      </c>
      <c r="B18" s="24">
        <v>18451</v>
      </c>
      <c r="C18" s="24">
        <f>'- 4 -'!E18</f>
        <v>19364</v>
      </c>
      <c r="D18" s="67">
        <v>12.158128828371893</v>
      </c>
      <c r="E18" s="67">
        <f>'- 9 -'!C18</f>
        <v>11.976592977893366</v>
      </c>
      <c r="F18" s="24">
        <v>74270</v>
      </c>
      <c r="G18" s="24">
        <f>'- 51 -'!F18</f>
        <v>84926</v>
      </c>
      <c r="H18" s="67">
        <v>16.500003201250781</v>
      </c>
      <c r="I18" s="67">
        <f>'- 48 -'!G18</f>
        <v>15.399089808959722</v>
      </c>
    </row>
    <row r="19" spans="1:9" ht="14.1" customHeight="1">
      <c r="A19" s="357" t="s">
        <v>237</v>
      </c>
      <c r="B19" s="358">
        <v>10296</v>
      </c>
      <c r="C19" s="358">
        <f>'- 4 -'!E19</f>
        <v>10632</v>
      </c>
      <c r="D19" s="384">
        <v>14.678291194420227</v>
      </c>
      <c r="E19" s="384">
        <f>'- 9 -'!C19</f>
        <v>14.331131876624744</v>
      </c>
      <c r="F19" s="358">
        <v>191134</v>
      </c>
      <c r="G19" s="358">
        <f>'- 51 -'!F19</f>
        <v>219557</v>
      </c>
      <c r="H19" s="384">
        <v>19.810443430881755</v>
      </c>
      <c r="I19" s="384">
        <f>'- 48 -'!G19</f>
        <v>18.048591468952221</v>
      </c>
    </row>
    <row r="20" spans="1:9" ht="14.1" customHeight="1">
      <c r="A20" s="23" t="s">
        <v>238</v>
      </c>
      <c r="B20" s="24">
        <v>9411</v>
      </c>
      <c r="C20" s="24">
        <f>'- 4 -'!E20</f>
        <v>9998</v>
      </c>
      <c r="D20" s="67">
        <v>15.249890270369765</v>
      </c>
      <c r="E20" s="67">
        <f>'- 9 -'!C20</f>
        <v>15.006591067911822</v>
      </c>
      <c r="F20" s="24">
        <v>200904</v>
      </c>
      <c r="G20" s="24">
        <f>'- 51 -'!F20</f>
        <v>228578</v>
      </c>
      <c r="H20" s="67">
        <v>16.786458600169674</v>
      </c>
      <c r="I20" s="67">
        <f>'- 48 -'!G20</f>
        <v>15.592550945418797</v>
      </c>
    </row>
    <row r="21" spans="1:9" ht="14.1" customHeight="1">
      <c r="A21" s="357" t="s">
        <v>239</v>
      </c>
      <c r="B21" s="358">
        <v>12568</v>
      </c>
      <c r="C21" s="358">
        <f>'- 4 -'!E21</f>
        <v>12877</v>
      </c>
      <c r="D21" s="384">
        <v>11.867996117532867</v>
      </c>
      <c r="E21" s="384">
        <f>'- 9 -'!C21</f>
        <v>11.63167104111986</v>
      </c>
      <c r="F21" s="358">
        <v>326227</v>
      </c>
      <c r="G21" s="358">
        <f>'- 51 -'!F21</f>
        <v>377069</v>
      </c>
      <c r="H21" s="384">
        <v>15.034367295845755</v>
      </c>
      <c r="I21" s="384">
        <f>'- 48 -'!G21</f>
        <v>14.002574922053272</v>
      </c>
    </row>
    <row r="22" spans="1:9" ht="14.1" customHeight="1">
      <c r="A22" s="23" t="s">
        <v>240</v>
      </c>
      <c r="B22" s="24">
        <v>11759</v>
      </c>
      <c r="C22" s="24">
        <f>'- 4 -'!E22</f>
        <v>11983</v>
      </c>
      <c r="D22" s="67">
        <v>13.184039087947882</v>
      </c>
      <c r="E22" s="67">
        <f>'- 9 -'!C22</f>
        <v>12.609046849757673</v>
      </c>
      <c r="F22" s="24">
        <v>117688</v>
      </c>
      <c r="G22" s="24">
        <f>'- 51 -'!F22</f>
        <v>138197</v>
      </c>
      <c r="H22" s="67">
        <v>22.353353273156841</v>
      </c>
      <c r="I22" s="67">
        <f>'- 48 -'!G22</f>
        <v>20.045892611289585</v>
      </c>
    </row>
    <row r="23" spans="1:9" ht="14.1" customHeight="1">
      <c r="A23" s="357" t="s">
        <v>241</v>
      </c>
      <c r="B23" s="358">
        <v>13124</v>
      </c>
      <c r="C23" s="358">
        <f>'- 4 -'!E23</f>
        <v>13757</v>
      </c>
      <c r="D23" s="384">
        <v>11.903323262839878</v>
      </c>
      <c r="E23" s="384">
        <f>'- 9 -'!C23</f>
        <v>11.532663316582914</v>
      </c>
      <c r="F23" s="358">
        <v>192446</v>
      </c>
      <c r="G23" s="358">
        <f>'- 51 -'!F23</f>
        <v>221961</v>
      </c>
      <c r="H23" s="384">
        <v>19.995764725935832</v>
      </c>
      <c r="I23" s="384">
        <f>'- 48 -'!G23</f>
        <v>18.741523598823758</v>
      </c>
    </row>
    <row r="24" spans="1:9" ht="14.1" customHeight="1">
      <c r="A24" s="23" t="s">
        <v>242</v>
      </c>
      <c r="B24" s="24">
        <v>12394</v>
      </c>
      <c r="C24" s="24">
        <f>'- 4 -'!E24</f>
        <v>13236</v>
      </c>
      <c r="D24" s="67">
        <v>12.680929501707309</v>
      </c>
      <c r="E24" s="67">
        <f>'- 9 -'!C24</f>
        <v>12.155508856199338</v>
      </c>
      <c r="F24" s="24">
        <v>378175</v>
      </c>
      <c r="G24" s="24">
        <f>'- 51 -'!F24</f>
        <v>418643</v>
      </c>
      <c r="H24" s="67">
        <v>14.466649987853678</v>
      </c>
      <c r="I24" s="67">
        <f>'- 48 -'!G24</f>
        <v>14.133029629070325</v>
      </c>
    </row>
    <row r="25" spans="1:9" ht="14.1" customHeight="1">
      <c r="A25" s="357" t="s">
        <v>243</v>
      </c>
      <c r="B25" s="358">
        <v>11144</v>
      </c>
      <c r="C25" s="358">
        <f>'- 4 -'!E25</f>
        <v>11493</v>
      </c>
      <c r="D25" s="384">
        <v>14.035069885641677</v>
      </c>
      <c r="E25" s="384">
        <f>'- 9 -'!C25</f>
        <v>14.00949934768428</v>
      </c>
      <c r="F25" s="358">
        <v>386366</v>
      </c>
      <c r="G25" s="358">
        <f>'- 51 -'!F25</f>
        <v>434934</v>
      </c>
      <c r="H25" s="384">
        <v>13.283493527850837</v>
      </c>
      <c r="I25" s="384">
        <f>'- 48 -'!G25</f>
        <v>12.484783995009286</v>
      </c>
    </row>
    <row r="26" spans="1:9" ht="14.1" customHeight="1">
      <c r="A26" s="23" t="s">
        <v>244</v>
      </c>
      <c r="B26" s="24">
        <v>12253</v>
      </c>
      <c r="C26" s="24">
        <f>'- 4 -'!E26</f>
        <v>12565</v>
      </c>
      <c r="D26" s="67">
        <v>13.159352364720919</v>
      </c>
      <c r="E26" s="67">
        <f>'- 9 -'!C26</f>
        <v>13.213521608900299</v>
      </c>
      <c r="F26" s="24">
        <v>239324</v>
      </c>
      <c r="G26" s="24">
        <f>'- 51 -'!F26</f>
        <v>288425</v>
      </c>
      <c r="H26" s="67">
        <v>19.090216824236443</v>
      </c>
      <c r="I26" s="67">
        <f>'- 48 -'!G26</f>
        <v>16.547459983579991</v>
      </c>
    </row>
    <row r="27" spans="1:9" ht="14.1" customHeight="1">
      <c r="A27" s="357" t="s">
        <v>245</v>
      </c>
      <c r="B27" s="358">
        <v>13969</v>
      </c>
      <c r="C27" s="358">
        <f>'- 4 -'!E27</f>
        <v>13511</v>
      </c>
      <c r="D27" s="384">
        <v>11.32937978749691</v>
      </c>
      <c r="E27" s="384">
        <f>'- 9 -'!C27</f>
        <v>11.917525773195875</v>
      </c>
      <c r="F27" s="358">
        <v>176303</v>
      </c>
      <c r="G27" s="358">
        <f>'- 51 -'!F27</f>
        <v>186626</v>
      </c>
      <c r="H27" s="384">
        <v>18.635027696905503</v>
      </c>
      <c r="I27" s="384">
        <f>'- 48 -'!G27</f>
        <v>17.726462227685616</v>
      </c>
    </row>
    <row r="28" spans="1:9" ht="14.1" customHeight="1">
      <c r="A28" s="23" t="s">
        <v>246</v>
      </c>
      <c r="B28" s="24">
        <v>13089</v>
      </c>
      <c r="C28" s="24">
        <f>'- 4 -'!E28</f>
        <v>13675</v>
      </c>
      <c r="D28" s="67">
        <v>11.878127405696693</v>
      </c>
      <c r="E28" s="67">
        <f>'- 9 -'!C28</f>
        <v>11.706524948331857</v>
      </c>
      <c r="F28" s="24">
        <v>328910</v>
      </c>
      <c r="G28" s="24">
        <f>'- 51 -'!F28</f>
        <v>407336</v>
      </c>
      <c r="H28" s="67">
        <v>15.160461091796163</v>
      </c>
      <c r="I28" s="67">
        <f>'- 48 -'!G28</f>
        <v>12.784190530898323</v>
      </c>
    </row>
    <row r="29" spans="1:9" ht="14.1" customHeight="1">
      <c r="A29" s="357" t="s">
        <v>247</v>
      </c>
      <c r="B29" s="358">
        <v>11700</v>
      </c>
      <c r="C29" s="358">
        <f>'- 4 -'!E29</f>
        <v>12144</v>
      </c>
      <c r="D29" s="384">
        <v>13.885538362569068</v>
      </c>
      <c r="E29" s="384">
        <f>'- 9 -'!C29</f>
        <v>13.711813727162138</v>
      </c>
      <c r="F29" s="358">
        <v>477417</v>
      </c>
      <c r="G29" s="358">
        <f>'- 51 -'!F29</f>
        <v>551535</v>
      </c>
      <c r="H29" s="384">
        <v>13.227617198353357</v>
      </c>
      <c r="I29" s="384">
        <f>'- 48 -'!G29</f>
        <v>12.149599950433091</v>
      </c>
    </row>
    <row r="30" spans="1:9" ht="14.1" customHeight="1">
      <c r="A30" s="23" t="s">
        <v>248</v>
      </c>
      <c r="B30" s="24">
        <v>12563</v>
      </c>
      <c r="C30" s="24">
        <f>'- 4 -'!E30</f>
        <v>13054</v>
      </c>
      <c r="D30" s="67">
        <v>12.601578141561651</v>
      </c>
      <c r="E30" s="67">
        <f>'- 9 -'!C30</f>
        <v>12.340553549939832</v>
      </c>
      <c r="F30" s="24">
        <v>281298</v>
      </c>
      <c r="G30" s="24">
        <f>'- 51 -'!F30</f>
        <v>343756</v>
      </c>
      <c r="H30" s="67">
        <v>17.092347782855803</v>
      </c>
      <c r="I30" s="67">
        <f>'- 48 -'!G30</f>
        <v>14.145540122933898</v>
      </c>
    </row>
    <row r="31" spans="1:9" ht="14.1" customHeight="1">
      <c r="A31" s="357" t="s">
        <v>249</v>
      </c>
      <c r="B31" s="358">
        <v>10526</v>
      </c>
      <c r="C31" s="358">
        <f>'- 4 -'!E31</f>
        <v>10943</v>
      </c>
      <c r="D31" s="384">
        <v>13.268446884618584</v>
      </c>
      <c r="E31" s="384">
        <f>'- 9 -'!C31</f>
        <v>13.119269826912797</v>
      </c>
      <c r="F31" s="358">
        <v>291960</v>
      </c>
      <c r="G31" s="358">
        <f>'- 51 -'!F31</f>
        <v>333528</v>
      </c>
      <c r="H31" s="384">
        <v>15.729658604768465</v>
      </c>
      <c r="I31" s="384">
        <f>'- 48 -'!G31</f>
        <v>14.53646802063893</v>
      </c>
    </row>
    <row r="32" spans="1:9" ht="14.1" customHeight="1">
      <c r="A32" s="23" t="s">
        <v>250</v>
      </c>
      <c r="B32" s="24">
        <v>12347</v>
      </c>
      <c r="C32" s="24">
        <f>'- 4 -'!E32</f>
        <v>12515</v>
      </c>
      <c r="D32" s="67">
        <v>12.423322198603099</v>
      </c>
      <c r="E32" s="67">
        <f>'- 9 -'!C32</f>
        <v>12.268883056284633</v>
      </c>
      <c r="F32" s="24">
        <v>361527</v>
      </c>
      <c r="G32" s="24">
        <f>'- 51 -'!F32</f>
        <v>430460</v>
      </c>
      <c r="H32" s="67">
        <v>14.473853859252268</v>
      </c>
      <c r="I32" s="67">
        <f>'- 48 -'!G32</f>
        <v>12.937327383458204</v>
      </c>
    </row>
    <row r="33" spans="1:9" ht="14.1" customHeight="1">
      <c r="A33" s="357" t="s">
        <v>251</v>
      </c>
      <c r="B33" s="358">
        <v>12948</v>
      </c>
      <c r="C33" s="358">
        <f>'- 4 -'!E33</f>
        <v>13579</v>
      </c>
      <c r="D33" s="384">
        <v>13.250057225074393</v>
      </c>
      <c r="E33" s="384">
        <f>'- 9 -'!C33</f>
        <v>12.910098825236055</v>
      </c>
      <c r="F33" s="358">
        <v>336280</v>
      </c>
      <c r="G33" s="358">
        <f>'- 51 -'!F33</f>
        <v>405331</v>
      </c>
      <c r="H33" s="384">
        <v>15.888112386483442</v>
      </c>
      <c r="I33" s="384">
        <f>'- 48 -'!G33</f>
        <v>14.126698638773998</v>
      </c>
    </row>
    <row r="34" spans="1:9" ht="14.1" customHeight="1">
      <c r="A34" s="23" t="s">
        <v>252</v>
      </c>
      <c r="B34" s="24">
        <v>12666</v>
      </c>
      <c r="C34" s="24">
        <f>'- 4 -'!E34</f>
        <v>13233</v>
      </c>
      <c r="D34" s="67">
        <v>13.109267213328124</v>
      </c>
      <c r="E34" s="67">
        <f>'- 9 -'!C34</f>
        <v>12.501967698265277</v>
      </c>
      <c r="F34" s="24">
        <v>356869</v>
      </c>
      <c r="G34" s="24">
        <f>'- 51 -'!F34</f>
        <v>428477</v>
      </c>
      <c r="H34" s="67">
        <v>16.799831080446435</v>
      </c>
      <c r="I34" s="67">
        <f>'- 48 -'!G34</f>
        <v>15.359471480886524</v>
      </c>
    </row>
    <row r="35" spans="1:9" ht="14.1" customHeight="1">
      <c r="A35" s="357" t="s">
        <v>253</v>
      </c>
      <c r="B35" s="358">
        <v>10575</v>
      </c>
      <c r="C35" s="358">
        <f>'- 4 -'!E35</f>
        <v>10960</v>
      </c>
      <c r="D35" s="384">
        <v>14.060551537392667</v>
      </c>
      <c r="E35" s="384">
        <f>'- 9 -'!C35</f>
        <v>13.875632358866456</v>
      </c>
      <c r="F35" s="358">
        <v>322136</v>
      </c>
      <c r="G35" s="358">
        <f>'- 51 -'!F35</f>
        <v>367134</v>
      </c>
      <c r="H35" s="384">
        <v>14.638837452834139</v>
      </c>
      <c r="I35" s="384">
        <f>'- 48 -'!G35</f>
        <v>13.297131264911027</v>
      </c>
    </row>
    <row r="36" spans="1:9" ht="14.1" customHeight="1">
      <c r="A36" s="23" t="s">
        <v>254</v>
      </c>
      <c r="B36" s="24">
        <v>12833</v>
      </c>
      <c r="C36" s="24">
        <f>'- 4 -'!E36</f>
        <v>13398</v>
      </c>
      <c r="D36" s="67">
        <v>12.671941294599042</v>
      </c>
      <c r="E36" s="67">
        <f>'- 9 -'!C36</f>
        <v>12.220616034693652</v>
      </c>
      <c r="F36" s="24">
        <v>384825</v>
      </c>
      <c r="G36" s="24">
        <f>'- 51 -'!F36</f>
        <v>465026</v>
      </c>
      <c r="H36" s="67">
        <v>15.18739967854483</v>
      </c>
      <c r="I36" s="67">
        <f>'- 48 -'!G36</f>
        <v>13.258150836731502</v>
      </c>
    </row>
    <row r="37" spans="1:9" ht="14.1" customHeight="1">
      <c r="A37" s="357" t="s">
        <v>255</v>
      </c>
      <c r="B37" s="358">
        <v>11128</v>
      </c>
      <c r="C37" s="358">
        <f>'- 4 -'!E37</f>
        <v>11375</v>
      </c>
      <c r="D37" s="384">
        <v>13.999549431156836</v>
      </c>
      <c r="E37" s="384">
        <f>'- 9 -'!C37</f>
        <v>13.697455461831929</v>
      </c>
      <c r="F37" s="358">
        <v>244406</v>
      </c>
      <c r="G37" s="358">
        <f>'- 51 -'!F37</f>
        <v>269815</v>
      </c>
      <c r="H37" s="384">
        <v>15.536429544550314</v>
      </c>
      <c r="I37" s="384">
        <f>'- 48 -'!G37</f>
        <v>14.499335449878744</v>
      </c>
    </row>
    <row r="38" spans="1:9" ht="14.1" customHeight="1">
      <c r="A38" s="23" t="s">
        <v>256</v>
      </c>
      <c r="B38" s="24">
        <v>10928</v>
      </c>
      <c r="C38" s="24">
        <f>'- 4 -'!E38</f>
        <v>11164</v>
      </c>
      <c r="D38" s="67">
        <v>14.257918062912116</v>
      </c>
      <c r="E38" s="67">
        <f>'- 9 -'!C38</f>
        <v>14.105261773563566</v>
      </c>
      <c r="F38" s="24">
        <v>250139</v>
      </c>
      <c r="G38" s="24">
        <f>'- 51 -'!F38</f>
        <v>293747</v>
      </c>
      <c r="H38" s="67">
        <v>16.958346909368956</v>
      </c>
      <c r="I38" s="67">
        <f>'- 48 -'!G38</f>
        <v>14.933318426763881</v>
      </c>
    </row>
    <row r="39" spans="1:9" ht="14.1" customHeight="1">
      <c r="A39" s="357" t="s">
        <v>257</v>
      </c>
      <c r="B39" s="358">
        <v>12872</v>
      </c>
      <c r="C39" s="358">
        <f>'- 4 -'!E39</f>
        <v>13343</v>
      </c>
      <c r="D39" s="384">
        <v>12.664506580263209</v>
      </c>
      <c r="E39" s="384">
        <f>'- 9 -'!C39</f>
        <v>12.398048936510476</v>
      </c>
      <c r="F39" s="358">
        <v>435619</v>
      </c>
      <c r="G39" s="358">
        <f>'- 51 -'!F39</f>
        <v>601208</v>
      </c>
      <c r="H39" s="384">
        <v>14.968209923612523</v>
      </c>
      <c r="I39" s="384">
        <f>'- 48 -'!G39</f>
        <v>11.307003974110645</v>
      </c>
    </row>
    <row r="40" spans="1:9" ht="14.1" customHeight="1">
      <c r="A40" s="23" t="s">
        <v>258</v>
      </c>
      <c r="B40" s="24">
        <v>12050</v>
      </c>
      <c r="C40" s="24">
        <f>'- 4 -'!E40</f>
        <v>12360</v>
      </c>
      <c r="D40" s="67">
        <v>13.967001434720226</v>
      </c>
      <c r="E40" s="67">
        <f>'- 9 -'!C40</f>
        <v>13.484733731829914</v>
      </c>
      <c r="F40" s="24">
        <v>462221</v>
      </c>
      <c r="G40" s="24">
        <f>'- 51 -'!F40</f>
        <v>535789</v>
      </c>
      <c r="H40" s="67">
        <v>13.398505086892365</v>
      </c>
      <c r="I40" s="67">
        <f>'- 48 -'!G40</f>
        <v>12.150705147562073</v>
      </c>
    </row>
    <row r="41" spans="1:9" ht="14.1" customHeight="1">
      <c r="A41" s="357" t="s">
        <v>259</v>
      </c>
      <c r="B41" s="358">
        <v>12678</v>
      </c>
      <c r="C41" s="358">
        <f>'- 4 -'!E41</f>
        <v>13255</v>
      </c>
      <c r="D41" s="384">
        <v>12.645018198362147</v>
      </c>
      <c r="E41" s="384">
        <f>'- 9 -'!C41</f>
        <v>12.670075396481497</v>
      </c>
      <c r="F41" s="358">
        <v>396863</v>
      </c>
      <c r="G41" s="358">
        <f>'- 51 -'!F41</f>
        <v>451149</v>
      </c>
      <c r="H41" s="384">
        <v>14.857944819805915</v>
      </c>
      <c r="I41" s="384">
        <f>'- 48 -'!G41</f>
        <v>13.778411867481402</v>
      </c>
    </row>
    <row r="42" spans="1:9" ht="14.1" customHeight="1">
      <c r="A42" s="23" t="s">
        <v>260</v>
      </c>
      <c r="B42" s="24">
        <v>14261</v>
      </c>
      <c r="C42" s="24">
        <f>'- 4 -'!E42</f>
        <v>14380</v>
      </c>
      <c r="D42" s="67">
        <v>11.872029871011542</v>
      </c>
      <c r="E42" s="67">
        <f>'- 9 -'!C42</f>
        <v>12.403752544472963</v>
      </c>
      <c r="F42" s="24">
        <v>241928</v>
      </c>
      <c r="G42" s="24">
        <f>'- 51 -'!F42</f>
        <v>292574</v>
      </c>
      <c r="H42" s="67">
        <v>18.678137856399569</v>
      </c>
      <c r="I42" s="67">
        <f>'- 48 -'!G42</f>
        <v>16.303344583292652</v>
      </c>
    </row>
    <row r="43" spans="1:9" ht="14.1" customHeight="1">
      <c r="A43" s="357" t="s">
        <v>261</v>
      </c>
      <c r="B43" s="358">
        <v>12106</v>
      </c>
      <c r="C43" s="358">
        <f>'- 4 -'!E43</f>
        <v>12721</v>
      </c>
      <c r="D43" s="384">
        <v>12.687253613666229</v>
      </c>
      <c r="E43" s="384">
        <f>'- 9 -'!C43</f>
        <v>12.379110251450678</v>
      </c>
      <c r="F43" s="358">
        <v>354995</v>
      </c>
      <c r="G43" s="358">
        <f>'- 51 -'!F43</f>
        <v>422932</v>
      </c>
      <c r="H43" s="384">
        <v>16.366904290057438</v>
      </c>
      <c r="I43" s="384">
        <f>'- 48 -'!G43</f>
        <v>14.551783702463959</v>
      </c>
    </row>
    <row r="44" spans="1:9" ht="14.1" customHeight="1">
      <c r="A44" s="23" t="s">
        <v>262</v>
      </c>
      <c r="B44" s="24">
        <v>13983</v>
      </c>
      <c r="C44" s="24">
        <f>'- 4 -'!E44</f>
        <v>15320</v>
      </c>
      <c r="D44" s="67">
        <v>11.99617651744464</v>
      </c>
      <c r="E44" s="67">
        <f>'- 9 -'!C44</f>
        <v>11.262634365474089</v>
      </c>
      <c r="F44" s="24">
        <v>186381</v>
      </c>
      <c r="G44" s="24">
        <f>'- 51 -'!F44</f>
        <v>209531</v>
      </c>
      <c r="H44" s="67">
        <v>19.320924401324479</v>
      </c>
      <c r="I44" s="67">
        <f>'- 48 -'!G44</f>
        <v>18.699481204322574</v>
      </c>
    </row>
    <row r="45" spans="1:9" ht="14.1" customHeight="1">
      <c r="A45" s="357" t="s">
        <v>263</v>
      </c>
      <c r="B45" s="358">
        <v>9792</v>
      </c>
      <c r="C45" s="358">
        <f>'- 4 -'!E45</f>
        <v>10184</v>
      </c>
      <c r="D45" s="384">
        <v>15.020502763415939</v>
      </c>
      <c r="E45" s="384">
        <f>'- 9 -'!C45</f>
        <v>14.430423212292901</v>
      </c>
      <c r="F45" s="358">
        <v>247042</v>
      </c>
      <c r="G45" s="358">
        <f>'- 51 -'!F45</f>
        <v>277676</v>
      </c>
      <c r="H45" s="384">
        <v>18.381702655581645</v>
      </c>
      <c r="I45" s="384">
        <f>'- 48 -'!G45</f>
        <v>17.058503766076356</v>
      </c>
    </row>
    <row r="46" spans="1:9" ht="14.1" customHeight="1">
      <c r="A46" s="23" t="s">
        <v>264</v>
      </c>
      <c r="B46" s="24">
        <v>11578</v>
      </c>
      <c r="C46" s="24">
        <f>'- 4 -'!E46</f>
        <v>11900</v>
      </c>
      <c r="D46" s="67">
        <v>13.812066665756181</v>
      </c>
      <c r="E46" s="67">
        <f>'- 9 -'!C46</f>
        <v>13.674123717400837</v>
      </c>
      <c r="F46" s="24">
        <v>313548</v>
      </c>
      <c r="G46" s="24">
        <f>'- 51 -'!F46</f>
        <v>360004</v>
      </c>
      <c r="H46" s="67">
        <v>16.733323868677022</v>
      </c>
      <c r="I46" s="67">
        <f>'- 48 -'!G46</f>
        <v>15.04641358769644</v>
      </c>
    </row>
    <row r="47" spans="1:9" ht="5.0999999999999996" customHeight="1">
      <c r="B47" s="170"/>
      <c r="C47" s="170"/>
      <c r="D47" s="268"/>
      <c r="E47" s="268"/>
      <c r="F47" s="170"/>
      <c r="G47" s="170"/>
      <c r="H47" s="268"/>
      <c r="I47" s="268"/>
    </row>
    <row r="48" spans="1:9" ht="14.1" customHeight="1">
      <c r="A48" s="360" t="s">
        <v>265</v>
      </c>
      <c r="B48" s="416">
        <v>11841</v>
      </c>
      <c r="C48" s="416">
        <f>'- 4 -'!E48</f>
        <v>12248</v>
      </c>
      <c r="D48" s="482">
        <v>13.455141478191502</v>
      </c>
      <c r="E48" s="482">
        <f>'- 9 -'!C48</f>
        <v>13.288038414633778</v>
      </c>
      <c r="F48" s="416">
        <v>322662.28382405615</v>
      </c>
      <c r="G48" s="416">
        <f>'- 51 -'!F48</f>
        <v>371563.31300966541</v>
      </c>
      <c r="H48" s="482">
        <v>15.286442903116251</v>
      </c>
      <c r="I48" s="482">
        <f>'- 48 -'!G48</f>
        <v>13.923862577589491</v>
      </c>
    </row>
    <row r="49" spans="1:9" ht="5.0999999999999996" customHeight="1">
      <c r="B49" s="170"/>
      <c r="C49" s="170"/>
      <c r="D49" s="268"/>
      <c r="E49" s="268"/>
      <c r="F49" s="170"/>
      <c r="G49" s="170"/>
      <c r="H49" s="268"/>
      <c r="I49" s="268"/>
    </row>
    <row r="50" spans="1:9" ht="14.45" customHeight="1">
      <c r="A50" s="23" t="s">
        <v>266</v>
      </c>
      <c r="B50" s="24">
        <v>19472</v>
      </c>
      <c r="C50" s="24">
        <f>'- 4 -'!E50</f>
        <v>18593</v>
      </c>
      <c r="D50" s="266">
        <v>8.1265206812652071</v>
      </c>
      <c r="E50" s="266">
        <f>'- 9 -'!C50</f>
        <v>7.8405017921146953</v>
      </c>
      <c r="F50" s="169"/>
      <c r="G50" s="169"/>
      <c r="H50" s="266"/>
      <c r="I50" s="266"/>
    </row>
    <row r="51" spans="1:9" ht="50.1" customHeight="1">
      <c r="A51" s="27"/>
      <c r="B51" s="27"/>
      <c r="C51" s="27"/>
      <c r="D51" s="27"/>
      <c r="E51" s="27"/>
      <c r="F51" s="27"/>
      <c r="G51" s="27"/>
      <c r="H51" s="27"/>
      <c r="I51" s="27"/>
    </row>
    <row r="52" spans="1:9" ht="15" customHeight="1">
      <c r="A52" s="39" t="s">
        <v>578</v>
      </c>
      <c r="B52" s="39"/>
      <c r="C52" s="39"/>
      <c r="D52" s="39"/>
      <c r="E52" s="39"/>
      <c r="F52" s="39"/>
    </row>
    <row r="53" spans="1:9" ht="12" customHeight="1">
      <c r="A53" s="39" t="s">
        <v>579</v>
      </c>
      <c r="B53" s="39"/>
      <c r="C53" s="39"/>
      <c r="D53" s="39"/>
      <c r="E53" s="39"/>
      <c r="F53" s="39"/>
    </row>
    <row r="54" spans="1:9" ht="12" customHeight="1">
      <c r="A54" s="39" t="s">
        <v>580</v>
      </c>
      <c r="B54" s="39"/>
      <c r="C54" s="39"/>
      <c r="D54" s="39"/>
      <c r="E54" s="39"/>
      <c r="F54" s="39"/>
    </row>
    <row r="55" spans="1:9">
      <c r="A55" s="39" t="s">
        <v>644</v>
      </c>
    </row>
  </sheetData>
  <phoneticPr fontId="0" type="noConversion"/>
  <printOptions horizontalCentered="1"/>
  <pageMargins left="0.51181102362204722" right="0.51181102362204722" top="0.59055118110236227" bottom="0" header="0.31496062992125984" footer="0"/>
  <pageSetup scale="88" orientation="portrait" r:id="rId1"/>
  <headerFooter alignWithMargins="0">
    <oddHeader>&amp;C&amp;"Arial,Bold"&amp;10&amp;A</oddHeader>
  </headerFooter>
</worksheet>
</file>

<file path=xl/worksheets/sheet55.xml><?xml version="1.0" encoding="utf-8"?>
<worksheet xmlns="http://schemas.openxmlformats.org/spreadsheetml/2006/main" xmlns:r="http://schemas.openxmlformats.org/officeDocument/2006/relationships">
  <sheetPr transitionEvaluation="1" codeName="Sheet49"/>
  <dimension ref="A1:T55"/>
  <sheetViews>
    <sheetView showGridLines="0" defaultGridColor="0" colorId="22" workbookViewId="0">
      <pane xSplit="2" ySplit="10" topLeftCell="F11" activePane="bottomRight" state="frozen"/>
      <selection pane="topRight" activeCell="C1" sqref="C1"/>
      <selection pane="bottomLeft" activeCell="A11" sqref="A11"/>
      <selection pane="bottomRight"/>
    </sheetView>
  </sheetViews>
  <sheetFormatPr defaultColWidth="15.83203125" defaultRowHeight="12"/>
  <cols>
    <col min="1" max="1" width="5.83203125" style="1" customWidth="1"/>
    <col min="2" max="2" width="30.83203125" style="1" customWidth="1"/>
    <col min="3" max="14" width="15.83203125" style="1" customWidth="1"/>
    <col min="15" max="16" width="15.83203125" style="1"/>
    <col min="17" max="17" width="22.33203125" style="1" bestFit="1" customWidth="1"/>
    <col min="18" max="16384" width="15.83203125" style="1"/>
  </cols>
  <sheetData>
    <row r="1" spans="1:20" ht="6" customHeight="1">
      <c r="A1" s="3"/>
      <c r="B1" s="243"/>
      <c r="C1" s="243"/>
      <c r="D1" s="243"/>
      <c r="E1" s="243"/>
      <c r="F1" s="243"/>
      <c r="G1" s="243"/>
      <c r="H1" s="243"/>
      <c r="I1" s="243"/>
      <c r="J1" s="243"/>
      <c r="K1" s="243"/>
      <c r="L1" s="243"/>
      <c r="M1" s="243"/>
      <c r="N1" s="243"/>
    </row>
    <row r="2" spans="1:20">
      <c r="A2" s="243"/>
      <c r="B2" s="205"/>
      <c r="C2" s="205"/>
      <c r="D2" s="205"/>
      <c r="E2" s="205"/>
      <c r="F2" s="205"/>
      <c r="G2" s="205"/>
      <c r="H2" s="205"/>
      <c r="I2" s="205"/>
      <c r="J2" s="205"/>
      <c r="K2" s="205"/>
      <c r="L2" s="205"/>
      <c r="M2" s="205"/>
      <c r="N2" s="205"/>
      <c r="P2" s="328"/>
      <c r="Q2" s="608" t="s">
        <v>622</v>
      </c>
      <c r="R2" s="609" t="s">
        <v>623</v>
      </c>
    </row>
    <row r="3" spans="1:20">
      <c r="A3" s="269" t="s">
        <v>97</v>
      </c>
      <c r="B3" s="1" t="s">
        <v>168</v>
      </c>
      <c r="C3" s="243"/>
      <c r="D3" s="243"/>
      <c r="E3" s="243"/>
      <c r="F3" s="243"/>
      <c r="G3" s="243"/>
      <c r="H3" s="243"/>
      <c r="I3" s="243"/>
      <c r="J3" s="243"/>
      <c r="K3" s="243"/>
      <c r="L3" s="243"/>
      <c r="M3" s="243"/>
      <c r="N3" s="243"/>
      <c r="P3" s="610" t="s">
        <v>624</v>
      </c>
      <c r="Q3" s="625" t="s">
        <v>655</v>
      </c>
      <c r="R3" s="328"/>
    </row>
    <row r="4" spans="1:20">
      <c r="B4" s="205"/>
      <c r="C4" s="205"/>
      <c r="D4" s="205"/>
      <c r="E4" s="205"/>
      <c r="F4" s="205"/>
      <c r="G4" s="205"/>
      <c r="H4" s="205"/>
      <c r="I4" s="205"/>
      <c r="J4" s="205"/>
      <c r="K4" s="205"/>
      <c r="L4" s="205"/>
      <c r="M4" s="205"/>
      <c r="N4" s="205"/>
      <c r="P4" s="610" t="s">
        <v>625</v>
      </c>
      <c r="Q4" s="625" t="s">
        <v>655</v>
      </c>
      <c r="R4" s="328"/>
    </row>
    <row r="5" spans="1:20">
      <c r="B5" s="270" t="s">
        <v>207</v>
      </c>
      <c r="C5" s="271" t="s">
        <v>59</v>
      </c>
      <c r="D5" s="272"/>
      <c r="E5" s="272"/>
      <c r="F5" s="272"/>
      <c r="G5" s="272"/>
      <c r="H5" s="272"/>
      <c r="I5" s="272"/>
      <c r="J5" s="272"/>
      <c r="K5" s="272"/>
      <c r="L5" s="272"/>
      <c r="M5" s="272"/>
      <c r="N5" s="272"/>
      <c r="P5" s="1" t="s">
        <v>641</v>
      </c>
    </row>
    <row r="6" spans="1:20">
      <c r="B6" s="626">
        <v>2014</v>
      </c>
      <c r="O6" s="616" t="s">
        <v>674</v>
      </c>
      <c r="P6" s="616" t="s">
        <v>646</v>
      </c>
    </row>
    <row r="7" spans="1:20">
      <c r="C7" s="115"/>
      <c r="N7" s="155" t="s">
        <v>368</v>
      </c>
      <c r="O7" s="612" t="s">
        <v>627</v>
      </c>
      <c r="P7" s="612" t="s">
        <v>627</v>
      </c>
    </row>
    <row r="8" spans="1:20">
      <c r="C8" s="274" t="s">
        <v>79</v>
      </c>
      <c r="D8" s="4"/>
      <c r="E8" s="4"/>
      <c r="F8" s="4"/>
      <c r="G8" s="4"/>
      <c r="H8" s="4"/>
      <c r="I8" s="4"/>
      <c r="J8" s="4">
        <v>700</v>
      </c>
      <c r="K8" s="4"/>
      <c r="L8" s="155" t="s">
        <v>54</v>
      </c>
      <c r="M8" s="155" t="s">
        <v>320</v>
      </c>
      <c r="N8" s="155" t="s">
        <v>322</v>
      </c>
      <c r="O8" s="611" t="s">
        <v>628</v>
      </c>
      <c r="P8" s="611" t="s">
        <v>628</v>
      </c>
    </row>
    <row r="9" spans="1:20">
      <c r="A9" s="275" t="s">
        <v>273</v>
      </c>
      <c r="B9" s="1" t="s">
        <v>274</v>
      </c>
      <c r="C9" s="1">
        <v>100</v>
      </c>
      <c r="D9" s="1">
        <v>200</v>
      </c>
      <c r="E9" s="1">
        <v>300</v>
      </c>
      <c r="F9" s="1">
        <v>400</v>
      </c>
      <c r="G9" s="1">
        <v>500</v>
      </c>
      <c r="H9" s="1">
        <v>600</v>
      </c>
      <c r="I9" s="1">
        <v>700</v>
      </c>
      <c r="J9" s="155" t="s">
        <v>94</v>
      </c>
      <c r="K9" s="4">
        <v>800</v>
      </c>
      <c r="L9" s="155" t="s">
        <v>95</v>
      </c>
      <c r="M9" s="155" t="s">
        <v>174</v>
      </c>
      <c r="N9" s="155" t="s">
        <v>205</v>
      </c>
      <c r="O9" s="613" t="s">
        <v>629</v>
      </c>
      <c r="P9" s="613" t="s">
        <v>629</v>
      </c>
      <c r="Q9" s="600" t="s">
        <v>557</v>
      </c>
      <c r="R9" s="600" t="s">
        <v>559</v>
      </c>
      <c r="S9" s="600" t="s">
        <v>560</v>
      </c>
      <c r="T9" s="601" t="s">
        <v>561</v>
      </c>
    </row>
    <row r="10" spans="1:20" ht="3.95" customHeight="1">
      <c r="Q10" s="600"/>
      <c r="R10" s="600"/>
      <c r="S10" s="600"/>
      <c r="T10" s="601"/>
    </row>
    <row r="11" spans="1:20" ht="10.9" customHeight="1">
      <c r="A11" s="273" t="s">
        <v>275</v>
      </c>
      <c r="B11" s="1" t="s">
        <v>230</v>
      </c>
      <c r="C11" s="1">
        <v>65600</v>
      </c>
      <c r="D11" s="1">
        <v>0</v>
      </c>
      <c r="E11" s="1">
        <v>0</v>
      </c>
      <c r="F11" s="1">
        <v>0</v>
      </c>
      <c r="G11" s="1">
        <v>0</v>
      </c>
      <c r="H11" s="1">
        <v>5500</v>
      </c>
      <c r="I11" s="1">
        <v>0</v>
      </c>
      <c r="J11" s="1">
        <v>0</v>
      </c>
      <c r="K11" s="1">
        <v>0</v>
      </c>
      <c r="L11" s="92">
        <f t="shared" ref="L11:L37" si="0">SUM(C11:I11)-J11+K11</f>
        <v>71100</v>
      </c>
      <c r="M11" s="92">
        <v>19700</v>
      </c>
      <c r="N11" s="92">
        <v>0</v>
      </c>
      <c r="O11" s="614">
        <v>387567</v>
      </c>
      <c r="P11" s="614">
        <v>334342</v>
      </c>
      <c r="Q11" s="600" t="s">
        <v>558</v>
      </c>
      <c r="R11" s="600">
        <f>+'- 3 -'!B48+'- 3 -'!B50+'- 3 -'!B51</f>
        <v>2190399986</v>
      </c>
      <c r="S11" s="600">
        <v>2190399986</v>
      </c>
      <c r="T11" s="601">
        <f>+R11-S11</f>
        <v>0</v>
      </c>
    </row>
    <row r="12" spans="1:20" ht="10.9" customHeight="1">
      <c r="A12" s="273" t="s">
        <v>276</v>
      </c>
      <c r="B12" s="1" t="s">
        <v>231</v>
      </c>
      <c r="C12" s="1">
        <v>330000</v>
      </c>
      <c r="D12" s="1">
        <v>0</v>
      </c>
      <c r="E12" s="1">
        <v>0</v>
      </c>
      <c r="F12" s="1">
        <v>0</v>
      </c>
      <c r="G12" s="1">
        <v>0</v>
      </c>
      <c r="H12" s="1">
        <v>0</v>
      </c>
      <c r="I12" s="1">
        <v>0</v>
      </c>
      <c r="J12" s="1">
        <v>0</v>
      </c>
      <c r="K12" s="1">
        <v>0</v>
      </c>
      <c r="L12" s="92">
        <f t="shared" si="0"/>
        <v>330000</v>
      </c>
      <c r="M12" s="92">
        <v>32117</v>
      </c>
      <c r="N12" s="92">
        <v>0</v>
      </c>
      <c r="O12" s="614">
        <v>312187</v>
      </c>
      <c r="P12" s="614">
        <v>266111</v>
      </c>
      <c r="Q12" s="600" t="s">
        <v>563</v>
      </c>
      <c r="R12" s="600">
        <f>+'- 44 -'!I48</f>
        <v>2183584725</v>
      </c>
      <c r="S12" s="600">
        <v>2183584725</v>
      </c>
      <c r="T12" s="601">
        <f>+R12-S12</f>
        <v>0</v>
      </c>
    </row>
    <row r="13" spans="1:20" ht="10.9" customHeight="1">
      <c r="A13" s="273" t="s">
        <v>277</v>
      </c>
      <c r="B13" s="1" t="s">
        <v>232</v>
      </c>
      <c r="C13" s="1">
        <v>139800</v>
      </c>
      <c r="D13" s="1">
        <v>0</v>
      </c>
      <c r="E13" s="1">
        <v>0</v>
      </c>
      <c r="F13" s="1">
        <v>0</v>
      </c>
      <c r="G13" s="1">
        <v>0</v>
      </c>
      <c r="H13" s="1">
        <v>0</v>
      </c>
      <c r="I13" s="1">
        <v>0</v>
      </c>
      <c r="J13" s="1">
        <v>0</v>
      </c>
      <c r="K13" s="1">
        <v>0</v>
      </c>
      <c r="L13" s="92">
        <f t="shared" si="0"/>
        <v>139800</v>
      </c>
      <c r="M13" s="92">
        <v>73200</v>
      </c>
      <c r="N13" s="92">
        <v>0</v>
      </c>
      <c r="O13" s="614">
        <v>330782</v>
      </c>
      <c r="P13" s="614">
        <v>293505</v>
      </c>
      <c r="Q13" s="600" t="s">
        <v>564</v>
      </c>
      <c r="R13" s="600">
        <v>4469.0199999999995</v>
      </c>
      <c r="S13" s="600">
        <f>+'- 7 -'!B48</f>
        <v>4469.0199999999995</v>
      </c>
      <c r="T13" s="601">
        <f>+R13-S13</f>
        <v>0</v>
      </c>
    </row>
    <row r="14" spans="1:20" ht="10.9" customHeight="1">
      <c r="A14" s="273" t="s">
        <v>278</v>
      </c>
      <c r="B14" s="1" t="s">
        <v>566</v>
      </c>
      <c r="C14" s="1">
        <v>278389</v>
      </c>
      <c r="D14" s="1">
        <v>0</v>
      </c>
      <c r="E14" s="1">
        <v>0</v>
      </c>
      <c r="F14" s="1">
        <v>0</v>
      </c>
      <c r="G14" s="1">
        <v>0</v>
      </c>
      <c r="H14" s="1">
        <v>37500</v>
      </c>
      <c r="I14" s="1">
        <v>0</v>
      </c>
      <c r="J14" s="1">
        <v>0</v>
      </c>
      <c r="K14" s="1">
        <v>0</v>
      </c>
      <c r="L14" s="92">
        <f t="shared" si="0"/>
        <v>315889</v>
      </c>
      <c r="M14" s="92">
        <v>0</v>
      </c>
      <c r="N14" s="92">
        <v>0</v>
      </c>
      <c r="O14" s="614">
        <v>380178</v>
      </c>
      <c r="P14" s="614">
        <v>332958</v>
      </c>
      <c r="Q14" s="600" t="s">
        <v>565</v>
      </c>
      <c r="R14" s="600">
        <f>+'- 7 -'!F48</f>
        <v>172855.80000000002</v>
      </c>
      <c r="S14" s="600">
        <v>172855.80000000002</v>
      </c>
      <c r="T14" s="601">
        <f>+R14-S14</f>
        <v>0</v>
      </c>
    </row>
    <row r="15" spans="1:20" ht="10.9" customHeight="1">
      <c r="A15" s="273" t="s">
        <v>279</v>
      </c>
      <c r="B15" s="1" t="s">
        <v>233</v>
      </c>
      <c r="C15" s="1">
        <v>43500</v>
      </c>
      <c r="D15" s="1">
        <v>0</v>
      </c>
      <c r="E15" s="1">
        <v>0</v>
      </c>
      <c r="F15" s="1">
        <v>0</v>
      </c>
      <c r="G15" s="1">
        <v>500</v>
      </c>
      <c r="H15" s="1">
        <v>5000</v>
      </c>
      <c r="I15" s="1">
        <v>0</v>
      </c>
      <c r="J15" s="1">
        <v>0</v>
      </c>
      <c r="K15" s="1">
        <v>0</v>
      </c>
      <c r="L15" s="92">
        <f t="shared" si="0"/>
        <v>49000</v>
      </c>
      <c r="M15" s="92">
        <v>25000</v>
      </c>
      <c r="N15" s="92">
        <v>0</v>
      </c>
      <c r="O15" s="614">
        <v>556723</v>
      </c>
      <c r="P15" s="614">
        <v>523644</v>
      </c>
      <c r="T15" s="599"/>
    </row>
    <row r="16" spans="1:20" ht="10.9" customHeight="1">
      <c r="A16" s="273" t="s">
        <v>280</v>
      </c>
      <c r="B16" s="1" t="s">
        <v>234</v>
      </c>
      <c r="C16" s="1">
        <v>0</v>
      </c>
      <c r="D16" s="1">
        <v>0</v>
      </c>
      <c r="E16" s="1">
        <v>0</v>
      </c>
      <c r="F16" s="1">
        <v>0</v>
      </c>
      <c r="G16" s="1">
        <v>0</v>
      </c>
      <c r="H16" s="1">
        <v>0</v>
      </c>
      <c r="I16" s="1">
        <v>0</v>
      </c>
      <c r="J16" s="1">
        <v>0</v>
      </c>
      <c r="K16" s="1">
        <v>0</v>
      </c>
      <c r="L16" s="92">
        <f t="shared" si="0"/>
        <v>0</v>
      </c>
      <c r="M16" s="92">
        <v>20000</v>
      </c>
      <c r="N16" s="92">
        <v>0</v>
      </c>
      <c r="O16" s="614">
        <v>171478</v>
      </c>
      <c r="P16" s="614">
        <v>161798</v>
      </c>
    </row>
    <row r="17" spans="1:16" ht="10.9" customHeight="1">
      <c r="A17" s="273" t="s">
        <v>281</v>
      </c>
      <c r="B17" s="1" t="s">
        <v>235</v>
      </c>
      <c r="C17" s="1">
        <v>145150</v>
      </c>
      <c r="D17" s="1">
        <v>0</v>
      </c>
      <c r="E17" s="1">
        <v>0</v>
      </c>
      <c r="F17" s="1">
        <v>0</v>
      </c>
      <c r="G17" s="1">
        <v>1000</v>
      </c>
      <c r="H17" s="1">
        <v>0</v>
      </c>
      <c r="I17" s="1">
        <v>0</v>
      </c>
      <c r="J17" s="1">
        <v>0</v>
      </c>
      <c r="K17" s="1">
        <v>0</v>
      </c>
      <c r="L17" s="92">
        <f t="shared" si="0"/>
        <v>146150</v>
      </c>
      <c r="M17" s="92">
        <v>25100</v>
      </c>
      <c r="N17" s="92">
        <v>0</v>
      </c>
      <c r="O17" s="614">
        <v>633237</v>
      </c>
      <c r="P17" s="614">
        <v>500514</v>
      </c>
    </row>
    <row r="18" spans="1:16" ht="10.9" customHeight="1">
      <c r="A18" s="273" t="s">
        <v>282</v>
      </c>
      <c r="B18" s="1" t="s">
        <v>236</v>
      </c>
      <c r="C18" s="1">
        <v>2879002</v>
      </c>
      <c r="D18" s="1">
        <v>0</v>
      </c>
      <c r="E18" s="1">
        <v>1106000</v>
      </c>
      <c r="F18" s="1">
        <v>0</v>
      </c>
      <c r="G18" s="1">
        <v>95765</v>
      </c>
      <c r="H18" s="1">
        <v>50500</v>
      </c>
      <c r="I18" s="1">
        <v>310000</v>
      </c>
      <c r="J18" s="1">
        <v>0</v>
      </c>
      <c r="K18" s="1">
        <v>0</v>
      </c>
      <c r="L18" s="92">
        <f t="shared" si="0"/>
        <v>4441267</v>
      </c>
      <c r="M18" s="92">
        <v>0</v>
      </c>
      <c r="N18" s="92">
        <v>0</v>
      </c>
      <c r="O18" s="614">
        <v>84926</v>
      </c>
      <c r="P18" s="614">
        <v>74270</v>
      </c>
    </row>
    <row r="19" spans="1:16" ht="10.9" customHeight="1">
      <c r="A19" s="273" t="s">
        <v>283</v>
      </c>
      <c r="B19" s="1" t="s">
        <v>237</v>
      </c>
      <c r="C19" s="1">
        <v>261000</v>
      </c>
      <c r="D19" s="1">
        <v>0</v>
      </c>
      <c r="E19" s="1">
        <v>0</v>
      </c>
      <c r="F19" s="1">
        <v>17000</v>
      </c>
      <c r="G19" s="1">
        <v>20000</v>
      </c>
      <c r="H19" s="1">
        <v>0</v>
      </c>
      <c r="I19" s="1">
        <v>0</v>
      </c>
      <c r="J19" s="1">
        <v>0</v>
      </c>
      <c r="K19" s="1">
        <v>0</v>
      </c>
      <c r="L19" s="92">
        <f t="shared" si="0"/>
        <v>298000</v>
      </c>
      <c r="M19" s="92">
        <v>32000</v>
      </c>
      <c r="N19" s="92">
        <v>0</v>
      </c>
      <c r="O19" s="614">
        <v>219557</v>
      </c>
      <c r="P19" s="614">
        <v>191134</v>
      </c>
    </row>
    <row r="20" spans="1:16" ht="10.9" customHeight="1">
      <c r="A20" s="273" t="s">
        <v>284</v>
      </c>
      <c r="B20" s="1" t="s">
        <v>238</v>
      </c>
      <c r="C20" s="1">
        <v>1054800</v>
      </c>
      <c r="D20" s="1">
        <v>0</v>
      </c>
      <c r="E20" s="1">
        <v>0</v>
      </c>
      <c r="F20" s="1">
        <v>0</v>
      </c>
      <c r="G20" s="1">
        <v>0</v>
      </c>
      <c r="H20" s="1">
        <v>0</v>
      </c>
      <c r="I20" s="1">
        <v>0</v>
      </c>
      <c r="J20" s="1">
        <v>0</v>
      </c>
      <c r="K20" s="1">
        <v>0</v>
      </c>
      <c r="L20" s="92">
        <f t="shared" si="0"/>
        <v>1054800</v>
      </c>
      <c r="M20" s="92">
        <v>61200</v>
      </c>
      <c r="N20" s="92">
        <v>0</v>
      </c>
      <c r="O20" s="614">
        <v>228578</v>
      </c>
      <c r="P20" s="614">
        <v>200904</v>
      </c>
    </row>
    <row r="21" spans="1:16" ht="10.9" customHeight="1">
      <c r="A21" s="273" t="s">
        <v>285</v>
      </c>
      <c r="B21" s="1" t="s">
        <v>239</v>
      </c>
      <c r="C21" s="1">
        <v>257396</v>
      </c>
      <c r="D21" s="1">
        <v>55000</v>
      </c>
      <c r="E21" s="1">
        <v>0</v>
      </c>
      <c r="F21" s="1">
        <v>5000</v>
      </c>
      <c r="G21" s="1">
        <v>7400</v>
      </c>
      <c r="H21" s="1">
        <v>17500</v>
      </c>
      <c r="I21" s="1">
        <v>0</v>
      </c>
      <c r="J21" s="1">
        <v>0</v>
      </c>
      <c r="K21" s="1">
        <v>0</v>
      </c>
      <c r="L21" s="92">
        <f t="shared" si="0"/>
        <v>342296</v>
      </c>
      <c r="M21" s="92">
        <v>33000</v>
      </c>
      <c r="N21" s="92">
        <v>0</v>
      </c>
      <c r="O21" s="614">
        <v>377069</v>
      </c>
      <c r="P21" s="614">
        <v>326227</v>
      </c>
    </row>
    <row r="22" spans="1:16" ht="10.9" customHeight="1">
      <c r="A22" s="273" t="s">
        <v>286</v>
      </c>
      <c r="B22" s="1" t="s">
        <v>240</v>
      </c>
      <c r="C22" s="1">
        <v>0</v>
      </c>
      <c r="D22" s="1">
        <v>0</v>
      </c>
      <c r="E22" s="1">
        <v>0</v>
      </c>
      <c r="F22" s="1">
        <v>0</v>
      </c>
      <c r="G22" s="1">
        <v>0</v>
      </c>
      <c r="H22" s="1">
        <v>17500</v>
      </c>
      <c r="I22" s="1">
        <v>0</v>
      </c>
      <c r="J22" s="1">
        <v>0</v>
      </c>
      <c r="K22" s="1">
        <v>0</v>
      </c>
      <c r="L22" s="92">
        <f t="shared" si="0"/>
        <v>17500</v>
      </c>
      <c r="M22" s="92">
        <v>33500</v>
      </c>
      <c r="N22" s="92">
        <v>0</v>
      </c>
      <c r="O22" s="614">
        <v>138197</v>
      </c>
      <c r="P22" s="614">
        <v>117688</v>
      </c>
    </row>
    <row r="23" spans="1:16" ht="10.9" customHeight="1">
      <c r="A23" s="273" t="s">
        <v>287</v>
      </c>
      <c r="B23" s="1" t="s">
        <v>241</v>
      </c>
      <c r="C23" s="1">
        <v>34000</v>
      </c>
      <c r="D23" s="1">
        <v>0</v>
      </c>
      <c r="E23" s="1">
        <v>0</v>
      </c>
      <c r="F23" s="1">
        <v>0</v>
      </c>
      <c r="G23" s="1">
        <v>0</v>
      </c>
      <c r="H23" s="1">
        <v>2100</v>
      </c>
      <c r="I23" s="1">
        <v>0</v>
      </c>
      <c r="J23" s="1">
        <v>0</v>
      </c>
      <c r="K23" s="1">
        <v>0</v>
      </c>
      <c r="L23" s="92">
        <f t="shared" si="0"/>
        <v>36100</v>
      </c>
      <c r="M23" s="92">
        <v>23000</v>
      </c>
      <c r="N23" s="92">
        <v>0</v>
      </c>
      <c r="O23" s="614">
        <v>221961</v>
      </c>
      <c r="P23" s="614">
        <v>192446</v>
      </c>
    </row>
    <row r="24" spans="1:16" ht="10.9" customHeight="1">
      <c r="A24" s="273" t="s">
        <v>288</v>
      </c>
      <c r="B24" s="1" t="s">
        <v>242</v>
      </c>
      <c r="C24" s="1">
        <v>234000</v>
      </c>
      <c r="D24" s="1">
        <v>0</v>
      </c>
      <c r="E24" s="1">
        <v>0</v>
      </c>
      <c r="F24" s="1">
        <v>0</v>
      </c>
      <c r="G24" s="1">
        <v>0</v>
      </c>
      <c r="H24" s="1">
        <v>0</v>
      </c>
      <c r="I24" s="1">
        <v>0</v>
      </c>
      <c r="J24" s="1">
        <v>0</v>
      </c>
      <c r="K24" s="1">
        <v>0</v>
      </c>
      <c r="L24" s="92">
        <f t="shared" si="0"/>
        <v>234000</v>
      </c>
      <c r="M24" s="92">
        <v>50000</v>
      </c>
      <c r="N24" s="92">
        <v>0</v>
      </c>
      <c r="O24" s="614">
        <v>418643</v>
      </c>
      <c r="P24" s="614">
        <v>378175</v>
      </c>
    </row>
    <row r="25" spans="1:16" ht="10.9" customHeight="1">
      <c r="A25" s="273" t="s">
        <v>289</v>
      </c>
      <c r="B25" s="1" t="s">
        <v>243</v>
      </c>
      <c r="C25" s="1">
        <v>861569</v>
      </c>
      <c r="D25" s="1">
        <v>280000</v>
      </c>
      <c r="E25" s="1">
        <v>0</v>
      </c>
      <c r="F25" s="1">
        <v>0</v>
      </c>
      <c r="G25" s="1">
        <v>9500</v>
      </c>
      <c r="H25" s="1">
        <v>34000</v>
      </c>
      <c r="I25" s="1">
        <v>0</v>
      </c>
      <c r="J25" s="1">
        <v>0</v>
      </c>
      <c r="K25" s="1">
        <v>0</v>
      </c>
      <c r="L25" s="92">
        <f t="shared" si="0"/>
        <v>1185069</v>
      </c>
      <c r="M25" s="92">
        <v>17000</v>
      </c>
      <c r="N25" s="92">
        <v>482062</v>
      </c>
      <c r="O25" s="614">
        <v>434934</v>
      </c>
      <c r="P25" s="614">
        <v>386366</v>
      </c>
    </row>
    <row r="26" spans="1:16" ht="10.9" customHeight="1">
      <c r="A26" s="273" t="s">
        <v>290</v>
      </c>
      <c r="B26" s="1" t="s">
        <v>244</v>
      </c>
      <c r="C26" s="1">
        <v>0</v>
      </c>
      <c r="D26" s="1">
        <v>0</v>
      </c>
      <c r="E26" s="1">
        <v>0</v>
      </c>
      <c r="F26" s="1">
        <v>0</v>
      </c>
      <c r="G26" s="1">
        <v>0</v>
      </c>
      <c r="H26" s="1">
        <v>7500</v>
      </c>
      <c r="I26" s="1">
        <v>0</v>
      </c>
      <c r="J26" s="1">
        <v>0</v>
      </c>
      <c r="K26" s="1">
        <v>0</v>
      </c>
      <c r="L26" s="92">
        <f t="shared" si="0"/>
        <v>7500</v>
      </c>
      <c r="M26" s="92">
        <v>29000</v>
      </c>
      <c r="N26" s="92">
        <v>0</v>
      </c>
      <c r="O26" s="614">
        <v>288425</v>
      </c>
      <c r="P26" s="614">
        <v>239324</v>
      </c>
    </row>
    <row r="27" spans="1:16" ht="10.9" customHeight="1">
      <c r="A27" s="273" t="s">
        <v>291</v>
      </c>
      <c r="B27" s="1" t="s">
        <v>245</v>
      </c>
      <c r="C27" s="1">
        <v>10300</v>
      </c>
      <c r="D27" s="1">
        <v>0</v>
      </c>
      <c r="E27" s="1">
        <v>0</v>
      </c>
      <c r="F27" s="1">
        <v>0</v>
      </c>
      <c r="G27" s="1">
        <v>0</v>
      </c>
      <c r="H27" s="1">
        <v>0</v>
      </c>
      <c r="I27" s="1">
        <v>0</v>
      </c>
      <c r="J27" s="1">
        <v>0</v>
      </c>
      <c r="K27" s="1">
        <v>0</v>
      </c>
      <c r="L27" s="92">
        <f t="shared" si="0"/>
        <v>10300</v>
      </c>
      <c r="M27" s="92">
        <v>70000</v>
      </c>
      <c r="N27" s="92">
        <v>0</v>
      </c>
      <c r="O27" s="614">
        <v>186626</v>
      </c>
      <c r="P27" s="614">
        <v>176303</v>
      </c>
    </row>
    <row r="28" spans="1:16" ht="10.9" customHeight="1">
      <c r="A28" s="273" t="s">
        <v>292</v>
      </c>
      <c r="B28" s="1" t="s">
        <v>246</v>
      </c>
      <c r="C28" s="1">
        <v>85000</v>
      </c>
      <c r="D28" s="1">
        <v>0</v>
      </c>
      <c r="E28" s="1">
        <v>39000</v>
      </c>
      <c r="F28" s="1">
        <v>0</v>
      </c>
      <c r="G28" s="1">
        <v>0</v>
      </c>
      <c r="H28" s="1">
        <v>0</v>
      </c>
      <c r="I28" s="1">
        <v>0</v>
      </c>
      <c r="J28" s="1">
        <v>0</v>
      </c>
      <c r="K28" s="1">
        <v>0</v>
      </c>
      <c r="L28" s="92">
        <f t="shared" si="0"/>
        <v>124000</v>
      </c>
      <c r="M28" s="92">
        <v>26000</v>
      </c>
      <c r="N28" s="92">
        <v>0</v>
      </c>
      <c r="O28" s="614">
        <v>407336</v>
      </c>
      <c r="P28" s="614">
        <v>328910</v>
      </c>
    </row>
    <row r="29" spans="1:16" ht="10.9" customHeight="1">
      <c r="A29" s="273" t="s">
        <v>293</v>
      </c>
      <c r="B29" s="1" t="s">
        <v>247</v>
      </c>
      <c r="C29" s="1">
        <v>2015500</v>
      </c>
      <c r="D29" s="1">
        <v>0</v>
      </c>
      <c r="E29" s="1">
        <v>0</v>
      </c>
      <c r="F29" s="1">
        <v>0</v>
      </c>
      <c r="G29" s="1">
        <v>1500</v>
      </c>
      <c r="H29" s="1">
        <v>0</v>
      </c>
      <c r="I29" s="1">
        <v>0</v>
      </c>
      <c r="J29" s="1">
        <v>0</v>
      </c>
      <c r="K29" s="1">
        <v>0</v>
      </c>
      <c r="L29" s="92">
        <f t="shared" si="0"/>
        <v>2017000</v>
      </c>
      <c r="M29" s="92">
        <v>70000</v>
      </c>
      <c r="N29" s="92">
        <v>874035</v>
      </c>
      <c r="O29" s="614">
        <v>551535</v>
      </c>
      <c r="P29" s="614">
        <v>477417</v>
      </c>
    </row>
    <row r="30" spans="1:16" ht="10.9" customHeight="1">
      <c r="A30" s="273" t="s">
        <v>294</v>
      </c>
      <c r="B30" s="1" t="s">
        <v>248</v>
      </c>
      <c r="C30" s="1">
        <v>24700</v>
      </c>
      <c r="D30" s="1">
        <v>0</v>
      </c>
      <c r="E30" s="1">
        <v>0</v>
      </c>
      <c r="F30" s="1">
        <v>0</v>
      </c>
      <c r="G30" s="1">
        <v>0</v>
      </c>
      <c r="H30" s="1">
        <v>0</v>
      </c>
      <c r="I30" s="1">
        <v>0</v>
      </c>
      <c r="J30" s="1">
        <v>0</v>
      </c>
      <c r="K30" s="1">
        <v>0</v>
      </c>
      <c r="L30" s="92">
        <f t="shared" si="0"/>
        <v>24700</v>
      </c>
      <c r="M30" s="92">
        <v>21500</v>
      </c>
      <c r="N30" s="92">
        <v>0</v>
      </c>
      <c r="O30" s="614">
        <v>343756</v>
      </c>
      <c r="P30" s="614">
        <v>281298</v>
      </c>
    </row>
    <row r="31" spans="1:16" ht="10.9" customHeight="1">
      <c r="A31" s="273" t="s">
        <v>295</v>
      </c>
      <c r="B31" s="1" t="s">
        <v>249</v>
      </c>
      <c r="C31" s="1">
        <v>50000</v>
      </c>
      <c r="D31" s="1">
        <v>0</v>
      </c>
      <c r="E31" s="1">
        <v>0</v>
      </c>
      <c r="F31" s="1">
        <v>0</v>
      </c>
      <c r="G31" s="1">
        <v>0</v>
      </c>
      <c r="H31" s="1">
        <v>0</v>
      </c>
      <c r="I31" s="1">
        <v>0</v>
      </c>
      <c r="J31" s="1">
        <v>0</v>
      </c>
      <c r="K31" s="1">
        <v>0</v>
      </c>
      <c r="L31" s="92">
        <f t="shared" si="0"/>
        <v>50000</v>
      </c>
      <c r="M31" s="92">
        <v>40000</v>
      </c>
      <c r="N31" s="92">
        <v>0</v>
      </c>
      <c r="O31" s="614">
        <v>333528</v>
      </c>
      <c r="P31" s="614">
        <v>291960</v>
      </c>
    </row>
    <row r="32" spans="1:16" ht="10.9" customHeight="1">
      <c r="A32" s="273" t="s">
        <v>296</v>
      </c>
      <c r="B32" s="1" t="s">
        <v>250</v>
      </c>
      <c r="C32" s="1">
        <v>198000</v>
      </c>
      <c r="D32" s="1">
        <v>0</v>
      </c>
      <c r="E32" s="1">
        <v>1000</v>
      </c>
      <c r="F32" s="1">
        <v>0</v>
      </c>
      <c r="G32" s="1">
        <v>0</v>
      </c>
      <c r="H32" s="1">
        <v>5000</v>
      </c>
      <c r="I32" s="1">
        <v>0</v>
      </c>
      <c r="J32" s="1">
        <v>0</v>
      </c>
      <c r="K32" s="1">
        <v>0</v>
      </c>
      <c r="L32" s="92">
        <f t="shared" si="0"/>
        <v>204000</v>
      </c>
      <c r="M32" s="92">
        <v>21500</v>
      </c>
      <c r="N32" s="92">
        <v>0</v>
      </c>
      <c r="O32" s="614">
        <v>430460</v>
      </c>
      <c r="P32" s="614">
        <v>361527</v>
      </c>
    </row>
    <row r="33" spans="1:16" ht="10.9" customHeight="1">
      <c r="A33" s="273" t="s">
        <v>297</v>
      </c>
      <c r="B33" s="1" t="s">
        <v>251</v>
      </c>
      <c r="C33" s="1">
        <v>115000</v>
      </c>
      <c r="D33" s="1">
        <v>0</v>
      </c>
      <c r="E33" s="1">
        <v>0</v>
      </c>
      <c r="F33" s="1">
        <v>0</v>
      </c>
      <c r="G33" s="1">
        <v>1000</v>
      </c>
      <c r="H33" s="1">
        <v>12000</v>
      </c>
      <c r="I33" s="1">
        <v>0</v>
      </c>
      <c r="J33" s="1">
        <v>0</v>
      </c>
      <c r="K33" s="1">
        <v>0</v>
      </c>
      <c r="L33" s="92">
        <f t="shared" si="0"/>
        <v>128000</v>
      </c>
      <c r="M33" s="92">
        <v>35000</v>
      </c>
      <c r="N33" s="92">
        <v>0</v>
      </c>
      <c r="O33" s="614">
        <v>405331</v>
      </c>
      <c r="P33" s="614">
        <v>336280</v>
      </c>
    </row>
    <row r="34" spans="1:16" ht="10.9" customHeight="1">
      <c r="A34" s="273" t="s">
        <v>298</v>
      </c>
      <c r="B34" s="1" t="s">
        <v>252</v>
      </c>
      <c r="C34" s="1">
        <v>336200</v>
      </c>
      <c r="D34" s="1">
        <v>9131</v>
      </c>
      <c r="E34" s="1">
        <v>0</v>
      </c>
      <c r="F34" s="1">
        <v>0</v>
      </c>
      <c r="G34" s="1">
        <v>0</v>
      </c>
      <c r="H34" s="1">
        <v>26000</v>
      </c>
      <c r="I34" s="1">
        <v>0</v>
      </c>
      <c r="J34" s="1">
        <v>0</v>
      </c>
      <c r="K34" s="1">
        <v>0</v>
      </c>
      <c r="L34" s="92">
        <f t="shared" si="0"/>
        <v>371331</v>
      </c>
      <c r="M34" s="92">
        <v>37500</v>
      </c>
      <c r="N34" s="92">
        <v>0</v>
      </c>
      <c r="O34" s="614">
        <v>428477</v>
      </c>
      <c r="P34" s="614">
        <v>356869</v>
      </c>
    </row>
    <row r="35" spans="1:16" ht="10.9" customHeight="1">
      <c r="A35" s="273" t="s">
        <v>299</v>
      </c>
      <c r="B35" s="1" t="s">
        <v>253</v>
      </c>
      <c r="C35" s="1">
        <v>1000</v>
      </c>
      <c r="D35" s="1">
        <v>0</v>
      </c>
      <c r="E35" s="1">
        <v>0</v>
      </c>
      <c r="F35" s="1">
        <v>0</v>
      </c>
      <c r="G35" s="1">
        <v>3300</v>
      </c>
      <c r="H35" s="1">
        <v>33000</v>
      </c>
      <c r="I35" s="1">
        <v>0</v>
      </c>
      <c r="J35" s="1">
        <v>0</v>
      </c>
      <c r="K35" s="1">
        <v>0</v>
      </c>
      <c r="L35" s="92">
        <f t="shared" si="0"/>
        <v>37300</v>
      </c>
      <c r="M35" s="92">
        <v>60000</v>
      </c>
      <c r="N35" s="92">
        <v>0</v>
      </c>
      <c r="O35" s="614">
        <v>367134</v>
      </c>
      <c r="P35" s="614">
        <v>322136</v>
      </c>
    </row>
    <row r="36" spans="1:16" ht="10.9" customHeight="1">
      <c r="A36" s="273" t="s">
        <v>300</v>
      </c>
      <c r="B36" s="1" t="s">
        <v>254</v>
      </c>
      <c r="C36" s="1">
        <v>277750</v>
      </c>
      <c r="D36" s="1">
        <v>0</v>
      </c>
      <c r="E36" s="1">
        <v>0</v>
      </c>
      <c r="F36" s="1">
        <v>0</v>
      </c>
      <c r="G36" s="1">
        <v>500</v>
      </c>
      <c r="H36" s="1">
        <v>0</v>
      </c>
      <c r="I36" s="1">
        <v>0</v>
      </c>
      <c r="J36" s="1">
        <v>0</v>
      </c>
      <c r="K36" s="1">
        <v>0</v>
      </c>
      <c r="L36" s="92">
        <f t="shared" si="0"/>
        <v>278250</v>
      </c>
      <c r="M36" s="92">
        <v>30000</v>
      </c>
      <c r="N36" s="92">
        <v>0</v>
      </c>
      <c r="O36" s="614">
        <v>465026</v>
      </c>
      <c r="P36" s="614">
        <v>384825</v>
      </c>
    </row>
    <row r="37" spans="1:16" ht="10.9" customHeight="1">
      <c r="A37" s="273" t="s">
        <v>301</v>
      </c>
      <c r="B37" s="1" t="s">
        <v>255</v>
      </c>
      <c r="C37" s="1">
        <v>550950</v>
      </c>
      <c r="D37" s="1">
        <v>0</v>
      </c>
      <c r="E37" s="1">
        <v>0</v>
      </c>
      <c r="F37" s="1">
        <v>0</v>
      </c>
      <c r="G37" s="1">
        <v>0</v>
      </c>
      <c r="H37" s="1">
        <v>10600</v>
      </c>
      <c r="I37" s="1">
        <v>0</v>
      </c>
      <c r="J37" s="1">
        <v>0</v>
      </c>
      <c r="K37" s="1">
        <v>0</v>
      </c>
      <c r="L37" s="92">
        <f t="shared" si="0"/>
        <v>561550</v>
      </c>
      <c r="M37" s="92">
        <v>37000</v>
      </c>
      <c r="N37" s="92">
        <v>0</v>
      </c>
      <c r="O37" s="614">
        <v>269815</v>
      </c>
      <c r="P37" s="614">
        <v>244406</v>
      </c>
    </row>
    <row r="38" spans="1:16" ht="10.9" customHeight="1">
      <c r="A38" s="273" t="s">
        <v>302</v>
      </c>
      <c r="B38" s="1" t="s">
        <v>256</v>
      </c>
      <c r="C38" s="1">
        <v>866000</v>
      </c>
      <c r="D38" s="1">
        <v>215500</v>
      </c>
      <c r="E38" s="1">
        <v>0</v>
      </c>
      <c r="F38" s="1">
        <v>0</v>
      </c>
      <c r="G38" s="1">
        <v>0</v>
      </c>
      <c r="H38" s="1">
        <v>121000</v>
      </c>
      <c r="I38" s="1">
        <v>0</v>
      </c>
      <c r="J38" s="1">
        <v>0</v>
      </c>
      <c r="K38" s="1">
        <v>0</v>
      </c>
      <c r="L38" s="92">
        <f>SUM(C38:I38)-J38+K38</f>
        <v>1202500</v>
      </c>
      <c r="M38" s="92">
        <v>68000</v>
      </c>
      <c r="N38" s="92">
        <v>0</v>
      </c>
      <c r="O38" s="614">
        <v>293747</v>
      </c>
      <c r="P38" s="614">
        <v>250139</v>
      </c>
    </row>
    <row r="39" spans="1:16" ht="10.9" customHeight="1">
      <c r="A39" s="273" t="s">
        <v>303</v>
      </c>
      <c r="B39" s="1" t="s">
        <v>257</v>
      </c>
      <c r="C39" s="1">
        <v>107000</v>
      </c>
      <c r="D39" s="1">
        <v>0</v>
      </c>
      <c r="E39" s="1">
        <v>0</v>
      </c>
      <c r="F39" s="1">
        <v>0</v>
      </c>
      <c r="G39" s="1">
        <v>0</v>
      </c>
      <c r="H39" s="1">
        <v>0</v>
      </c>
      <c r="I39" s="1">
        <v>0</v>
      </c>
      <c r="J39" s="1">
        <v>0</v>
      </c>
      <c r="K39" s="1">
        <v>0</v>
      </c>
      <c r="L39" s="92">
        <f t="shared" ref="L39:L46" si="1">SUM(C39:I39)-J39+K39</f>
        <v>107000</v>
      </c>
      <c r="M39" s="92">
        <v>27800</v>
      </c>
      <c r="N39" s="92">
        <v>0</v>
      </c>
      <c r="O39" s="614">
        <v>601208</v>
      </c>
      <c r="P39" s="614">
        <v>435619</v>
      </c>
    </row>
    <row r="40" spans="1:16" ht="10.9" customHeight="1">
      <c r="A40" s="273" t="s">
        <v>304</v>
      </c>
      <c r="B40" s="1" t="s">
        <v>258</v>
      </c>
      <c r="C40" s="1">
        <v>474000</v>
      </c>
      <c r="D40" s="1">
        <v>0</v>
      </c>
      <c r="E40" s="1">
        <v>0</v>
      </c>
      <c r="F40" s="1">
        <v>6000</v>
      </c>
      <c r="G40" s="1">
        <v>0</v>
      </c>
      <c r="H40" s="1">
        <v>0</v>
      </c>
      <c r="I40" s="1">
        <v>0</v>
      </c>
      <c r="J40" s="1">
        <v>0</v>
      </c>
      <c r="K40" s="1">
        <v>0</v>
      </c>
      <c r="L40" s="92">
        <f t="shared" si="1"/>
        <v>480000</v>
      </c>
      <c r="M40" s="92">
        <v>1100</v>
      </c>
      <c r="N40" s="92">
        <v>312526</v>
      </c>
      <c r="O40" s="614">
        <v>535789</v>
      </c>
      <c r="P40" s="614">
        <v>462221</v>
      </c>
    </row>
    <row r="41" spans="1:16" ht="10.9" customHeight="1">
      <c r="A41" s="273" t="s">
        <v>305</v>
      </c>
      <c r="B41" s="1" t="s">
        <v>259</v>
      </c>
      <c r="C41" s="1">
        <v>562000</v>
      </c>
      <c r="D41" s="1">
        <v>100000</v>
      </c>
      <c r="E41" s="1">
        <v>30000</v>
      </c>
      <c r="F41" s="1">
        <v>0</v>
      </c>
      <c r="G41" s="1">
        <v>-12000</v>
      </c>
      <c r="H41" s="1">
        <v>0</v>
      </c>
      <c r="I41" s="1">
        <v>0</v>
      </c>
      <c r="J41" s="1">
        <v>0</v>
      </c>
      <c r="K41" s="1">
        <v>0</v>
      </c>
      <c r="L41" s="92">
        <f t="shared" si="1"/>
        <v>680000</v>
      </c>
      <c r="M41" s="92">
        <v>55000</v>
      </c>
      <c r="N41" s="92">
        <v>0</v>
      </c>
      <c r="O41" s="614">
        <v>451149</v>
      </c>
      <c r="P41" s="614">
        <v>396863</v>
      </c>
    </row>
    <row r="42" spans="1:16" ht="10.9" customHeight="1">
      <c r="A42" s="273" t="s">
        <v>306</v>
      </c>
      <c r="B42" s="1" t="s">
        <v>260</v>
      </c>
      <c r="C42" s="1">
        <v>1300</v>
      </c>
      <c r="D42" s="1">
        <v>0</v>
      </c>
      <c r="E42" s="1">
        <v>0</v>
      </c>
      <c r="F42" s="1">
        <v>0</v>
      </c>
      <c r="G42" s="1">
        <v>0</v>
      </c>
      <c r="H42" s="1">
        <v>0</v>
      </c>
      <c r="I42" s="1">
        <v>0</v>
      </c>
      <c r="J42" s="1">
        <v>0</v>
      </c>
      <c r="K42" s="1">
        <v>0</v>
      </c>
      <c r="L42" s="92">
        <f t="shared" si="1"/>
        <v>1300</v>
      </c>
      <c r="M42" s="92">
        <v>30553</v>
      </c>
      <c r="N42" s="92">
        <v>0</v>
      </c>
      <c r="O42" s="614">
        <v>292574</v>
      </c>
      <c r="P42" s="614">
        <v>241928</v>
      </c>
    </row>
    <row r="43" spans="1:16" ht="10.9" customHeight="1">
      <c r="A43" s="273" t="s">
        <v>307</v>
      </c>
      <c r="B43" s="1" t="s">
        <v>261</v>
      </c>
      <c r="C43" s="1">
        <v>26000</v>
      </c>
      <c r="D43" s="1">
        <v>0</v>
      </c>
      <c r="E43" s="1">
        <v>0</v>
      </c>
      <c r="F43" s="1">
        <v>0</v>
      </c>
      <c r="G43" s="1">
        <v>0</v>
      </c>
      <c r="H43" s="1">
        <v>0</v>
      </c>
      <c r="I43" s="1">
        <v>0</v>
      </c>
      <c r="J43" s="1">
        <v>0</v>
      </c>
      <c r="K43" s="1">
        <v>0</v>
      </c>
      <c r="L43" s="92">
        <f t="shared" si="1"/>
        <v>26000</v>
      </c>
      <c r="M43" s="92">
        <v>18600</v>
      </c>
      <c r="N43" s="92">
        <v>0</v>
      </c>
      <c r="O43" s="614">
        <v>422932</v>
      </c>
      <c r="P43" s="614">
        <v>354995</v>
      </c>
    </row>
    <row r="44" spans="1:16" ht="10.9" customHeight="1">
      <c r="A44" s="273" t="s">
        <v>308</v>
      </c>
      <c r="B44" s="1" t="s">
        <v>262</v>
      </c>
      <c r="C44" s="1">
        <v>187924</v>
      </c>
      <c r="D44" s="1">
        <v>0</v>
      </c>
      <c r="E44" s="1">
        <v>0</v>
      </c>
      <c r="F44" s="1">
        <v>0</v>
      </c>
      <c r="G44" s="1">
        <v>0</v>
      </c>
      <c r="H44" s="1">
        <v>0</v>
      </c>
      <c r="I44" s="1">
        <v>2000</v>
      </c>
      <c r="J44" s="1">
        <v>0</v>
      </c>
      <c r="K44" s="1">
        <v>0</v>
      </c>
      <c r="L44" s="92">
        <f t="shared" si="1"/>
        <v>189924</v>
      </c>
      <c r="M44" s="92">
        <v>14000</v>
      </c>
      <c r="N44" s="92">
        <v>0</v>
      </c>
      <c r="O44" s="614">
        <v>209531</v>
      </c>
      <c r="P44" s="614">
        <v>186381</v>
      </c>
    </row>
    <row r="45" spans="1:16" ht="10.9" customHeight="1">
      <c r="A45" s="273" t="s">
        <v>309</v>
      </c>
      <c r="B45" s="1" t="s">
        <v>263</v>
      </c>
      <c r="C45" s="1">
        <v>149700</v>
      </c>
      <c r="D45" s="1">
        <v>0</v>
      </c>
      <c r="E45" s="1">
        <v>7000</v>
      </c>
      <c r="F45" s="1">
        <v>0</v>
      </c>
      <c r="G45" s="1">
        <v>-7000</v>
      </c>
      <c r="H45" s="1">
        <v>0</v>
      </c>
      <c r="I45" s="1">
        <v>0</v>
      </c>
      <c r="J45" s="1">
        <v>0</v>
      </c>
      <c r="K45" s="1">
        <v>0</v>
      </c>
      <c r="L45" s="92">
        <f t="shared" si="1"/>
        <v>149700</v>
      </c>
      <c r="M45" s="92">
        <v>16500</v>
      </c>
      <c r="N45" s="92">
        <v>0</v>
      </c>
      <c r="O45" s="614">
        <v>277676</v>
      </c>
      <c r="P45" s="614">
        <v>247042</v>
      </c>
    </row>
    <row r="46" spans="1:16" ht="10.9" customHeight="1">
      <c r="A46" s="273" t="s">
        <v>310</v>
      </c>
      <c r="B46" s="1" t="s">
        <v>264</v>
      </c>
      <c r="C46" s="1">
        <v>1950000</v>
      </c>
      <c r="D46" s="1">
        <v>367100</v>
      </c>
      <c r="E46" s="1">
        <v>0</v>
      </c>
      <c r="F46" s="1">
        <v>0</v>
      </c>
      <c r="G46" s="1">
        <v>12000</v>
      </c>
      <c r="H46" s="1">
        <v>84000</v>
      </c>
      <c r="I46" s="1">
        <v>2000</v>
      </c>
      <c r="J46" s="1">
        <v>0</v>
      </c>
      <c r="K46" s="1">
        <v>0</v>
      </c>
      <c r="L46" s="92">
        <f t="shared" si="1"/>
        <v>2415100</v>
      </c>
      <c r="M46" s="92">
        <v>0</v>
      </c>
      <c r="N46" s="92">
        <v>0</v>
      </c>
      <c r="O46" s="614">
        <v>360004</v>
      </c>
      <c r="P46" s="614">
        <v>313548</v>
      </c>
    </row>
    <row r="47" spans="1:16" ht="3.95" customHeight="1">
      <c r="A47" s="273"/>
    </row>
    <row r="48" spans="1:16">
      <c r="A48" s="273"/>
      <c r="B48" s="1" t="s">
        <v>265</v>
      </c>
      <c r="C48" s="1">
        <f t="shared" ref="C48:N48" si="2">SUM(C11:C46)</f>
        <v>14572530</v>
      </c>
      <c r="D48" s="1">
        <f t="shared" si="2"/>
        <v>1026731</v>
      </c>
      <c r="E48" s="1">
        <f t="shared" si="2"/>
        <v>1183000</v>
      </c>
      <c r="F48" s="1">
        <f t="shared" si="2"/>
        <v>28000</v>
      </c>
      <c r="G48" s="1">
        <f t="shared" si="2"/>
        <v>133465</v>
      </c>
      <c r="H48" s="1">
        <f t="shared" si="2"/>
        <v>468700</v>
      </c>
      <c r="I48" s="1">
        <f t="shared" si="2"/>
        <v>314000</v>
      </c>
      <c r="J48" s="1">
        <f t="shared" si="2"/>
        <v>0</v>
      </c>
      <c r="K48" s="1">
        <f t="shared" si="2"/>
        <v>0</v>
      </c>
      <c r="L48" s="1">
        <f t="shared" si="2"/>
        <v>17726426</v>
      </c>
      <c r="M48" s="1">
        <f t="shared" si="2"/>
        <v>1153870</v>
      </c>
      <c r="N48" s="1">
        <f t="shared" si="2"/>
        <v>1668623</v>
      </c>
      <c r="O48" s="614">
        <v>371563.31300966541</v>
      </c>
      <c r="P48" s="614">
        <v>322662.28382405615</v>
      </c>
    </row>
    <row r="49" spans="1:16" ht="3.95" customHeight="1">
      <c r="A49" s="273"/>
      <c r="B49" s="1" t="s">
        <v>3</v>
      </c>
    </row>
    <row r="50" spans="1:16" ht="11.1" customHeight="1">
      <c r="A50" s="273" t="s">
        <v>312</v>
      </c>
      <c r="B50" s="1" t="s">
        <v>266</v>
      </c>
      <c r="C50" s="1">
        <v>0</v>
      </c>
      <c r="D50" s="1">
        <v>0</v>
      </c>
      <c r="E50" s="1">
        <v>0</v>
      </c>
      <c r="F50" s="1">
        <v>10000</v>
      </c>
      <c r="G50" s="1">
        <v>0</v>
      </c>
      <c r="H50" s="1">
        <v>0</v>
      </c>
      <c r="I50" s="1">
        <v>1500</v>
      </c>
      <c r="J50" s="1">
        <v>0</v>
      </c>
      <c r="K50" s="1">
        <v>0</v>
      </c>
      <c r="L50" s="92">
        <f>SUM(C50:I50)-J50+K50</f>
        <v>11500</v>
      </c>
      <c r="M50" s="92">
        <v>10850</v>
      </c>
      <c r="N50" s="92">
        <v>0</v>
      </c>
      <c r="O50" s="615" t="s">
        <v>630</v>
      </c>
      <c r="P50" s="615" t="s">
        <v>630</v>
      </c>
    </row>
    <row r="51" spans="1:16" ht="10.9" customHeight="1">
      <c r="A51" s="273" t="s">
        <v>311</v>
      </c>
      <c r="B51" s="1" t="s">
        <v>682</v>
      </c>
      <c r="C51" s="1">
        <v>0</v>
      </c>
      <c r="D51" s="1">
        <v>0</v>
      </c>
      <c r="E51" s="1">
        <v>448114</v>
      </c>
      <c r="F51" s="1">
        <v>635536</v>
      </c>
      <c r="G51" s="1">
        <v>0</v>
      </c>
      <c r="H51" s="1">
        <v>0</v>
      </c>
      <c r="I51" s="1">
        <v>0</v>
      </c>
      <c r="J51" s="1">
        <v>0</v>
      </c>
      <c r="K51" s="1">
        <v>0</v>
      </c>
      <c r="L51" s="92">
        <f>SUM(C51:I51)-J51+K51</f>
        <v>1083650</v>
      </c>
      <c r="M51" s="92">
        <v>10850</v>
      </c>
      <c r="N51" s="92">
        <v>0</v>
      </c>
    </row>
    <row r="52" spans="1:16" ht="3.95" customHeight="1"/>
    <row r="53" spans="1:16" ht="10.9" customHeight="1"/>
    <row r="54" spans="1:16" ht="10.9" customHeight="1">
      <c r="B54" s="1" t="s">
        <v>562</v>
      </c>
      <c r="C54" s="1">
        <v>14572530</v>
      </c>
      <c r="D54" s="1">
        <v>1026731</v>
      </c>
      <c r="E54" s="1">
        <v>1183000</v>
      </c>
      <c r="F54" s="1">
        <v>28000</v>
      </c>
      <c r="G54" s="1">
        <v>133465</v>
      </c>
      <c r="H54" s="1">
        <v>468700</v>
      </c>
      <c r="I54" s="1">
        <v>314000</v>
      </c>
      <c r="J54" s="1">
        <v>0</v>
      </c>
      <c r="K54" s="1">
        <v>0</v>
      </c>
      <c r="L54" s="92">
        <f>SUM(C54:I54)-J54+K54</f>
        <v>17726426</v>
      </c>
    </row>
    <row r="55" spans="1:16">
      <c r="B55" s="599" t="s">
        <v>561</v>
      </c>
      <c r="C55" s="599">
        <f>+C48-C54</f>
        <v>0</v>
      </c>
      <c r="D55" s="599">
        <f t="shared" ref="D55:L55" si="3">+D48-D54</f>
        <v>0</v>
      </c>
      <c r="E55" s="599">
        <f t="shared" si="3"/>
        <v>0</v>
      </c>
      <c r="F55" s="599">
        <f t="shared" si="3"/>
        <v>0</v>
      </c>
      <c r="G55" s="599">
        <f t="shared" si="3"/>
        <v>0</v>
      </c>
      <c r="H55" s="599">
        <f t="shared" si="3"/>
        <v>0</v>
      </c>
      <c r="I55" s="599">
        <f t="shared" si="3"/>
        <v>0</v>
      </c>
      <c r="J55" s="599">
        <f t="shared" si="3"/>
        <v>0</v>
      </c>
      <c r="K55" s="599">
        <f t="shared" si="3"/>
        <v>0</v>
      </c>
      <c r="L55" s="599">
        <f t="shared" si="3"/>
        <v>0</v>
      </c>
      <c r="M55" s="599"/>
      <c r="N55" s="599"/>
    </row>
  </sheetData>
  <phoneticPr fontId="0" type="noConversion"/>
  <pageMargins left="0.25" right="0.6" top="0.6" bottom="0.2" header="0.5" footer="0.5"/>
  <pageSetup paperSize="5" scale="87" orientation="landscape" horizontalDpi="4294967292" r:id="rId1"/>
  <headerFooter alignWithMargins="0"/>
  <legacyDrawing r:id="rId2"/>
</worksheet>
</file>

<file path=xl/worksheets/sheet6.xml><?xml version="1.0" encoding="utf-8"?>
<worksheet xmlns="http://schemas.openxmlformats.org/spreadsheetml/2006/main" xmlns:r="http://schemas.openxmlformats.org/officeDocument/2006/relationships">
  <sheetPr codeName="Sheet5">
    <pageSetUpPr fitToPage="1"/>
  </sheetPr>
  <dimension ref="A1:G63"/>
  <sheetViews>
    <sheetView showGridLines="0" showZeros="0" workbookViewId="0"/>
  </sheetViews>
  <sheetFormatPr defaultColWidth="16.83203125" defaultRowHeight="12"/>
  <cols>
    <col min="1" max="1" width="32.83203125" style="1" customWidth="1"/>
    <col min="2" max="7" width="16.83203125" style="1" customWidth="1"/>
    <col min="8" max="16384" width="16.83203125" style="1"/>
  </cols>
  <sheetData>
    <row r="1" spans="1:7" ht="6.95" customHeight="1">
      <c r="A1" s="3"/>
      <c r="B1" s="4"/>
      <c r="C1" s="4"/>
      <c r="D1" s="4"/>
      <c r="E1" s="4"/>
      <c r="F1" s="4"/>
    </row>
    <row r="2" spans="1:7" ht="15.95" customHeight="1">
      <c r="A2" s="41"/>
      <c r="B2" s="125" t="s">
        <v>170</v>
      </c>
      <c r="C2" s="6"/>
      <c r="D2" s="6"/>
      <c r="E2" s="6"/>
      <c r="F2" s="106"/>
      <c r="G2" s="106"/>
    </row>
    <row r="3" spans="1:7" ht="15.95" customHeight="1">
      <c r="A3" s="45"/>
      <c r="B3" s="107" t="s">
        <v>375</v>
      </c>
      <c r="C3" s="8"/>
      <c r="D3" s="8"/>
      <c r="E3" s="8"/>
      <c r="F3" s="108"/>
      <c r="G3" s="108"/>
    </row>
    <row r="4" spans="1:7" ht="15.95" customHeight="1">
      <c r="B4" s="4"/>
      <c r="C4" s="4"/>
      <c r="D4" s="4"/>
      <c r="E4" s="4"/>
      <c r="F4" s="4"/>
    </row>
    <row r="5" spans="1:7" ht="15.95" customHeight="1">
      <c r="B5" s="378" t="s">
        <v>389</v>
      </c>
      <c r="C5" s="379"/>
      <c r="D5" s="380"/>
      <c r="E5" s="381" t="s">
        <v>390</v>
      </c>
      <c r="F5" s="382" t="s">
        <v>391</v>
      </c>
      <c r="G5" s="383" t="s">
        <v>391</v>
      </c>
    </row>
    <row r="6" spans="1:7" ht="15.95" customHeight="1">
      <c r="B6" s="655" t="s">
        <v>185</v>
      </c>
      <c r="C6" s="656"/>
      <c r="D6" s="657"/>
      <c r="E6" s="109" t="s">
        <v>186</v>
      </c>
      <c r="F6" s="110" t="s">
        <v>185</v>
      </c>
      <c r="G6" s="110" t="s">
        <v>185</v>
      </c>
    </row>
    <row r="7" spans="1:7" ht="15.95" customHeight="1">
      <c r="B7" s="658" t="s">
        <v>648</v>
      </c>
      <c r="C7" s="659"/>
      <c r="D7" s="660"/>
      <c r="E7" s="630" t="s">
        <v>671</v>
      </c>
      <c r="F7" s="630" t="s">
        <v>648</v>
      </c>
      <c r="G7" s="630" t="s">
        <v>640</v>
      </c>
    </row>
    <row r="8" spans="1:7" ht="15.95" customHeight="1">
      <c r="A8" s="102"/>
      <c r="B8" s="528" t="s">
        <v>452</v>
      </c>
      <c r="C8" s="529" t="s">
        <v>71</v>
      </c>
      <c r="D8" s="528" t="s">
        <v>453</v>
      </c>
      <c r="E8" s="529" t="s">
        <v>451</v>
      </c>
      <c r="F8" s="529" t="s">
        <v>453</v>
      </c>
      <c r="G8" s="11" t="s">
        <v>453</v>
      </c>
    </row>
    <row r="9" spans="1:7" ht="15.95" customHeight="1">
      <c r="A9" s="35" t="s">
        <v>81</v>
      </c>
      <c r="B9" s="530" t="s">
        <v>171</v>
      </c>
      <c r="C9" s="530" t="s">
        <v>171</v>
      </c>
      <c r="D9" s="530" t="s">
        <v>171</v>
      </c>
      <c r="E9" s="531" t="s">
        <v>171</v>
      </c>
      <c r="F9" s="531" t="s">
        <v>171</v>
      </c>
      <c r="G9" s="124" t="s">
        <v>171</v>
      </c>
    </row>
    <row r="10" spans="1:7" ht="5.0999999999999996" customHeight="1">
      <c r="A10" s="37"/>
    </row>
    <row r="11" spans="1:7" ht="14.1" customHeight="1">
      <c r="A11" s="357" t="s">
        <v>230</v>
      </c>
      <c r="B11" s="358">
        <v>1538</v>
      </c>
      <c r="C11" s="358">
        <v>0</v>
      </c>
      <c r="D11" s="358">
        <v>1538</v>
      </c>
      <c r="E11" s="384">
        <f>'- 7 -'!F11</f>
        <v>1546.5</v>
      </c>
      <c r="F11" s="384">
        <v>1478</v>
      </c>
      <c r="G11" s="384">
        <v>1496.5</v>
      </c>
    </row>
    <row r="12" spans="1:7" ht="14.1" customHeight="1">
      <c r="A12" s="23" t="s">
        <v>231</v>
      </c>
      <c r="B12" s="24">
        <v>2272</v>
      </c>
      <c r="C12" s="24">
        <v>0</v>
      </c>
      <c r="D12" s="24">
        <v>2272</v>
      </c>
      <c r="E12" s="67">
        <f>'- 7 -'!F12</f>
        <v>2186.6799999999998</v>
      </c>
      <c r="F12" s="67">
        <v>2066.1999999999998</v>
      </c>
      <c r="G12" s="67">
        <v>2140.4</v>
      </c>
    </row>
    <row r="13" spans="1:7" ht="14.1" customHeight="1">
      <c r="A13" s="357" t="s">
        <v>232</v>
      </c>
      <c r="B13" s="358">
        <v>8329</v>
      </c>
      <c r="C13" s="358">
        <v>0</v>
      </c>
      <c r="D13" s="358">
        <v>8329</v>
      </c>
      <c r="E13" s="384">
        <f>'- 7 -'!F13</f>
        <v>8120.53</v>
      </c>
      <c r="F13" s="384">
        <v>7930.4</v>
      </c>
      <c r="G13" s="384">
        <v>7781.5</v>
      </c>
    </row>
    <row r="14" spans="1:7" ht="14.1" customHeight="1">
      <c r="A14" s="23" t="s">
        <v>566</v>
      </c>
      <c r="B14" s="24">
        <v>5201</v>
      </c>
      <c r="C14" s="24">
        <v>0</v>
      </c>
      <c r="D14" s="24">
        <v>5201</v>
      </c>
      <c r="E14" s="67">
        <f>'- 7 -'!F14</f>
        <v>5315</v>
      </c>
      <c r="F14" s="67">
        <v>4943.8</v>
      </c>
      <c r="G14" s="67">
        <v>4837.7</v>
      </c>
    </row>
    <row r="15" spans="1:7" ht="14.1" customHeight="1">
      <c r="A15" s="357" t="s">
        <v>233</v>
      </c>
      <c r="B15" s="358">
        <v>1544</v>
      </c>
      <c r="C15" s="358">
        <v>0</v>
      </c>
      <c r="D15" s="358">
        <v>1544</v>
      </c>
      <c r="E15" s="384">
        <f>'- 7 -'!F15</f>
        <v>1452.5</v>
      </c>
      <c r="F15" s="384">
        <v>1484</v>
      </c>
      <c r="G15" s="384">
        <v>1512</v>
      </c>
    </row>
    <row r="16" spans="1:7" ht="14.1" customHeight="1">
      <c r="A16" s="23" t="s">
        <v>234</v>
      </c>
      <c r="B16" s="24">
        <v>1001</v>
      </c>
      <c r="C16" s="24">
        <v>0</v>
      </c>
      <c r="D16" s="24">
        <v>1001</v>
      </c>
      <c r="E16" s="67">
        <f>'- 7 -'!F16</f>
        <v>962</v>
      </c>
      <c r="F16" s="67">
        <v>933.2</v>
      </c>
      <c r="G16" s="67">
        <v>956.6</v>
      </c>
    </row>
    <row r="17" spans="1:7" ht="14.1" customHeight="1">
      <c r="A17" s="357" t="s">
        <v>235</v>
      </c>
      <c r="B17" s="358">
        <v>1368</v>
      </c>
      <c r="C17" s="358">
        <v>0</v>
      </c>
      <c r="D17" s="358">
        <v>1368</v>
      </c>
      <c r="E17" s="384">
        <f>'- 7 -'!F17</f>
        <v>1337.5</v>
      </c>
      <c r="F17" s="384">
        <v>1265.3</v>
      </c>
      <c r="G17" s="384">
        <v>1263</v>
      </c>
    </row>
    <row r="18" spans="1:7" ht="14.1" customHeight="1">
      <c r="A18" s="23" t="s">
        <v>236</v>
      </c>
      <c r="B18" s="24">
        <v>6704</v>
      </c>
      <c r="C18" s="24">
        <v>495</v>
      </c>
      <c r="D18" s="24">
        <v>6209</v>
      </c>
      <c r="E18" s="67">
        <f>'- 7 -'!F18</f>
        <v>6170.7</v>
      </c>
      <c r="F18" s="67">
        <v>2362</v>
      </c>
      <c r="G18" s="67">
        <v>2409.1</v>
      </c>
    </row>
    <row r="19" spans="1:7" ht="14.1" customHeight="1">
      <c r="A19" s="357" t="s">
        <v>237</v>
      </c>
      <c r="B19" s="358">
        <v>4335</v>
      </c>
      <c r="C19" s="358">
        <v>0</v>
      </c>
      <c r="D19" s="358">
        <v>4335</v>
      </c>
      <c r="E19" s="384">
        <f>'- 7 -'!F19</f>
        <v>4079.5</v>
      </c>
      <c r="F19" s="384">
        <v>4156.9000000000005</v>
      </c>
      <c r="G19" s="384">
        <v>4168.2</v>
      </c>
    </row>
    <row r="20" spans="1:7" ht="14.1" customHeight="1">
      <c r="A20" s="23" t="s">
        <v>238</v>
      </c>
      <c r="B20" s="24">
        <v>7721</v>
      </c>
      <c r="C20" s="24">
        <v>0</v>
      </c>
      <c r="D20" s="24">
        <v>7721</v>
      </c>
      <c r="E20" s="67">
        <f>'- 7 -'!F20</f>
        <v>7559</v>
      </c>
      <c r="F20" s="67">
        <v>7380</v>
      </c>
      <c r="G20" s="67">
        <v>7378.4</v>
      </c>
    </row>
    <row r="21" spans="1:7" ht="14.1" customHeight="1">
      <c r="A21" s="357" t="s">
        <v>239</v>
      </c>
      <c r="B21" s="358">
        <v>2815</v>
      </c>
      <c r="C21" s="358">
        <v>0</v>
      </c>
      <c r="D21" s="358">
        <v>2815</v>
      </c>
      <c r="E21" s="384">
        <f>'- 7 -'!F21</f>
        <v>2659</v>
      </c>
      <c r="F21" s="384">
        <v>2699.6</v>
      </c>
      <c r="G21" s="384">
        <v>2756.8</v>
      </c>
    </row>
    <row r="22" spans="1:7" ht="14.1" customHeight="1">
      <c r="A22" s="23" t="s">
        <v>240</v>
      </c>
      <c r="B22" s="24">
        <v>1632</v>
      </c>
      <c r="C22" s="24">
        <v>0</v>
      </c>
      <c r="D22" s="24">
        <v>1632</v>
      </c>
      <c r="E22" s="67">
        <f>'- 7 -'!F22</f>
        <v>1561</v>
      </c>
      <c r="F22" s="67">
        <v>1568.4</v>
      </c>
      <c r="G22" s="67">
        <v>1595.5</v>
      </c>
    </row>
    <row r="23" spans="1:7" ht="14.1" customHeight="1">
      <c r="A23" s="357" t="s">
        <v>241</v>
      </c>
      <c r="B23" s="358">
        <v>1195</v>
      </c>
      <c r="C23" s="358">
        <v>0</v>
      </c>
      <c r="D23" s="358">
        <v>1195</v>
      </c>
      <c r="E23" s="384">
        <f>'- 7 -'!F23</f>
        <v>1147.5</v>
      </c>
      <c r="F23" s="384">
        <v>1057.6000000000001</v>
      </c>
      <c r="G23" s="384">
        <v>1075.6000000000001</v>
      </c>
    </row>
    <row r="24" spans="1:7" ht="14.1" customHeight="1">
      <c r="A24" s="23" t="s">
        <v>242</v>
      </c>
      <c r="B24" s="24">
        <v>4257</v>
      </c>
      <c r="C24" s="24">
        <v>0</v>
      </c>
      <c r="D24" s="24">
        <v>4257</v>
      </c>
      <c r="E24" s="67">
        <f>'- 7 -'!F24</f>
        <v>4049</v>
      </c>
      <c r="F24" s="67">
        <v>4050.9</v>
      </c>
      <c r="G24" s="67">
        <v>4159.2</v>
      </c>
    </row>
    <row r="25" spans="1:7" ht="14.1" customHeight="1">
      <c r="A25" s="357" t="s">
        <v>243</v>
      </c>
      <c r="B25" s="358">
        <v>14343</v>
      </c>
      <c r="C25" s="358">
        <v>0</v>
      </c>
      <c r="D25" s="358">
        <v>14343</v>
      </c>
      <c r="E25" s="384">
        <f>'- 7 -'!F25</f>
        <v>13745</v>
      </c>
      <c r="F25" s="384">
        <v>13562.5</v>
      </c>
      <c r="G25" s="384">
        <v>13554.3</v>
      </c>
    </row>
    <row r="26" spans="1:7" ht="14.1" customHeight="1">
      <c r="A26" s="23" t="s">
        <v>244</v>
      </c>
      <c r="B26" s="24">
        <v>3225</v>
      </c>
      <c r="C26" s="24">
        <v>0</v>
      </c>
      <c r="D26" s="24">
        <v>3225</v>
      </c>
      <c r="E26" s="67">
        <f>'- 7 -'!F26</f>
        <v>3088</v>
      </c>
      <c r="F26" s="67">
        <v>2964.6</v>
      </c>
      <c r="G26" s="67">
        <v>2958.4</v>
      </c>
    </row>
    <row r="27" spans="1:7" ht="14.1" customHeight="1">
      <c r="A27" s="357" t="s">
        <v>245</v>
      </c>
      <c r="B27" s="358">
        <v>2888</v>
      </c>
      <c r="C27" s="358">
        <v>0</v>
      </c>
      <c r="D27" s="358">
        <v>2888</v>
      </c>
      <c r="E27" s="384">
        <f>'- 7 -'!F27</f>
        <v>2890</v>
      </c>
      <c r="F27" s="384">
        <v>2723.2</v>
      </c>
      <c r="G27" s="384">
        <v>2684</v>
      </c>
    </row>
    <row r="28" spans="1:7" ht="14.1" customHeight="1">
      <c r="A28" s="23" t="s">
        <v>246</v>
      </c>
      <c r="B28" s="24">
        <v>2075</v>
      </c>
      <c r="C28" s="24">
        <v>0</v>
      </c>
      <c r="D28" s="24">
        <v>2075</v>
      </c>
      <c r="E28" s="67">
        <f>'- 7 -'!F28</f>
        <v>1982.5</v>
      </c>
      <c r="F28" s="67">
        <v>1518.5</v>
      </c>
      <c r="G28" s="67">
        <v>1503.8</v>
      </c>
    </row>
    <row r="29" spans="1:7" ht="14.1" customHeight="1">
      <c r="A29" s="357" t="s">
        <v>247</v>
      </c>
      <c r="B29" s="358">
        <v>12709</v>
      </c>
      <c r="C29" s="358">
        <v>0</v>
      </c>
      <c r="D29" s="358">
        <v>12709</v>
      </c>
      <c r="E29" s="384">
        <f>'- 7 -'!F29</f>
        <v>12060.5</v>
      </c>
      <c r="F29" s="384">
        <v>12077.9</v>
      </c>
      <c r="G29" s="384">
        <v>12076.7</v>
      </c>
    </row>
    <row r="30" spans="1:7" ht="14.1" customHeight="1">
      <c r="A30" s="23" t="s">
        <v>248</v>
      </c>
      <c r="B30" s="24">
        <v>1100</v>
      </c>
      <c r="C30" s="24">
        <v>0</v>
      </c>
      <c r="D30" s="24">
        <v>1100</v>
      </c>
      <c r="E30" s="67">
        <f>'- 7 -'!F30</f>
        <v>1025.5</v>
      </c>
      <c r="F30" s="67">
        <v>1058</v>
      </c>
      <c r="G30" s="67">
        <v>1073.8</v>
      </c>
    </row>
    <row r="31" spans="1:7" ht="14.1" customHeight="1">
      <c r="A31" s="357" t="s">
        <v>249</v>
      </c>
      <c r="B31" s="358">
        <v>3308</v>
      </c>
      <c r="C31" s="358">
        <v>0</v>
      </c>
      <c r="D31" s="358">
        <v>3308</v>
      </c>
      <c r="E31" s="384">
        <f>'- 7 -'!F31</f>
        <v>3191</v>
      </c>
      <c r="F31" s="384">
        <v>3055.7</v>
      </c>
      <c r="G31" s="384">
        <v>3054</v>
      </c>
    </row>
    <row r="32" spans="1:7" ht="14.1" customHeight="1">
      <c r="A32" s="23" t="s">
        <v>250</v>
      </c>
      <c r="B32" s="24">
        <v>2124</v>
      </c>
      <c r="C32" s="24">
        <v>0</v>
      </c>
      <c r="D32" s="24">
        <v>2124</v>
      </c>
      <c r="E32" s="67">
        <f>'- 7 -'!F32</f>
        <v>2103.5</v>
      </c>
      <c r="F32" s="67">
        <v>2010</v>
      </c>
      <c r="G32" s="67">
        <v>2052.1999999999998</v>
      </c>
    </row>
    <row r="33" spans="1:7" ht="14.1" customHeight="1">
      <c r="A33" s="357" t="s">
        <v>251</v>
      </c>
      <c r="B33" s="358">
        <v>2082</v>
      </c>
      <c r="C33" s="358">
        <v>0</v>
      </c>
      <c r="D33" s="358">
        <v>2082</v>
      </c>
      <c r="E33" s="384">
        <f>'- 7 -'!F33</f>
        <v>1993.5</v>
      </c>
      <c r="F33" s="384">
        <v>1970.8</v>
      </c>
      <c r="G33" s="384">
        <v>1988</v>
      </c>
    </row>
    <row r="34" spans="1:7" ht="14.1" customHeight="1">
      <c r="A34" s="23" t="s">
        <v>252</v>
      </c>
      <c r="B34" s="24">
        <v>2050</v>
      </c>
      <c r="C34" s="24">
        <v>0</v>
      </c>
      <c r="D34" s="24">
        <v>2050</v>
      </c>
      <c r="E34" s="67">
        <f>'- 7 -'!F34</f>
        <v>1985.5</v>
      </c>
      <c r="F34" s="67">
        <v>1972.8</v>
      </c>
      <c r="G34" s="67">
        <v>2025.6</v>
      </c>
    </row>
    <row r="35" spans="1:7" ht="14.1" customHeight="1">
      <c r="A35" s="357" t="s">
        <v>253</v>
      </c>
      <c r="B35" s="358">
        <v>16106</v>
      </c>
      <c r="C35" s="358">
        <v>0</v>
      </c>
      <c r="D35" s="358">
        <v>16106</v>
      </c>
      <c r="E35" s="384">
        <f>'- 7 -'!F35</f>
        <v>15497</v>
      </c>
      <c r="F35" s="384">
        <v>15411.1</v>
      </c>
      <c r="G35" s="384">
        <v>15565</v>
      </c>
    </row>
    <row r="36" spans="1:7" ht="14.1" customHeight="1">
      <c r="A36" s="23" t="s">
        <v>254</v>
      </c>
      <c r="B36" s="24">
        <v>1698</v>
      </c>
      <c r="C36" s="24">
        <v>0</v>
      </c>
      <c r="D36" s="24">
        <v>1698</v>
      </c>
      <c r="E36" s="67">
        <f>'- 7 -'!F36</f>
        <v>1648.5</v>
      </c>
      <c r="F36" s="67">
        <v>1516.8</v>
      </c>
      <c r="G36" s="67">
        <v>1550.4</v>
      </c>
    </row>
    <row r="37" spans="1:7" ht="14.1" customHeight="1">
      <c r="A37" s="357" t="s">
        <v>255</v>
      </c>
      <c r="B37" s="358">
        <v>4097</v>
      </c>
      <c r="C37" s="358">
        <v>0</v>
      </c>
      <c r="D37" s="358">
        <v>4097</v>
      </c>
      <c r="E37" s="384">
        <f>'- 7 -'!F37</f>
        <v>3913.5</v>
      </c>
      <c r="F37" s="384">
        <v>3903.3</v>
      </c>
      <c r="G37" s="384">
        <v>3714.2</v>
      </c>
    </row>
    <row r="38" spans="1:7" ht="14.1" customHeight="1">
      <c r="A38" s="23" t="s">
        <v>256</v>
      </c>
      <c r="B38" s="24">
        <v>10858</v>
      </c>
      <c r="C38" s="24">
        <v>0</v>
      </c>
      <c r="D38" s="24">
        <v>10858</v>
      </c>
      <c r="E38" s="67">
        <f>'- 7 -'!F38</f>
        <v>10725.5</v>
      </c>
      <c r="F38" s="67">
        <v>10363.700000000001</v>
      </c>
      <c r="G38" s="67">
        <v>10270.700000000001</v>
      </c>
    </row>
    <row r="39" spans="1:7" ht="14.1" customHeight="1">
      <c r="A39" s="357" t="s">
        <v>257</v>
      </c>
      <c r="B39" s="358">
        <v>1615</v>
      </c>
      <c r="C39" s="358">
        <v>0</v>
      </c>
      <c r="D39" s="358">
        <v>1615</v>
      </c>
      <c r="E39" s="384">
        <f>'- 7 -'!F39</f>
        <v>1550.5</v>
      </c>
      <c r="F39" s="384">
        <v>1553.5</v>
      </c>
      <c r="G39" s="384">
        <v>1584.8</v>
      </c>
    </row>
    <row r="40" spans="1:7" ht="14.1" customHeight="1">
      <c r="A40" s="23" t="s">
        <v>258</v>
      </c>
      <c r="B40" s="24">
        <v>8305</v>
      </c>
      <c r="C40" s="24">
        <v>0</v>
      </c>
      <c r="D40" s="24">
        <v>8305</v>
      </c>
      <c r="E40" s="67">
        <f>'- 7 -'!F40</f>
        <v>7940.89</v>
      </c>
      <c r="F40" s="67">
        <v>7868.6</v>
      </c>
      <c r="G40" s="67">
        <v>7913.4</v>
      </c>
    </row>
    <row r="41" spans="1:7" ht="14.1" customHeight="1">
      <c r="A41" s="357" t="s">
        <v>259</v>
      </c>
      <c r="B41" s="358">
        <v>4565</v>
      </c>
      <c r="C41" s="358">
        <v>0</v>
      </c>
      <c r="D41" s="358">
        <v>4565</v>
      </c>
      <c r="E41" s="384">
        <f>'- 7 -'!F41</f>
        <v>4386</v>
      </c>
      <c r="F41" s="384">
        <v>4335.8</v>
      </c>
      <c r="G41" s="384">
        <v>4384.8</v>
      </c>
    </row>
    <row r="42" spans="1:7" ht="14.1" customHeight="1">
      <c r="A42" s="23" t="s">
        <v>260</v>
      </c>
      <c r="B42" s="24">
        <v>1581</v>
      </c>
      <c r="C42" s="24">
        <v>65</v>
      </c>
      <c r="D42" s="24">
        <v>1516</v>
      </c>
      <c r="E42" s="67">
        <f>'- 7 -'!F42</f>
        <v>1401.5</v>
      </c>
      <c r="F42" s="67">
        <v>1407.3</v>
      </c>
      <c r="G42" s="67">
        <v>1394.2</v>
      </c>
    </row>
    <row r="43" spans="1:7" ht="14.1" customHeight="1">
      <c r="A43" s="357" t="s">
        <v>261</v>
      </c>
      <c r="B43" s="358">
        <v>1019</v>
      </c>
      <c r="C43" s="358">
        <v>0</v>
      </c>
      <c r="D43" s="358">
        <v>1019</v>
      </c>
      <c r="E43" s="384">
        <f>'- 7 -'!F43</f>
        <v>960</v>
      </c>
      <c r="F43" s="384">
        <v>977.8</v>
      </c>
      <c r="G43" s="384">
        <v>975.5</v>
      </c>
    </row>
    <row r="44" spans="1:7" ht="14.1" customHeight="1">
      <c r="A44" s="23" t="s">
        <v>262</v>
      </c>
      <c r="B44" s="24">
        <v>729</v>
      </c>
      <c r="C44" s="24">
        <v>0</v>
      </c>
      <c r="D44" s="24">
        <v>729</v>
      </c>
      <c r="E44" s="67">
        <f>'- 7 -'!F44</f>
        <v>702</v>
      </c>
      <c r="F44" s="67">
        <v>702.5</v>
      </c>
      <c r="G44" s="67">
        <v>713.5</v>
      </c>
    </row>
    <row r="45" spans="1:7" ht="14.1" customHeight="1">
      <c r="A45" s="357" t="s">
        <v>263</v>
      </c>
      <c r="B45" s="358">
        <v>1713</v>
      </c>
      <c r="C45" s="358">
        <v>0</v>
      </c>
      <c r="D45" s="358">
        <v>1713</v>
      </c>
      <c r="E45" s="384">
        <f>'- 7 -'!F45</f>
        <v>1681</v>
      </c>
      <c r="F45" s="384">
        <v>1611.3</v>
      </c>
      <c r="G45" s="384">
        <v>1598.7</v>
      </c>
    </row>
    <row r="46" spans="1:7" ht="14.1" customHeight="1">
      <c r="A46" s="23" t="s">
        <v>264</v>
      </c>
      <c r="B46" s="24">
        <v>33176</v>
      </c>
      <c r="C46" s="24">
        <v>1789</v>
      </c>
      <c r="D46" s="24">
        <v>31387</v>
      </c>
      <c r="E46" s="67">
        <f>'- 7 -'!F46</f>
        <v>30238</v>
      </c>
      <c r="F46" s="67">
        <v>29519.200000000001</v>
      </c>
      <c r="G46" s="67">
        <v>29801.5</v>
      </c>
    </row>
    <row r="47" spans="1:7" ht="5.0999999999999996" customHeight="1">
      <c r="A47"/>
      <c r="B47"/>
      <c r="C47"/>
      <c r="D47"/>
      <c r="E47"/>
      <c r="F47"/>
      <c r="G47"/>
    </row>
    <row r="48" spans="1:7" ht="14.1" customHeight="1">
      <c r="A48" s="360" t="s">
        <v>265</v>
      </c>
      <c r="B48" s="361">
        <f t="shared" ref="B48:G48" si="0">SUM(B11:B46)</f>
        <v>181278</v>
      </c>
      <c r="C48" s="361">
        <f t="shared" si="0"/>
        <v>2349</v>
      </c>
      <c r="D48" s="361">
        <f t="shared" si="0"/>
        <v>178929</v>
      </c>
      <c r="E48" s="385">
        <f t="shared" si="0"/>
        <v>172855.80000000002</v>
      </c>
      <c r="F48" s="385">
        <f t="shared" si="0"/>
        <v>165461.19999999998</v>
      </c>
      <c r="G48" s="385">
        <f t="shared" si="0"/>
        <v>165968</v>
      </c>
    </row>
    <row r="49" spans="1:7" ht="5.0999999999999996" customHeight="1">
      <c r="A49" s="25" t="s">
        <v>3</v>
      </c>
      <c r="B49" s="26"/>
      <c r="C49" s="26"/>
      <c r="D49" s="26"/>
      <c r="E49" s="70"/>
      <c r="F49" s="70"/>
      <c r="G49" s="70"/>
    </row>
    <row r="50" spans="1:7" ht="14.1" customHeight="1">
      <c r="A50" s="23" t="s">
        <v>266</v>
      </c>
      <c r="B50" s="24">
        <v>179</v>
      </c>
      <c r="C50" s="24">
        <v>0</v>
      </c>
      <c r="D50" s="24">
        <v>179</v>
      </c>
      <c r="E50" s="67">
        <f>'- 7 -'!F50</f>
        <v>175</v>
      </c>
      <c r="F50" s="67">
        <v>174.5</v>
      </c>
      <c r="G50" s="67">
        <v>167</v>
      </c>
    </row>
    <row r="51" spans="1:7" ht="14.1" customHeight="1">
      <c r="A51" s="511" t="s">
        <v>691</v>
      </c>
      <c r="B51" s="358">
        <v>0</v>
      </c>
      <c r="C51" s="358">
        <v>0</v>
      </c>
      <c r="D51" s="358">
        <f>B51-C51</f>
        <v>0</v>
      </c>
      <c r="E51" s="384">
        <f>'- 7 -'!F51</f>
        <v>621</v>
      </c>
      <c r="F51" s="384"/>
      <c r="G51" s="384"/>
    </row>
    <row r="52" spans="1:7" ht="50.1" customHeight="1">
      <c r="A52" s="27"/>
      <c r="B52" s="27"/>
      <c r="C52" s="27"/>
      <c r="D52" s="27"/>
      <c r="E52" s="27"/>
      <c r="F52" s="126"/>
      <c r="G52" s="126"/>
    </row>
    <row r="53" spans="1:7" ht="15" customHeight="1">
      <c r="A53" s="28" t="s">
        <v>597</v>
      </c>
      <c r="C53" s="115"/>
      <c r="D53" s="115"/>
      <c r="E53" s="115"/>
      <c r="F53" s="115"/>
    </row>
    <row r="54" spans="1:7" ht="12" customHeight="1">
      <c r="A54" s="28" t="s">
        <v>642</v>
      </c>
      <c r="C54" s="115"/>
      <c r="D54" s="115"/>
      <c r="E54" s="115"/>
      <c r="F54" s="115"/>
    </row>
    <row r="55" spans="1:7" ht="12" customHeight="1">
      <c r="A55" s="28" t="s">
        <v>616</v>
      </c>
      <c r="C55" s="115"/>
      <c r="D55" s="115"/>
      <c r="E55" s="115"/>
      <c r="F55" s="115"/>
    </row>
    <row r="56" spans="1:7" ht="12" customHeight="1">
      <c r="A56" s="158" t="s">
        <v>657</v>
      </c>
      <c r="C56" s="115"/>
      <c r="D56" s="115"/>
      <c r="E56" s="115"/>
      <c r="F56" s="116"/>
    </row>
    <row r="57" spans="1:7" ht="14.45" customHeight="1">
      <c r="A57" s="28"/>
      <c r="B57" s="115"/>
      <c r="C57" s="115"/>
      <c r="D57" s="115"/>
      <c r="E57" s="115"/>
      <c r="F57" s="115"/>
    </row>
    <row r="58" spans="1:7" ht="14.45" customHeight="1">
      <c r="F58" s="604"/>
      <c r="G58" s="604"/>
    </row>
    <row r="59" spans="1:7" ht="14.45" customHeight="1">
      <c r="F59" s="604"/>
      <c r="G59" s="604"/>
    </row>
    <row r="60" spans="1:7">
      <c r="F60" s="604"/>
      <c r="G60" s="604"/>
    </row>
    <row r="61" spans="1:7">
      <c r="F61" s="604"/>
      <c r="G61" s="604"/>
    </row>
    <row r="62" spans="1:7">
      <c r="F62" s="604"/>
      <c r="G62" s="604"/>
    </row>
    <row r="63" spans="1:7">
      <c r="F63" s="604"/>
      <c r="G63" s="604"/>
    </row>
  </sheetData>
  <mergeCells count="2">
    <mergeCell ref="B6:D6"/>
    <mergeCell ref="B7:D7"/>
  </mergeCells>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7.xml><?xml version="1.0" encoding="utf-8"?>
<worksheet xmlns="http://schemas.openxmlformats.org/spreadsheetml/2006/main" xmlns:r="http://schemas.openxmlformats.org/officeDocument/2006/relationships">
  <sheetPr codeName="Sheet6">
    <pageSetUpPr fitToPage="1"/>
  </sheetPr>
  <dimension ref="A1:D58"/>
  <sheetViews>
    <sheetView showGridLines="0" showZeros="0" workbookViewId="0"/>
  </sheetViews>
  <sheetFormatPr defaultRowHeight="12"/>
  <cols>
    <col min="1" max="1" width="39.83203125" style="1" customWidth="1"/>
    <col min="2" max="3" width="31.83203125" style="1" customWidth="1"/>
    <col min="4" max="4" width="29.83203125" style="1" customWidth="1"/>
    <col min="5" max="16384" width="9.33203125" style="1"/>
  </cols>
  <sheetData>
    <row r="1" spans="1:4" ht="6.95" customHeight="1">
      <c r="A1" s="3"/>
      <c r="B1" s="4"/>
      <c r="C1" s="4"/>
      <c r="D1" s="4"/>
    </row>
    <row r="2" spans="1:4" ht="15.95" customHeight="1">
      <c r="A2" s="41"/>
      <c r="B2" s="5" t="s">
        <v>173</v>
      </c>
      <c r="C2" s="6"/>
      <c r="D2" s="100"/>
    </row>
    <row r="3" spans="1:4" ht="15.95" customHeight="1">
      <c r="A3" s="45"/>
      <c r="B3" s="7" t="str">
        <f>STATDATE</f>
        <v>ESTIMATE SEPTEMBER 30, 2014</v>
      </c>
      <c r="C3" s="8"/>
      <c r="D3" s="101"/>
    </row>
    <row r="4" spans="1:4" ht="15.95" customHeight="1">
      <c r="B4" s="4"/>
      <c r="C4" s="4"/>
      <c r="D4" s="4"/>
    </row>
    <row r="5" spans="1:4" ht="15.95" customHeight="1">
      <c r="B5" s="4"/>
      <c r="C5" s="4"/>
      <c r="D5" s="4"/>
    </row>
    <row r="6" spans="1:4" ht="15.95" customHeight="1">
      <c r="B6" s="4"/>
      <c r="C6" s="4"/>
      <c r="D6" s="4"/>
    </row>
    <row r="7" spans="1:4" ht="15.95" customHeight="1">
      <c r="B7" s="386" t="s">
        <v>172</v>
      </c>
      <c r="C7" s="387"/>
      <c r="D7" s="4"/>
    </row>
    <row r="8" spans="1:4" ht="15.95" customHeight="1">
      <c r="A8" s="102"/>
      <c r="B8" s="103" t="s">
        <v>72</v>
      </c>
      <c r="C8" s="104"/>
      <c r="D8" s="105"/>
    </row>
    <row r="9" spans="1:4" ht="15.95" customHeight="1">
      <c r="A9" s="35" t="s">
        <v>81</v>
      </c>
      <c r="B9" s="36" t="s">
        <v>387</v>
      </c>
      <c r="C9" s="36" t="s">
        <v>388</v>
      </c>
    </row>
    <row r="10" spans="1:4" ht="5.0999999999999996" customHeight="1">
      <c r="A10" s="37"/>
    </row>
    <row r="11" spans="1:4" ht="14.1" customHeight="1">
      <c r="A11" s="357" t="s">
        <v>230</v>
      </c>
      <c r="B11" s="384">
        <v>15.984496124031008</v>
      </c>
      <c r="C11" s="384">
        <v>13.5278166550035</v>
      </c>
    </row>
    <row r="12" spans="1:4" ht="14.1" customHeight="1">
      <c r="A12" s="23" t="s">
        <v>231</v>
      </c>
      <c r="B12" s="67">
        <v>14.444018759495343</v>
      </c>
      <c r="C12" s="67">
        <v>11.602270918448561</v>
      </c>
    </row>
    <row r="13" spans="1:4" ht="14.1" customHeight="1">
      <c r="A13" s="357" t="s">
        <v>232</v>
      </c>
      <c r="B13" s="384">
        <v>17.36380353668185</v>
      </c>
      <c r="C13" s="384">
        <v>12.855448961499494</v>
      </c>
    </row>
    <row r="14" spans="1:4" ht="14.1" customHeight="1">
      <c r="A14" s="23" t="s">
        <v>566</v>
      </c>
      <c r="B14" s="67">
        <v>15.116179858365802</v>
      </c>
      <c r="C14" s="67">
        <v>12.166926105667978</v>
      </c>
    </row>
    <row r="15" spans="1:4" ht="14.1" customHeight="1">
      <c r="A15" s="357" t="s">
        <v>233</v>
      </c>
      <c r="B15" s="384">
        <v>16.584836720712492</v>
      </c>
      <c r="C15" s="384">
        <v>12.861949880456921</v>
      </c>
    </row>
    <row r="16" spans="1:4" ht="14.1" customHeight="1">
      <c r="A16" s="23" t="s">
        <v>234</v>
      </c>
      <c r="B16" s="67">
        <v>15.940347970173985</v>
      </c>
      <c r="C16" s="67">
        <v>12.35709698137444</v>
      </c>
    </row>
    <row r="17" spans="1:3" ht="14.1" customHeight="1">
      <c r="A17" s="357" t="s">
        <v>235</v>
      </c>
      <c r="B17" s="384">
        <v>15.713110902255638</v>
      </c>
      <c r="C17" s="384">
        <v>13.139797622556243</v>
      </c>
    </row>
    <row r="18" spans="1:3" ht="14.1" customHeight="1">
      <c r="A18" s="23" t="s">
        <v>236</v>
      </c>
      <c r="B18" s="67">
        <v>15.055996096132731</v>
      </c>
      <c r="C18" s="67">
        <v>11.976592977893366</v>
      </c>
    </row>
    <row r="19" spans="1:3" ht="14.1" customHeight="1">
      <c r="A19" s="357" t="s">
        <v>237</v>
      </c>
      <c r="B19" s="384">
        <v>17.785673802153724</v>
      </c>
      <c r="C19" s="384">
        <v>14.331131876624744</v>
      </c>
    </row>
    <row r="20" spans="1:3" ht="14.1" customHeight="1">
      <c r="A20" s="23" t="s">
        <v>238</v>
      </c>
      <c r="B20" s="67">
        <v>18.005635842625168</v>
      </c>
      <c r="C20" s="67">
        <v>15.006591067911822</v>
      </c>
    </row>
    <row r="21" spans="1:3" ht="14.1" customHeight="1">
      <c r="A21" s="357" t="s">
        <v>239</v>
      </c>
      <c r="B21" s="384">
        <v>15.527007299270073</v>
      </c>
      <c r="C21" s="384">
        <v>11.63167104111986</v>
      </c>
    </row>
    <row r="22" spans="1:3" ht="14.1" customHeight="1">
      <c r="A22" s="23" t="s">
        <v>240</v>
      </c>
      <c r="B22" s="67">
        <v>17.267699115044248</v>
      </c>
      <c r="C22" s="67">
        <v>12.609046849757673</v>
      </c>
    </row>
    <row r="23" spans="1:3" ht="14.1" customHeight="1">
      <c r="A23" s="357" t="s">
        <v>241</v>
      </c>
      <c r="B23" s="384">
        <v>14.835164835164836</v>
      </c>
      <c r="C23" s="384">
        <v>11.532663316582914</v>
      </c>
    </row>
    <row r="24" spans="1:3" ht="14.1" customHeight="1">
      <c r="A24" s="23" t="s">
        <v>242</v>
      </c>
      <c r="B24" s="67">
        <v>15.360394537177541</v>
      </c>
      <c r="C24" s="67">
        <v>12.155508856199338</v>
      </c>
    </row>
    <row r="25" spans="1:3" ht="14.1" customHeight="1">
      <c r="A25" s="357" t="s">
        <v>243</v>
      </c>
      <c r="B25" s="384">
        <v>18.369774403934567</v>
      </c>
      <c r="C25" s="384">
        <v>14.00949934768428</v>
      </c>
    </row>
    <row r="26" spans="1:3" ht="14.1" customHeight="1">
      <c r="A26" s="23" t="s">
        <v>244</v>
      </c>
      <c r="B26" s="67">
        <v>16.306701167027512</v>
      </c>
      <c r="C26" s="67">
        <v>13.213521608900299</v>
      </c>
    </row>
    <row r="27" spans="1:3" ht="14.1" customHeight="1">
      <c r="A27" s="357" t="s">
        <v>245</v>
      </c>
      <c r="B27" s="384">
        <v>15.957153111368781</v>
      </c>
      <c r="C27" s="384">
        <v>11.917525773195875</v>
      </c>
    </row>
    <row r="28" spans="1:3" ht="14.1" customHeight="1">
      <c r="A28" s="23" t="s">
        <v>246</v>
      </c>
      <c r="B28" s="67">
        <v>14.303751803751805</v>
      </c>
      <c r="C28" s="67">
        <v>11.706524948331857</v>
      </c>
    </row>
    <row r="29" spans="1:3" ht="14.1" customHeight="1">
      <c r="A29" s="357" t="s">
        <v>247</v>
      </c>
      <c r="B29" s="384">
        <v>17.20397129937378</v>
      </c>
      <c r="C29" s="384">
        <v>13.711813727162138</v>
      </c>
    </row>
    <row r="30" spans="1:3" ht="14.1" customHeight="1">
      <c r="A30" s="23" t="s">
        <v>248</v>
      </c>
      <c r="B30" s="67">
        <v>14.535790219702339</v>
      </c>
      <c r="C30" s="67">
        <v>12.340553549939832</v>
      </c>
    </row>
    <row r="31" spans="1:3" ht="14.1" customHeight="1">
      <c r="A31" s="357" t="s">
        <v>249</v>
      </c>
      <c r="B31" s="384">
        <v>17.108084923868752</v>
      </c>
      <c r="C31" s="384">
        <v>13.119269826912797</v>
      </c>
    </row>
    <row r="32" spans="1:3" ht="14.1" customHeight="1">
      <c r="A32" s="23" t="s">
        <v>250</v>
      </c>
      <c r="B32" s="67">
        <v>14.653430860327411</v>
      </c>
      <c r="C32" s="67">
        <v>12.268883056284633</v>
      </c>
    </row>
    <row r="33" spans="1:4" ht="14.1" customHeight="1">
      <c r="A33" s="357" t="s">
        <v>251</v>
      </c>
      <c r="B33" s="384">
        <v>15.810887979442276</v>
      </c>
      <c r="C33" s="384">
        <v>12.910098825236055</v>
      </c>
    </row>
    <row r="34" spans="1:4" ht="14.1" customHeight="1">
      <c r="A34" s="23" t="s">
        <v>252</v>
      </c>
      <c r="B34" s="67">
        <v>15.868131868131869</v>
      </c>
      <c r="C34" s="67">
        <v>12.501967698265277</v>
      </c>
    </row>
    <row r="35" spans="1:4" ht="14.1" customHeight="1">
      <c r="A35" s="357" t="s">
        <v>253</v>
      </c>
      <c r="B35" s="384">
        <v>17.736194563662377</v>
      </c>
      <c r="C35" s="384">
        <v>13.875632358866456</v>
      </c>
    </row>
    <row r="36" spans="1:4" ht="14.1" customHeight="1">
      <c r="A36" s="23" t="s">
        <v>254</v>
      </c>
      <c r="B36" s="67">
        <v>15.00273025118311</v>
      </c>
      <c r="C36" s="67">
        <v>12.220616034693652</v>
      </c>
    </row>
    <row r="37" spans="1:4" ht="14.1" customHeight="1">
      <c r="A37" s="357" t="s">
        <v>255</v>
      </c>
      <c r="B37" s="384">
        <v>17.795916511300078</v>
      </c>
      <c r="C37" s="384">
        <v>13.697455461831929</v>
      </c>
    </row>
    <row r="38" spans="1:4" ht="14.1" customHeight="1">
      <c r="A38" s="23" t="s">
        <v>256</v>
      </c>
      <c r="B38" s="67">
        <v>16.992506218412839</v>
      </c>
      <c r="C38" s="67">
        <v>14.105261773563566</v>
      </c>
    </row>
    <row r="39" spans="1:4" ht="14.1" customHeight="1">
      <c r="A39" s="357" t="s">
        <v>257</v>
      </c>
      <c r="B39" s="384">
        <v>14.848687990806358</v>
      </c>
      <c r="C39" s="384">
        <v>12.398048936510476</v>
      </c>
    </row>
    <row r="40" spans="1:4" ht="14.1" customHeight="1">
      <c r="A40" s="23" t="s">
        <v>258</v>
      </c>
      <c r="B40" s="67">
        <v>17.414996271766306</v>
      </c>
      <c r="C40" s="67">
        <v>13.484733731829914</v>
      </c>
    </row>
    <row r="41" spans="1:4" ht="14.1" customHeight="1">
      <c r="A41" s="357" t="s">
        <v>259</v>
      </c>
      <c r="B41" s="384">
        <v>16.46705462737</v>
      </c>
      <c r="C41" s="384">
        <v>12.670075396481497</v>
      </c>
    </row>
    <row r="42" spans="1:4" ht="14.1" customHeight="1">
      <c r="A42" s="23" t="s">
        <v>260</v>
      </c>
      <c r="B42" s="67">
        <v>15.238664781994128</v>
      </c>
      <c r="C42" s="67">
        <v>12.403752544472963</v>
      </c>
    </row>
    <row r="43" spans="1:4" ht="14.1" customHeight="1">
      <c r="A43" s="357" t="s">
        <v>261</v>
      </c>
      <c r="B43" s="384">
        <v>15.523932729624837</v>
      </c>
      <c r="C43" s="384">
        <v>12.379110251450678</v>
      </c>
    </row>
    <row r="44" spans="1:4" ht="14.1" customHeight="1">
      <c r="A44" s="23" t="s">
        <v>262</v>
      </c>
      <c r="B44" s="67">
        <v>13.310580204778157</v>
      </c>
      <c r="C44" s="67">
        <v>11.262634365474089</v>
      </c>
    </row>
    <row r="45" spans="1:4" ht="14.1" customHeight="1">
      <c r="A45" s="357" t="s">
        <v>263</v>
      </c>
      <c r="B45" s="384">
        <v>17.421494455383979</v>
      </c>
      <c r="C45" s="384">
        <v>14.430423212292901</v>
      </c>
    </row>
    <row r="46" spans="1:4" ht="14.1" customHeight="1">
      <c r="A46" s="23" t="s">
        <v>264</v>
      </c>
      <c r="B46" s="67">
        <v>18.325394228088676</v>
      </c>
      <c r="C46" s="67">
        <v>13.674123717400837</v>
      </c>
    </row>
    <row r="47" spans="1:4" ht="5.0999999999999996" customHeight="1">
      <c r="A47"/>
      <c r="B47"/>
      <c r="C47"/>
      <c r="D47"/>
    </row>
    <row r="48" spans="1:4" ht="14.1" customHeight="1">
      <c r="A48" s="498" t="s">
        <v>265</v>
      </c>
      <c r="B48" s="499">
        <v>16.96850315632037</v>
      </c>
      <c r="C48" s="500">
        <v>13.288038414633778</v>
      </c>
      <c r="D48" s="37"/>
    </row>
    <row r="49" spans="1:4" ht="5.0999999999999996" customHeight="1">
      <c r="A49" s="25" t="s">
        <v>3</v>
      </c>
      <c r="B49" s="70"/>
      <c r="C49" s="70"/>
    </row>
    <row r="50" spans="1:4" ht="14.1" customHeight="1">
      <c r="A50" s="23" t="s">
        <v>266</v>
      </c>
      <c r="B50" s="67">
        <v>9.4799566630552548</v>
      </c>
      <c r="C50" s="67">
        <v>7.8405017921146953</v>
      </c>
    </row>
    <row r="51" spans="1:4" ht="14.1" customHeight="1">
      <c r="A51" s="511" t="s">
        <v>691</v>
      </c>
      <c r="B51" s="384">
        <v>20.39408866995074</v>
      </c>
      <c r="C51" s="384">
        <v>18.454680534918278</v>
      </c>
    </row>
    <row r="52" spans="1:4" ht="50.1" customHeight="1">
      <c r="A52" s="27"/>
      <c r="B52" s="27"/>
      <c r="C52" s="27"/>
      <c r="D52" s="27"/>
    </row>
    <row r="53" spans="1:4" ht="15" customHeight="1">
      <c r="A53" s="158" t="s">
        <v>695</v>
      </c>
      <c r="B53" s="39"/>
      <c r="C53" s="39"/>
      <c r="D53" s="39"/>
    </row>
    <row r="54" spans="1:4" ht="12" customHeight="1">
      <c r="A54" s="39" t="s">
        <v>626</v>
      </c>
      <c r="B54" s="39"/>
      <c r="C54" s="39"/>
      <c r="D54" s="39"/>
    </row>
    <row r="55" spans="1:4" ht="12" customHeight="1">
      <c r="A55" s="39" t="s">
        <v>608</v>
      </c>
      <c r="B55" s="39"/>
      <c r="C55" s="39"/>
      <c r="D55" s="39"/>
    </row>
    <row r="56" spans="1:4" ht="12" customHeight="1">
      <c r="A56" s="39" t="s">
        <v>596</v>
      </c>
      <c r="C56" s="39"/>
      <c r="D56" s="39"/>
    </row>
    <row r="57" spans="1:4" ht="12" customHeight="1">
      <c r="A57" s="158" t="s">
        <v>696</v>
      </c>
      <c r="C57" s="39"/>
      <c r="D57" s="39"/>
    </row>
    <row r="58" spans="1:4" ht="12" customHeight="1">
      <c r="A58" s="158" t="s">
        <v>679</v>
      </c>
      <c r="B58" s="39"/>
      <c r="C58" s="39"/>
      <c r="D58" s="39"/>
    </row>
  </sheetData>
  <phoneticPr fontId="0" type="noConversion"/>
  <printOptions horizontalCentered="1"/>
  <pageMargins left="0.5" right="0.5" top="0.6" bottom="0" header="0.3" footer="0"/>
  <pageSetup scale="88" orientation="portrait" r:id="rId1"/>
  <headerFooter alignWithMargins="0">
    <oddHeader>&amp;C&amp;"Arial,Bold"&amp;10&amp;A</oddHeader>
  </headerFooter>
</worksheet>
</file>

<file path=xl/worksheets/sheet8.xml><?xml version="1.0" encoding="utf-8"?>
<worksheet xmlns="http://schemas.openxmlformats.org/spreadsheetml/2006/main" xmlns:r="http://schemas.openxmlformats.org/officeDocument/2006/relationships">
  <sheetPr codeName="Sheet7">
    <pageSetUpPr fitToPage="1"/>
  </sheetPr>
  <dimension ref="A2:N50"/>
  <sheetViews>
    <sheetView showGridLines="0" showZeros="0" workbookViewId="0"/>
  </sheetViews>
  <sheetFormatPr defaultColWidth="15.83203125" defaultRowHeight="12"/>
  <cols>
    <col min="1" max="1" width="5.83203125" style="1" customWidth="1"/>
    <col min="2" max="2" width="40.83203125" style="1" customWidth="1"/>
    <col min="3" max="5" width="15.83203125" style="1" customWidth="1"/>
    <col min="6" max="6" width="17.83203125" style="1" customWidth="1"/>
    <col min="7" max="9" width="14.83203125" style="1" customWidth="1"/>
    <col min="10" max="10" width="2.83203125" style="1" customWidth="1"/>
    <col min="11" max="11" width="17.83203125" style="1" customWidth="1"/>
    <col min="12" max="12" width="12.83203125" style="1" bestFit="1" customWidth="1"/>
    <col min="13" max="16384" width="15.83203125" style="1"/>
  </cols>
  <sheetData>
    <row r="2" spans="1:14">
      <c r="A2" s="72"/>
      <c r="B2" s="72"/>
      <c r="C2" s="73" t="str">
        <f>OPYEAR</f>
        <v>OPERATING FUND 2014/2015 BUDGET</v>
      </c>
      <c r="D2" s="73"/>
      <c r="E2" s="73"/>
      <c r="F2" s="73"/>
      <c r="G2" s="73"/>
      <c r="H2" s="73"/>
      <c r="I2" s="73"/>
      <c r="J2" s="73"/>
      <c r="K2" s="72"/>
    </row>
    <row r="5" spans="1:14" ht="15.75">
      <c r="C5" s="338" t="s">
        <v>471</v>
      </c>
      <c r="D5" s="75"/>
      <c r="E5" s="75"/>
      <c r="F5" s="75"/>
      <c r="G5" s="75"/>
      <c r="H5" s="75"/>
      <c r="I5" s="75"/>
      <c r="J5" s="75"/>
      <c r="K5" s="4"/>
    </row>
    <row r="6" spans="1:14">
      <c r="C6" s="74"/>
      <c r="D6" s="75"/>
      <c r="E6" s="75"/>
      <c r="F6" s="75"/>
      <c r="G6" s="75"/>
      <c r="H6" s="75"/>
      <c r="I6" s="75"/>
      <c r="J6" s="75"/>
      <c r="K6" s="4"/>
    </row>
    <row r="7" spans="1:14">
      <c r="C7" s="74"/>
      <c r="D7" s="75"/>
      <c r="E7" s="75"/>
      <c r="F7" s="75"/>
      <c r="G7" s="75"/>
      <c r="H7" s="75"/>
      <c r="I7" s="75"/>
      <c r="J7" s="4"/>
      <c r="K7" s="4"/>
    </row>
    <row r="8" spans="1:14">
      <c r="C8" s="4"/>
      <c r="D8" s="4"/>
      <c r="E8" s="4"/>
      <c r="F8" s="4"/>
      <c r="G8" s="4"/>
      <c r="H8" s="4"/>
      <c r="I8" s="4"/>
      <c r="J8" s="4"/>
      <c r="K8" s="4"/>
    </row>
    <row r="9" spans="1:14">
      <c r="C9" s="4"/>
      <c r="D9" s="4"/>
      <c r="E9" s="4"/>
      <c r="F9" s="4"/>
      <c r="G9" s="4"/>
      <c r="H9" s="4"/>
      <c r="I9" s="4"/>
      <c r="J9" s="4"/>
      <c r="K9" s="4"/>
    </row>
    <row r="10" spans="1:14">
      <c r="C10" s="370" t="s">
        <v>149</v>
      </c>
      <c r="D10" s="371"/>
      <c r="E10" s="371"/>
      <c r="F10" s="371"/>
      <c r="G10" s="371"/>
      <c r="H10" s="371"/>
      <c r="I10" s="371"/>
      <c r="J10" s="372"/>
      <c r="K10" s="4"/>
    </row>
    <row r="11" spans="1:14">
      <c r="C11" s="4"/>
      <c r="D11" s="4"/>
      <c r="E11" s="4"/>
      <c r="F11" s="4"/>
      <c r="G11" s="4"/>
      <c r="H11" s="4"/>
      <c r="I11" s="4"/>
      <c r="J11" s="4"/>
      <c r="K11" s="4"/>
    </row>
    <row r="12" spans="1:14">
      <c r="A12" s="76"/>
      <c r="B12" s="77"/>
      <c r="C12" s="373"/>
      <c r="D12" s="373" t="s">
        <v>150</v>
      </c>
      <c r="E12" s="374"/>
      <c r="F12" s="373" t="s">
        <v>151</v>
      </c>
      <c r="G12" s="351" t="s">
        <v>130</v>
      </c>
      <c r="H12" s="520" t="s">
        <v>469</v>
      </c>
      <c r="I12" s="375"/>
      <c r="J12" s="365"/>
      <c r="K12" s="365"/>
    </row>
    <row r="13" spans="1:14">
      <c r="A13" s="662" t="s">
        <v>160</v>
      </c>
      <c r="B13" s="663"/>
      <c r="C13" s="376" t="s">
        <v>152</v>
      </c>
      <c r="D13" s="376" t="s">
        <v>153</v>
      </c>
      <c r="E13" s="356" t="s">
        <v>139</v>
      </c>
      <c r="F13" s="376" t="s">
        <v>154</v>
      </c>
      <c r="G13" s="354" t="s">
        <v>139</v>
      </c>
      <c r="H13" s="521" t="s">
        <v>470</v>
      </c>
      <c r="I13" s="355" t="s">
        <v>95</v>
      </c>
      <c r="J13" s="377"/>
      <c r="K13" s="376" t="s">
        <v>155</v>
      </c>
      <c r="N13" s="155" t="str">
        <f>IF($N$27=0,"","Variance")</f>
        <v/>
      </c>
    </row>
    <row r="15" spans="1:14">
      <c r="A15" s="78">
        <v>100</v>
      </c>
      <c r="B15" s="37" t="s">
        <v>49</v>
      </c>
      <c r="C15" s="79">
        <f>'- 12 -'!B22</f>
        <v>1024154033</v>
      </c>
      <c r="D15" s="80">
        <f>'- 12 -'!B23</f>
        <v>63883038</v>
      </c>
      <c r="E15" s="80">
        <f>'- 12 -'!B40</f>
        <v>29133578</v>
      </c>
      <c r="F15" s="80">
        <f>'- 12 -'!B46</f>
        <v>73415207</v>
      </c>
      <c r="G15" s="81"/>
      <c r="H15" s="205"/>
      <c r="I15" s="82"/>
      <c r="K15" s="79">
        <f>SUM(C15:F15)</f>
        <v>1190585856</v>
      </c>
      <c r="N15" s="1" t="str">
        <f>IF($N$27=0,"",K15-'- 12 -'!$B$51)</f>
        <v/>
      </c>
    </row>
    <row r="16" spans="1:14" ht="24" customHeight="1">
      <c r="A16" s="78">
        <v>200</v>
      </c>
      <c r="B16" s="37" t="s">
        <v>442</v>
      </c>
      <c r="C16" s="79">
        <f>'- 12 -'!D22</f>
        <v>347087940</v>
      </c>
      <c r="D16" s="80">
        <f>'- 12 -'!D23</f>
        <v>35997537</v>
      </c>
      <c r="E16" s="80">
        <f>'- 12 -'!D40</f>
        <v>10402984</v>
      </c>
      <c r="F16" s="80">
        <f>'- 12 -'!D46</f>
        <v>5123061</v>
      </c>
      <c r="G16" s="81"/>
      <c r="H16" s="205"/>
      <c r="I16" s="82"/>
      <c r="K16" s="79">
        <f>SUM(C16:F16)</f>
        <v>398611522</v>
      </c>
      <c r="N16" s="1" t="str">
        <f>IF($N$27=0,"",K16-'- 12 -'!$D$51)</f>
        <v/>
      </c>
    </row>
    <row r="17" spans="1:14" ht="24" customHeight="1">
      <c r="A17" s="78">
        <v>300</v>
      </c>
      <c r="B17" s="37" t="s">
        <v>212</v>
      </c>
      <c r="C17" s="79">
        <f>'- 12 -'!F22</f>
        <v>5968649</v>
      </c>
      <c r="D17" s="80">
        <f>'- 12 -'!F23</f>
        <v>422028</v>
      </c>
      <c r="E17" s="80">
        <f>'- 12 -'!F40</f>
        <v>780967</v>
      </c>
      <c r="F17" s="80">
        <f>'- 12 -'!F46</f>
        <v>254257</v>
      </c>
      <c r="G17" s="81"/>
      <c r="H17" s="205"/>
      <c r="I17" s="83">
        <f>'- 12 -'!F48</f>
        <v>37000</v>
      </c>
      <c r="J17" s="84" t="s">
        <v>189</v>
      </c>
      <c r="K17" s="79">
        <f>SUM(C17:F17,I17)</f>
        <v>7462901</v>
      </c>
      <c r="N17" s="1" t="str">
        <f>IF($N$27=0,"",K17-'- 12 -'!$F$51)</f>
        <v/>
      </c>
    </row>
    <row r="18" spans="1:14" ht="24" customHeight="1">
      <c r="A18" s="78">
        <v>400</v>
      </c>
      <c r="B18" s="37" t="s">
        <v>156</v>
      </c>
      <c r="C18" s="79">
        <f>'- 12 -'!H22</f>
        <v>15542755</v>
      </c>
      <c r="D18" s="80">
        <f>'- 12 -'!H23</f>
        <v>1449400</v>
      </c>
      <c r="E18" s="80">
        <f>'- 12 -'!H40</f>
        <v>2300353</v>
      </c>
      <c r="F18" s="80">
        <f>'- 12 -'!H46</f>
        <v>1875926</v>
      </c>
      <c r="G18" s="81"/>
      <c r="H18" s="205"/>
      <c r="I18" s="82"/>
      <c r="K18" s="79">
        <f>SUM(C18:F18)</f>
        <v>21168434</v>
      </c>
      <c r="N18" s="1" t="str">
        <f>IF($N$27=0,"",K18-'- 12 -'!$H$51)</f>
        <v/>
      </c>
    </row>
    <row r="19" spans="1:14" ht="24" customHeight="1">
      <c r="A19" s="78">
        <v>500</v>
      </c>
      <c r="B19" s="37" t="s">
        <v>181</v>
      </c>
      <c r="C19" s="79">
        <f>'- 12 -'!J22</f>
        <v>47833071</v>
      </c>
      <c r="D19" s="80">
        <f>'- 12 -'!J23</f>
        <v>6942963</v>
      </c>
      <c r="E19" s="80">
        <f>'- 12 -'!J40</f>
        <v>17406387</v>
      </c>
      <c r="F19" s="80">
        <f>'- 12 -'!J46</f>
        <v>2642809</v>
      </c>
      <c r="G19" s="81"/>
      <c r="H19" s="205"/>
      <c r="I19" s="83">
        <f>'- 12 -'!J48</f>
        <v>-37000</v>
      </c>
      <c r="J19" s="84" t="s">
        <v>189</v>
      </c>
      <c r="K19" s="79">
        <f>SUM(C19:F19,I19)</f>
        <v>74788230</v>
      </c>
      <c r="N19" s="1" t="str">
        <f>IF($N$27=0,"",K19-'- 12 -'!$J$51)</f>
        <v/>
      </c>
    </row>
    <row r="20" spans="1:14" ht="12" customHeight="1">
      <c r="A20" s="78"/>
      <c r="B20" s="37"/>
      <c r="C20" s="85"/>
      <c r="D20" s="86"/>
      <c r="E20" s="86"/>
      <c r="F20" s="86"/>
      <c r="G20" s="81"/>
      <c r="H20" s="205"/>
      <c r="I20" s="82"/>
      <c r="K20" s="79"/>
      <c r="L20" s="661" t="s">
        <v>190</v>
      </c>
    </row>
    <row r="21" spans="1:14" ht="24" customHeight="1">
      <c r="A21" s="87">
        <v>600</v>
      </c>
      <c r="B21" s="518" t="s">
        <v>461</v>
      </c>
      <c r="C21" s="79">
        <f>'- 13 -'!B22</f>
        <v>47931946</v>
      </c>
      <c r="D21" s="80">
        <f>'- 13 -'!B23</f>
        <v>4643276</v>
      </c>
      <c r="E21" s="80">
        <f>'- 13 -'!B40</f>
        <v>13920785</v>
      </c>
      <c r="F21" s="80">
        <f>'- 13 -'!B46</f>
        <v>7647655</v>
      </c>
      <c r="G21" s="81"/>
      <c r="H21" s="205"/>
      <c r="I21" s="82"/>
      <c r="K21" s="79">
        <f>SUM(C21:F21)</f>
        <v>74143662</v>
      </c>
      <c r="L21" s="661"/>
      <c r="N21" s="1" t="str">
        <f>IF($N$27=0,"",K21-'- 13 -'!$B$54)</f>
        <v/>
      </c>
    </row>
    <row r="22" spans="1:14" ht="24" customHeight="1">
      <c r="A22" s="78">
        <v>700</v>
      </c>
      <c r="B22" s="37" t="s">
        <v>157</v>
      </c>
      <c r="C22" s="79">
        <f>'- 13 -'!D22</f>
        <v>40738709</v>
      </c>
      <c r="D22" s="80">
        <f>'- 13 -'!D23</f>
        <v>6183494</v>
      </c>
      <c r="E22" s="80">
        <f>'- 13 -'!D40</f>
        <v>27896709</v>
      </c>
      <c r="F22" s="80">
        <f>'- 13 -'!D46</f>
        <v>18213715</v>
      </c>
      <c r="G22" s="81"/>
      <c r="H22" s="205"/>
      <c r="I22" s="82"/>
      <c r="K22" s="79">
        <f>SUM(C22:F22)</f>
        <v>93032627</v>
      </c>
      <c r="L22" s="88"/>
      <c r="N22" s="1" t="str">
        <f>IF($N$27=0,"",K22-'- 13 -'!$D$54)</f>
        <v/>
      </c>
    </row>
    <row r="23" spans="1:14" ht="24" customHeight="1">
      <c r="A23" s="78">
        <v>800</v>
      </c>
      <c r="B23" s="37" t="s">
        <v>158</v>
      </c>
      <c r="C23" s="79">
        <f>'- 13 -'!F22</f>
        <v>109727294</v>
      </c>
      <c r="D23" s="80">
        <f>'- 13 -'!F23</f>
        <v>18048944</v>
      </c>
      <c r="E23" s="80">
        <f>'- 13 -'!F40</f>
        <v>95339196</v>
      </c>
      <c r="F23" s="80">
        <f>'- 13 -'!F46</f>
        <v>25135302</v>
      </c>
      <c r="G23" s="81"/>
      <c r="H23" s="205"/>
      <c r="I23" s="83">
        <f>'- 13 -'!F52</f>
        <v>0</v>
      </c>
      <c r="J23" s="90"/>
      <c r="K23" s="79">
        <f>SUM(C23:F23,I23)</f>
        <v>248250736</v>
      </c>
      <c r="N23" s="1" t="str">
        <f>IF($N$27=0,"",K23-'- 13 -'!$F$54)</f>
        <v/>
      </c>
    </row>
    <row r="24" spans="1:14" ht="24" customHeight="1">
      <c r="A24" s="78">
        <v>900</v>
      </c>
      <c r="B24" s="37" t="s">
        <v>53</v>
      </c>
      <c r="C24" s="85"/>
      <c r="D24" s="86"/>
      <c r="E24" s="86"/>
      <c r="F24" s="86"/>
      <c r="G24" s="80">
        <v>2561000</v>
      </c>
      <c r="H24" s="80">
        <v>3000</v>
      </c>
      <c r="I24" s="89">
        <v>35094672</v>
      </c>
      <c r="J24" s="90" t="s">
        <v>376</v>
      </c>
      <c r="K24" s="79">
        <f>SUM(G24:I24)</f>
        <v>37658672</v>
      </c>
      <c r="N24" s="1" t="str">
        <f>IF($N$27=0,"",K24-'- 13 -'!$H$54)</f>
        <v/>
      </c>
    </row>
    <row r="25" spans="1:14">
      <c r="A25" s="78"/>
      <c r="B25" s="37"/>
      <c r="C25" s="85"/>
      <c r="D25" s="86"/>
      <c r="E25" s="86"/>
      <c r="F25" s="86"/>
      <c r="G25" s="86"/>
      <c r="H25" s="31"/>
      <c r="I25" s="91"/>
      <c r="K25" s="85"/>
    </row>
    <row r="26" spans="1:14">
      <c r="B26" s="37"/>
      <c r="C26" s="92"/>
      <c r="D26" s="92"/>
      <c r="E26" s="92"/>
      <c r="F26" s="92"/>
      <c r="G26" s="92"/>
      <c r="H26" s="92"/>
      <c r="I26" s="92"/>
      <c r="K26" s="92"/>
    </row>
    <row r="27" spans="1:14">
      <c r="A27" s="93"/>
      <c r="B27" s="94" t="s">
        <v>155</v>
      </c>
      <c r="C27" s="95">
        <f>SUM(C15:C24)</f>
        <v>1638984397</v>
      </c>
      <c r="D27" s="96">
        <f>SUM(D15:D24)</f>
        <v>137570680</v>
      </c>
      <c r="E27" s="96">
        <f>SUM(E15:E24)</f>
        <v>197180959</v>
      </c>
      <c r="F27" s="96">
        <f>SUM(F15:F24)</f>
        <v>134307932</v>
      </c>
      <c r="G27" s="96">
        <f>G24</f>
        <v>2561000</v>
      </c>
      <c r="H27" s="96">
        <f>H24</f>
        <v>3000</v>
      </c>
      <c r="I27" s="97">
        <f>SUM(I15:I24)</f>
        <v>35094672</v>
      </c>
      <c r="J27" s="98"/>
      <c r="K27" s="95">
        <f>SUM(K15:K24)</f>
        <v>2145702640</v>
      </c>
      <c r="N27" s="1">
        <f>K27-'- 3 -'!D48</f>
        <v>0</v>
      </c>
    </row>
    <row r="28" spans="1:14">
      <c r="C28" s="92"/>
      <c r="D28" s="92"/>
      <c r="E28" s="92"/>
      <c r="F28" s="92"/>
      <c r="G28" s="92"/>
      <c r="H28" s="92"/>
      <c r="I28" s="92"/>
    </row>
    <row r="29" spans="1:14" ht="60" customHeight="1"/>
    <row r="30" spans="1:14">
      <c r="A30" s="339" t="s">
        <v>189</v>
      </c>
      <c r="B30" s="158" t="s">
        <v>684</v>
      </c>
      <c r="C30" s="37"/>
    </row>
    <row r="31" spans="1:14" hidden="1">
      <c r="A31" s="339" t="s">
        <v>376</v>
      </c>
      <c r="B31" s="154" t="s">
        <v>456</v>
      </c>
      <c r="C31" s="37"/>
    </row>
    <row r="32" spans="1:14">
      <c r="A32" s="339" t="s">
        <v>376</v>
      </c>
      <c r="B32" s="1" t="s">
        <v>377</v>
      </c>
      <c r="C32" s="92"/>
      <c r="K32" s="92"/>
    </row>
    <row r="33" spans="3:3">
      <c r="C33" s="92"/>
    </row>
    <row r="34" spans="3:3" ht="12.75" customHeight="1"/>
    <row r="35" spans="3:3" ht="12.75" customHeight="1"/>
    <row r="36" spans="3:3" ht="12.75" customHeight="1"/>
    <row r="37" spans="3:3" ht="12.75" customHeight="1"/>
    <row r="38" spans="3:3" ht="12.75" customHeight="1"/>
    <row r="39" spans="3:3" ht="12.75" customHeight="1"/>
    <row r="40" spans="3:3" ht="12.75" customHeight="1"/>
    <row r="41" spans="3:3" ht="12.75" customHeight="1"/>
    <row r="42" spans="3:3" ht="12.75" customHeight="1"/>
    <row r="43" spans="3:3" ht="12.75" customHeight="1"/>
    <row r="44" spans="3:3" ht="12.75" customHeight="1"/>
    <row r="45" spans="3:3" ht="12.75" customHeight="1"/>
    <row r="46" spans="3:3" ht="12.75" customHeight="1"/>
    <row r="47" spans="3:3" ht="12.75" customHeight="1"/>
    <row r="48" spans="3:3" ht="12.75" customHeight="1"/>
    <row r="49" ht="12.75" customHeight="1"/>
    <row r="50" ht="12.75" customHeight="1"/>
  </sheetData>
  <mergeCells count="2">
    <mergeCell ref="L20:L21"/>
    <mergeCell ref="A13:B13"/>
  </mergeCells>
  <phoneticPr fontId="0" type="noConversion"/>
  <pageMargins left="0.39370078740157483" right="0" top="0.70866141732283472" bottom="0.31496062992125984" header="0" footer="0"/>
  <pageSetup scale="86" orientation="landscape" r:id="rId1"/>
  <headerFooter alignWithMargins="0"/>
</worksheet>
</file>

<file path=xl/worksheets/sheet9.xml><?xml version="1.0" encoding="utf-8"?>
<worksheet xmlns="http://schemas.openxmlformats.org/spreadsheetml/2006/main" xmlns:r="http://schemas.openxmlformats.org/officeDocument/2006/relationships">
  <sheetPr codeName="Sheet8">
    <pageSetUpPr fitToPage="1"/>
  </sheetPr>
  <dimension ref="A2:M52"/>
  <sheetViews>
    <sheetView showGridLines="0" showZeros="0" workbookViewId="0"/>
  </sheetViews>
  <sheetFormatPr defaultColWidth="15.83203125" defaultRowHeight="12"/>
  <cols>
    <col min="1" max="1" width="50.83203125" style="1" customWidth="1"/>
    <col min="2" max="2" width="15.83203125" style="1" customWidth="1"/>
    <col min="3" max="3" width="8.83203125" style="1" customWidth="1"/>
    <col min="4" max="4" width="15.83203125" style="1" customWidth="1"/>
    <col min="5" max="5" width="8.83203125" style="1" customWidth="1"/>
    <col min="6" max="6" width="15.83203125" style="1" customWidth="1"/>
    <col min="7" max="7" width="8.83203125" style="1" customWidth="1"/>
    <col min="8" max="8" width="15.83203125" style="1" customWidth="1"/>
    <col min="9" max="9" width="8.83203125" style="1" customWidth="1"/>
    <col min="10" max="10" width="15.83203125" style="1" customWidth="1"/>
    <col min="11" max="11" width="8.83203125" style="1" customWidth="1"/>
    <col min="12" max="12" width="5.83203125" style="1" customWidth="1"/>
    <col min="13" max="16384" width="15.83203125" style="1"/>
  </cols>
  <sheetData>
    <row r="2" spans="1:11">
      <c r="A2" s="72"/>
      <c r="B2" s="72"/>
      <c r="C2" s="72"/>
      <c r="D2" s="127" t="str">
        <f>OPYEAR</f>
        <v>OPERATING FUND 2014/2015 BUDGET</v>
      </c>
      <c r="E2" s="127"/>
      <c r="F2" s="127"/>
      <c r="G2" s="127"/>
      <c r="H2" s="128"/>
      <c r="I2" s="128"/>
      <c r="J2" s="129"/>
      <c r="K2" s="130" t="s">
        <v>7</v>
      </c>
    </row>
    <row r="3" spans="1:11" ht="9.9499999999999993" customHeight="1">
      <c r="J3" s="115"/>
      <c r="K3" s="115"/>
    </row>
    <row r="4" spans="1:11" ht="15.75">
      <c r="B4" s="340" t="s">
        <v>483</v>
      </c>
      <c r="C4" s="115"/>
      <c r="D4" s="115"/>
      <c r="E4" s="115"/>
      <c r="F4" s="115"/>
      <c r="G4" s="115"/>
      <c r="H4" s="115"/>
      <c r="I4" s="115"/>
      <c r="J4" s="115"/>
      <c r="K4" s="115"/>
    </row>
    <row r="5" spans="1:11" ht="15.75">
      <c r="B5" s="340" t="s">
        <v>484</v>
      </c>
      <c r="C5" s="115"/>
      <c r="D5" s="115"/>
      <c r="E5" s="115"/>
      <c r="F5" s="115"/>
      <c r="G5" s="115"/>
      <c r="H5" s="115"/>
      <c r="I5" s="115"/>
      <c r="J5" s="115"/>
      <c r="K5" s="115"/>
    </row>
    <row r="6" spans="1:11" ht="9.9499999999999993" customHeight="1"/>
    <row r="7" spans="1:11">
      <c r="B7" s="132" t="s">
        <v>160</v>
      </c>
      <c r="C7" s="128"/>
      <c r="D7" s="128"/>
      <c r="E7" s="128"/>
      <c r="F7" s="128"/>
      <c r="G7" s="128"/>
      <c r="H7" s="128"/>
      <c r="I7" s="128"/>
      <c r="J7" s="128"/>
      <c r="K7" s="133"/>
    </row>
    <row r="8" spans="1:11" ht="6" customHeight="1"/>
    <row r="9" spans="1:11">
      <c r="A9" s="4"/>
      <c r="B9" s="351" t="s">
        <v>62</v>
      </c>
      <c r="C9" s="353"/>
      <c r="D9" s="352" t="s">
        <v>443</v>
      </c>
      <c r="E9" s="353"/>
      <c r="F9" s="352" t="s">
        <v>211</v>
      </c>
      <c r="G9" s="353"/>
      <c r="H9" s="352" t="s">
        <v>58</v>
      </c>
      <c r="I9" s="353"/>
      <c r="J9" s="352" t="s">
        <v>180</v>
      </c>
      <c r="K9" s="353"/>
    </row>
    <row r="10" spans="1:11">
      <c r="A10" s="4"/>
      <c r="B10" s="354" t="s">
        <v>161</v>
      </c>
      <c r="C10" s="356"/>
      <c r="D10" s="355" t="s">
        <v>139</v>
      </c>
      <c r="E10" s="356"/>
      <c r="F10" s="355" t="s">
        <v>325</v>
      </c>
      <c r="G10" s="356"/>
      <c r="H10" s="355" t="s">
        <v>77</v>
      </c>
      <c r="I10" s="356"/>
      <c r="J10" s="355" t="s">
        <v>30</v>
      </c>
      <c r="K10" s="356"/>
    </row>
    <row r="11" spans="1:11">
      <c r="A11" s="134" t="s">
        <v>149</v>
      </c>
      <c r="B11" s="135" t="s">
        <v>82</v>
      </c>
      <c r="C11" s="135" t="s">
        <v>83</v>
      </c>
      <c r="D11" s="135" t="s">
        <v>82</v>
      </c>
      <c r="E11" s="135" t="s">
        <v>83</v>
      </c>
      <c r="F11" s="135" t="s">
        <v>82</v>
      </c>
      <c r="G11" s="135" t="s">
        <v>83</v>
      </c>
      <c r="H11" s="135" t="s">
        <v>82</v>
      </c>
      <c r="I11" s="135" t="s">
        <v>83</v>
      </c>
      <c r="J11" s="135" t="s">
        <v>82</v>
      </c>
      <c r="K11" s="136" t="s">
        <v>83</v>
      </c>
    </row>
    <row r="12" spans="1:11" ht="5.0999999999999996" customHeight="1">
      <c r="A12" s="137"/>
      <c r="B12" s="4"/>
      <c r="C12" s="4"/>
      <c r="D12" s="4"/>
      <c r="E12" s="4"/>
      <c r="F12" s="4"/>
      <c r="G12" s="4"/>
      <c r="H12" s="4"/>
      <c r="I12" s="4"/>
      <c r="J12" s="4"/>
      <c r="K12" s="4"/>
    </row>
    <row r="13" spans="1:11">
      <c r="A13" s="368" t="s">
        <v>152</v>
      </c>
      <c r="B13" s="138"/>
      <c r="C13" s="345"/>
      <c r="D13" s="138"/>
      <c r="E13" s="345"/>
      <c r="F13" s="138"/>
      <c r="G13" s="345"/>
      <c r="H13" s="138"/>
      <c r="I13" s="345"/>
      <c r="J13" s="138"/>
      <c r="K13" s="345"/>
    </row>
    <row r="14" spans="1:11">
      <c r="A14" s="139" t="s">
        <v>334</v>
      </c>
      <c r="B14" s="140"/>
      <c r="C14" s="342"/>
      <c r="D14" s="140"/>
      <c r="E14" s="342"/>
      <c r="F14" s="140"/>
      <c r="G14" s="342"/>
      <c r="H14" s="140"/>
      <c r="I14" s="342"/>
      <c r="J14" s="140">
        <v>4046577</v>
      </c>
      <c r="K14" s="342"/>
    </row>
    <row r="15" spans="1:11">
      <c r="A15" s="139" t="s">
        <v>335</v>
      </c>
      <c r="B15" s="140">
        <v>86636633</v>
      </c>
      <c r="C15" s="342">
        <f>B15/'- 13 -'!$J$54*100</f>
        <v>4.0376812417959274</v>
      </c>
      <c r="D15" s="140">
        <v>6702285</v>
      </c>
      <c r="E15" s="342">
        <f>D15/'- 13 -'!$J$54*100</f>
        <v>0.31235851953838301</v>
      </c>
      <c r="F15" s="140">
        <v>737694</v>
      </c>
      <c r="G15" s="342">
        <f>F15/'- 13 -'!$J$54*100</f>
        <v>3.4380066755195865E-2</v>
      </c>
      <c r="H15" s="140">
        <v>1002192</v>
      </c>
      <c r="I15" s="342">
        <f>H15/'- 13 -'!$J$54*100</f>
        <v>4.670693791941273E-2</v>
      </c>
      <c r="J15" s="140">
        <v>21020446</v>
      </c>
      <c r="K15" s="342">
        <f>J15/'- 13 -'!$J$54*100</f>
        <v>0.97965326640041794</v>
      </c>
    </row>
    <row r="16" spans="1:11">
      <c r="A16" s="139" t="s">
        <v>336</v>
      </c>
      <c r="B16" s="140">
        <v>859012648</v>
      </c>
      <c r="C16" s="342">
        <f>B16/'- 13 -'!$J$54*100</f>
        <v>40.034095684386166</v>
      </c>
      <c r="D16" s="140">
        <v>146154891</v>
      </c>
      <c r="E16" s="342">
        <f>D16/'- 13 -'!$J$54*100</f>
        <v>6.8115165762204599</v>
      </c>
      <c r="F16" s="140">
        <v>4513253</v>
      </c>
      <c r="G16" s="342">
        <f>F16/'- 13 -'!$J$54*100</f>
        <v>0.21033916423759447</v>
      </c>
      <c r="H16" s="140">
        <v>8828138</v>
      </c>
      <c r="I16" s="342">
        <f>H16/'- 13 -'!$J$54*100</f>
        <v>0.41143343142831756</v>
      </c>
      <c r="J16" s="140"/>
      <c r="K16" s="342">
        <f>J16/'- 13 -'!$J$54*100</f>
        <v>0</v>
      </c>
    </row>
    <row r="17" spans="1:12">
      <c r="A17" s="139" t="s">
        <v>337</v>
      </c>
      <c r="B17" s="140">
        <v>23751662</v>
      </c>
      <c r="C17" s="342">
        <f>B17/'- 13 -'!$J$54*100</f>
        <v>1.1069409878714602</v>
      </c>
      <c r="D17" s="140">
        <v>157716597</v>
      </c>
      <c r="E17" s="342">
        <f>D17/'- 13 -'!$J$54*100</f>
        <v>7.3503473435629463</v>
      </c>
      <c r="F17" s="140">
        <v>287814</v>
      </c>
      <c r="G17" s="342">
        <f>F17/'- 13 -'!$J$54*100</f>
        <v>1.3413508220318915E-2</v>
      </c>
      <c r="H17" s="140">
        <v>3096568</v>
      </c>
      <c r="I17" s="342">
        <f>H17/'- 13 -'!$J$54*100</f>
        <v>0.14431487114169744</v>
      </c>
      <c r="J17" s="140"/>
      <c r="K17" s="342">
        <f>J17/'- 13 -'!$J$54*100</f>
        <v>0</v>
      </c>
    </row>
    <row r="18" spans="1:12">
      <c r="A18" s="139" t="s">
        <v>338</v>
      </c>
      <c r="B18" s="140">
        <v>5017113</v>
      </c>
      <c r="C18" s="342">
        <f>B18/'- 13 -'!$J$54*100</f>
        <v>0.23382144880988728</v>
      </c>
      <c r="D18" s="140">
        <v>1528148</v>
      </c>
      <c r="E18" s="342">
        <f>D18/'- 13 -'!$J$54*100</f>
        <v>7.1219001715913444E-2</v>
      </c>
      <c r="F18" s="140">
        <v>155822</v>
      </c>
      <c r="G18" s="342">
        <f>F18/'- 13 -'!$J$54*100</f>
        <v>7.2620500667324528E-3</v>
      </c>
      <c r="H18" s="140">
        <v>1248965</v>
      </c>
      <c r="I18" s="342">
        <f>H18/'- 13 -'!$J$54*100</f>
        <v>5.8207739353855661E-2</v>
      </c>
      <c r="J18" s="140">
        <v>5330413</v>
      </c>
      <c r="K18" s="342">
        <f>J18/'- 13 -'!$J$54*100</f>
        <v>0.2484227264594315</v>
      </c>
    </row>
    <row r="19" spans="1:12">
      <c r="A19" s="141" t="s">
        <v>339</v>
      </c>
      <c r="B19" s="142">
        <v>38276583</v>
      </c>
      <c r="C19" s="343">
        <f>B19/'- 13 -'!$J$54*100</f>
        <v>1.78387173909615</v>
      </c>
      <c r="D19" s="142">
        <v>2805430</v>
      </c>
      <c r="E19" s="343">
        <f>D19/'- 13 -'!$J$54*100</f>
        <v>0.13074644863185703</v>
      </c>
      <c r="F19" s="142">
        <v>274066</v>
      </c>
      <c r="G19" s="343">
        <f>F19/'- 13 -'!$J$54*100</f>
        <v>1.2772785701563939E-2</v>
      </c>
      <c r="H19" s="142">
        <v>673780</v>
      </c>
      <c r="I19" s="343">
        <f>H19/'- 13 -'!$J$54*100</f>
        <v>3.1401368830864654E-2</v>
      </c>
      <c r="J19" s="142">
        <v>15534000</v>
      </c>
      <c r="K19" s="343">
        <f>J19/'- 13 -'!$J$54*100</f>
        <v>0.72395865626562306</v>
      </c>
    </row>
    <row r="20" spans="1:12">
      <c r="A20" s="141" t="s">
        <v>340</v>
      </c>
      <c r="B20" s="143"/>
      <c r="C20" s="343"/>
      <c r="D20" s="143">
        <v>31980956</v>
      </c>
      <c r="E20" s="343">
        <f>D20/'- 13 -'!$J$54*100</f>
        <v>1.4904654262810619</v>
      </c>
      <c r="F20" s="143"/>
      <c r="G20" s="343"/>
      <c r="H20" s="143">
        <v>643012</v>
      </c>
      <c r="I20" s="343"/>
      <c r="J20" s="143"/>
      <c r="K20" s="343"/>
    </row>
    <row r="21" spans="1:12">
      <c r="A21" s="144" t="s">
        <v>341</v>
      </c>
      <c r="B21" s="145">
        <v>11459394</v>
      </c>
      <c r="C21" s="344">
        <f>B21/'- 13 -'!$J$54*100</f>
        <v>0.53406253906645695</v>
      </c>
      <c r="D21" s="145">
        <v>199633</v>
      </c>
      <c r="E21" s="344">
        <f>D21/'- 13 -'!$J$54*100</f>
        <v>9.3038520938763438E-3</v>
      </c>
      <c r="F21" s="145">
        <v>0</v>
      </c>
      <c r="G21" s="344">
        <f>F21/'- 13 -'!$J$54*100</f>
        <v>0</v>
      </c>
      <c r="H21" s="145">
        <v>50100</v>
      </c>
      <c r="I21" s="344">
        <f>H21/'- 13 -'!$J$54*100</f>
        <v>2.3348994900803215E-3</v>
      </c>
      <c r="J21" s="145">
        <v>1901635</v>
      </c>
      <c r="K21" s="344">
        <f>J21/'- 13 -'!$J$54*100</f>
        <v>8.8625281273830195E-2</v>
      </c>
    </row>
    <row r="22" spans="1:12" ht="12.75" customHeight="1">
      <c r="A22" s="146" t="s">
        <v>342</v>
      </c>
      <c r="B22" s="152">
        <f>SUM(B14:B21)</f>
        <v>1024154033</v>
      </c>
      <c r="C22" s="346">
        <f>B22/'- 13 -'!$J$54*100</f>
        <v>47.730473641026045</v>
      </c>
      <c r="D22" s="152">
        <f>SUM(D14:D21)</f>
        <v>347087940</v>
      </c>
      <c r="E22" s="346">
        <f>D22/'- 13 -'!$J$54*100</f>
        <v>16.175957168044498</v>
      </c>
      <c r="F22" s="152">
        <f>SUM(F14:F21)</f>
        <v>5968649</v>
      </c>
      <c r="G22" s="346">
        <f>F22/'- 13 -'!$J$54*100</f>
        <v>0.27816757498140565</v>
      </c>
      <c r="H22" s="152">
        <f>SUM(H14:H21)</f>
        <v>15542755</v>
      </c>
      <c r="I22" s="346">
        <f>H22/'- 13 -'!$J$54*100</f>
        <v>0.72436668111663416</v>
      </c>
      <c r="J22" s="152">
        <f>SUM(J14:J21)</f>
        <v>47833071</v>
      </c>
      <c r="K22" s="346">
        <f>J22/'- 13 -'!$J$54*100</f>
        <v>2.2292497622130902</v>
      </c>
    </row>
    <row r="23" spans="1:12">
      <c r="A23" s="368" t="s">
        <v>162</v>
      </c>
      <c r="B23" s="152">
        <v>63883038</v>
      </c>
      <c r="C23" s="346">
        <f>B23/'- 13 -'!$J$54*100</f>
        <v>2.9772549471253855</v>
      </c>
      <c r="D23" s="152">
        <v>35997537</v>
      </c>
      <c r="E23" s="346">
        <f>D23/'- 13 -'!$J$54*100</f>
        <v>1.6776573011067368</v>
      </c>
      <c r="F23" s="152">
        <v>422028</v>
      </c>
      <c r="G23" s="346">
        <f>F23/'- 13 -'!$J$54*100</f>
        <v>1.9668522195601158E-2</v>
      </c>
      <c r="H23" s="152">
        <v>1449400</v>
      </c>
      <c r="I23" s="346">
        <f>H23/'- 13 -'!$J$54*100</f>
        <v>6.7548968481485394E-2</v>
      </c>
      <c r="J23" s="152">
        <v>6942963</v>
      </c>
      <c r="K23" s="346">
        <f>J23/'- 13 -'!$J$54*100</f>
        <v>0.32357526483725629</v>
      </c>
    </row>
    <row r="24" spans="1:12">
      <c r="A24" s="368" t="s">
        <v>139</v>
      </c>
      <c r="B24" s="140"/>
      <c r="C24" s="342"/>
      <c r="D24" s="140"/>
      <c r="E24" s="342"/>
      <c r="F24" s="140"/>
      <c r="G24" s="342"/>
      <c r="H24" s="140"/>
      <c r="I24" s="342"/>
      <c r="J24" s="140"/>
      <c r="K24" s="342"/>
    </row>
    <row r="25" spans="1:12">
      <c r="A25" s="141" t="s">
        <v>343</v>
      </c>
      <c r="B25" s="142">
        <v>6152554</v>
      </c>
      <c r="C25" s="343">
        <f>B25/'- 13 -'!$J$54*100</f>
        <v>0.28673842709164954</v>
      </c>
      <c r="D25" s="142">
        <v>6771773</v>
      </c>
      <c r="E25" s="343">
        <f>D25/'- 13 -'!$J$54*100</f>
        <v>0.31559699250777823</v>
      </c>
      <c r="F25" s="142">
        <v>49025</v>
      </c>
      <c r="G25" s="343">
        <f>F25/'- 13 -'!$J$54*100</f>
        <v>2.2847993513211134E-3</v>
      </c>
      <c r="H25" s="142">
        <v>1532699</v>
      </c>
      <c r="I25" s="343">
        <f>H25/'- 13 -'!$J$54*100</f>
        <v>7.1431100070790787E-2</v>
      </c>
      <c r="J25" s="142">
        <v>4066631</v>
      </c>
      <c r="K25" s="343">
        <f>J25/'- 13 -'!$J$54*100</f>
        <v>0.1895244440767431</v>
      </c>
    </row>
    <row r="26" spans="1:12" ht="12" customHeight="1">
      <c r="A26" s="141" t="s">
        <v>344</v>
      </c>
      <c r="B26" s="142">
        <v>3976216</v>
      </c>
      <c r="C26" s="343">
        <f>B26/'- 13 -'!$J$54*100</f>
        <v>0.18531067287124184</v>
      </c>
      <c r="D26" s="142">
        <v>337083</v>
      </c>
      <c r="E26" s="343">
        <f>D26/'- 13 -'!$J$54*100</f>
        <v>1.5709679138018864E-2</v>
      </c>
      <c r="F26" s="142">
        <v>53852</v>
      </c>
      <c r="G26" s="343">
        <f>F26/'- 13 -'!$J$54*100</f>
        <v>2.5097606255450196E-3</v>
      </c>
      <c r="H26" s="142">
        <v>38890</v>
      </c>
      <c r="I26" s="343">
        <f>H26/'- 13 -'!$J$54*100</f>
        <v>1.8124599035773197E-3</v>
      </c>
      <c r="J26" s="142">
        <v>1323350</v>
      </c>
      <c r="K26" s="343">
        <f>J26/'- 13 -'!$J$54*100</f>
        <v>6.1674435932091688E-2</v>
      </c>
      <c r="L26" s="664" t="s">
        <v>216</v>
      </c>
    </row>
    <row r="27" spans="1:12" ht="12.75" customHeight="1">
      <c r="A27" s="141" t="s">
        <v>345</v>
      </c>
      <c r="B27" s="142"/>
      <c r="C27" s="343">
        <f>B27/'- 13 -'!$J$54*100</f>
        <v>0</v>
      </c>
      <c r="D27" s="142"/>
      <c r="E27" s="343">
        <f>D27/'- 13 -'!$J$54*100</f>
        <v>0</v>
      </c>
      <c r="F27" s="142">
        <v>47885</v>
      </c>
      <c r="G27" s="343">
        <f>F27/'- 13 -'!$J$54*100</f>
        <v>2.2316699018462317E-3</v>
      </c>
      <c r="H27" s="142"/>
      <c r="I27" s="343">
        <f>H27/'- 13 -'!$J$54*100</f>
        <v>0</v>
      </c>
      <c r="J27" s="142"/>
      <c r="K27" s="343">
        <f>J27/'- 13 -'!$J$54*100</f>
        <v>0</v>
      </c>
      <c r="L27" s="664"/>
    </row>
    <row r="28" spans="1:12" ht="12.75" customHeight="1">
      <c r="A28" s="141" t="s">
        <v>418</v>
      </c>
      <c r="B28" s="142">
        <v>2718561</v>
      </c>
      <c r="C28" s="343">
        <f>B28/'- 13 -'!$J$54*100</f>
        <v>0.12669793797709081</v>
      </c>
      <c r="D28" s="142">
        <v>2332714</v>
      </c>
      <c r="E28" s="343">
        <f>D28/'- 13 -'!$J$54*100</f>
        <v>0.10871562333539377</v>
      </c>
      <c r="F28" s="142">
        <v>84503</v>
      </c>
      <c r="G28" s="343">
        <f>F28/'- 13 -'!$J$54*100</f>
        <v>3.9382437447157172E-3</v>
      </c>
      <c r="H28" s="142">
        <v>121384</v>
      </c>
      <c r="I28" s="343">
        <f>H28/'- 13 -'!$J$54*100</f>
        <v>5.6570746447886181E-3</v>
      </c>
      <c r="J28" s="142">
        <v>2736831</v>
      </c>
      <c r="K28" s="343">
        <f>J28/'- 13 -'!$J$54*100</f>
        <v>0.12754940731209613</v>
      </c>
      <c r="L28" s="664"/>
    </row>
    <row r="29" spans="1:12" ht="12.75" customHeight="1">
      <c r="A29" s="141" t="s">
        <v>346</v>
      </c>
      <c r="B29" s="142"/>
      <c r="C29" s="343">
        <f>B29/'- 13 -'!$J$54*100</f>
        <v>0</v>
      </c>
      <c r="D29" s="142"/>
      <c r="E29" s="343">
        <f>D29/'- 13 -'!$J$54*100</f>
        <v>0</v>
      </c>
      <c r="F29" s="142"/>
      <c r="G29" s="343">
        <f>F29/'- 13 -'!$J$54*100</f>
        <v>0</v>
      </c>
      <c r="H29" s="142"/>
      <c r="I29" s="343">
        <f>H29/'- 13 -'!$J$54*100</f>
        <v>0</v>
      </c>
      <c r="J29" s="142"/>
      <c r="K29" s="343">
        <f>J29/'- 13 -'!$J$54*100</f>
        <v>0</v>
      </c>
      <c r="L29" s="664"/>
    </row>
    <row r="30" spans="1:12" ht="12.75" customHeight="1">
      <c r="A30" s="141" t="s">
        <v>347</v>
      </c>
      <c r="B30" s="142">
        <v>593410</v>
      </c>
      <c r="C30" s="343">
        <f>B30/'- 13 -'!$J$54*100</f>
        <v>2.7655742642885502E-2</v>
      </c>
      <c r="D30" s="142">
        <v>341885</v>
      </c>
      <c r="E30" s="343">
        <f>D30/'- 13 -'!$J$54*100</f>
        <v>1.593347529273674E-2</v>
      </c>
      <c r="F30" s="142">
        <v>0</v>
      </c>
      <c r="G30" s="343">
        <f>F30/'- 13 -'!$J$54*100</f>
        <v>0</v>
      </c>
      <c r="H30" s="142"/>
      <c r="I30" s="343">
        <f>H30/'- 13 -'!$J$54*100</f>
        <v>0</v>
      </c>
      <c r="J30" s="142"/>
      <c r="K30" s="343">
        <f>J30/'- 13 -'!$J$54*100</f>
        <v>0</v>
      </c>
      <c r="L30" s="341"/>
    </row>
    <row r="31" spans="1:12" ht="12.75" customHeight="1">
      <c r="A31" s="141" t="s">
        <v>348</v>
      </c>
      <c r="B31" s="142">
        <v>560201</v>
      </c>
      <c r="C31" s="343">
        <f>B31/'- 13 -'!$J$54*100</f>
        <v>2.6108044495858008E-2</v>
      </c>
      <c r="D31" s="142">
        <v>18600</v>
      </c>
      <c r="E31" s="343">
        <f>D31/'- 13 -'!$J$54*100</f>
        <v>8.6684891248490993E-4</v>
      </c>
      <c r="F31" s="142">
        <v>2100</v>
      </c>
      <c r="G31" s="343">
        <f>F31/'- 13 -'!$J$54*100</f>
        <v>9.7870038506360775E-5</v>
      </c>
      <c r="H31" s="142">
        <v>115000</v>
      </c>
      <c r="I31" s="343">
        <f>H31/'- 13 -'!$J$54*100</f>
        <v>5.3595497277292813E-3</v>
      </c>
      <c r="J31" s="142">
        <v>293490</v>
      </c>
      <c r="K31" s="343">
        <f>J31/'- 13 -'!$J$54*100</f>
        <v>1.3678036952967536E-2</v>
      </c>
    </row>
    <row r="32" spans="1:12">
      <c r="A32" s="141" t="s">
        <v>349</v>
      </c>
      <c r="B32" s="142">
        <v>139625</v>
      </c>
      <c r="C32" s="343">
        <f>B32/'- 13 -'!$J$54*100</f>
        <v>6.5071924411669651E-3</v>
      </c>
      <c r="D32" s="142">
        <v>18104</v>
      </c>
      <c r="E32" s="343">
        <f>D32/'- 13 -'!$J$54*100</f>
        <v>8.4373294148531227E-4</v>
      </c>
      <c r="F32" s="142">
        <v>1708</v>
      </c>
      <c r="G32" s="343">
        <f>F32/'- 13 -'!$J$54*100</f>
        <v>7.9600964651840107E-5</v>
      </c>
      <c r="H32" s="142"/>
      <c r="I32" s="343">
        <f>H32/'- 13 -'!$J$54*100</f>
        <v>0</v>
      </c>
      <c r="J32" s="142">
        <v>1236243</v>
      </c>
      <c r="K32" s="343">
        <f>J32/'- 13 -'!$J$54*100</f>
        <v>5.761483333962808E-2</v>
      </c>
    </row>
    <row r="33" spans="1:13">
      <c r="A33" s="141" t="s">
        <v>350</v>
      </c>
      <c r="B33" s="142">
        <v>2980828</v>
      </c>
      <c r="C33" s="343">
        <f>B33/'- 13 -'!$J$54*100</f>
        <v>0.13892083387658971</v>
      </c>
      <c r="D33" s="142">
        <v>77910</v>
      </c>
      <c r="E33" s="343">
        <f>D33/'- 13 -'!$J$54*100</f>
        <v>3.6309784285859848E-3</v>
      </c>
      <c r="F33" s="142">
        <v>34815</v>
      </c>
      <c r="G33" s="343">
        <f>F33/'- 13 -'!$J$54*100</f>
        <v>1.6225454240947385E-3</v>
      </c>
      <c r="H33" s="142">
        <v>15954</v>
      </c>
      <c r="I33" s="343">
        <f>H33/'- 13 -'!$J$54*100</f>
        <v>7.4353266396689523E-4</v>
      </c>
      <c r="J33" s="142">
        <v>183148</v>
      </c>
      <c r="K33" s="343">
        <f>J33/'- 13 -'!$J$54*100</f>
        <v>8.5355722916014114E-3</v>
      </c>
    </row>
    <row r="34" spans="1:13">
      <c r="A34" s="141" t="s">
        <v>351</v>
      </c>
      <c r="B34" s="142">
        <v>2403279</v>
      </c>
      <c r="C34" s="343">
        <f>B34/'- 13 -'!$J$54*100</f>
        <v>0.11200428965310869</v>
      </c>
      <c r="D34" s="142">
        <v>147897</v>
      </c>
      <c r="E34" s="343">
        <f>D34/'- 13 -'!$J$54*100</f>
        <v>6.8927071833215442E-3</v>
      </c>
      <c r="F34" s="142">
        <v>413843</v>
      </c>
      <c r="G34" s="343">
        <f>F34/'- 13 -'!$J$54*100</f>
        <v>1.9287062069327558E-2</v>
      </c>
      <c r="H34" s="142">
        <v>297296</v>
      </c>
      <c r="I34" s="343">
        <f>H34/'- 13 -'!$J$54*100</f>
        <v>1.3855414746565256E-2</v>
      </c>
      <c r="J34" s="142">
        <v>463783</v>
      </c>
      <c r="K34" s="343">
        <f>J34/'- 13 -'!$J$54*100</f>
        <v>2.1614504794569299E-2</v>
      </c>
    </row>
    <row r="35" spans="1:13">
      <c r="A35" s="513" t="s">
        <v>458</v>
      </c>
      <c r="B35" s="142"/>
      <c r="C35" s="343">
        <f>B35/'- 13 -'!$J$54*100</f>
        <v>0</v>
      </c>
      <c r="D35" s="142"/>
      <c r="E35" s="343">
        <f>D35/'- 13 -'!$J$54*100</f>
        <v>0</v>
      </c>
      <c r="F35" s="142">
        <v>33330</v>
      </c>
      <c r="G35" s="343">
        <f>F35/'- 13 -'!$J$54*100</f>
        <v>1.5533373254366691E-3</v>
      </c>
      <c r="H35" s="142"/>
      <c r="I35" s="343">
        <f>H35/'- 13 -'!$J$54*100</f>
        <v>0</v>
      </c>
      <c r="J35" s="142"/>
      <c r="K35" s="343">
        <f>J35/'- 13 -'!$J$54*100</f>
        <v>0</v>
      </c>
    </row>
    <row r="36" spans="1:13">
      <c r="A36" s="141" t="s">
        <v>352</v>
      </c>
      <c r="B36" s="142">
        <v>334185</v>
      </c>
      <c r="C36" s="343">
        <f>B36/'- 13 -'!$J$54*100</f>
        <v>1.5574618484880086E-2</v>
      </c>
      <c r="D36" s="142">
        <v>35100</v>
      </c>
      <c r="E36" s="343">
        <f>D36/'- 13 -'!$J$54*100</f>
        <v>1.6358277864634589E-3</v>
      </c>
      <c r="F36" s="142">
        <v>10400</v>
      </c>
      <c r="G36" s="343">
        <f>F36/'- 13 -'!$J$54*100</f>
        <v>4.8468971450769152E-4</v>
      </c>
      <c r="H36" s="142">
        <v>119300</v>
      </c>
      <c r="I36" s="343">
        <f>H36/'- 13 -'!$J$54*100</f>
        <v>5.5599502827661153E-3</v>
      </c>
      <c r="J36" s="142">
        <v>770686</v>
      </c>
      <c r="K36" s="343">
        <f>J36/'- 13 -'!$J$54*100</f>
        <v>3.5917651664911031E-2</v>
      </c>
    </row>
    <row r="37" spans="1:13">
      <c r="A37" s="141" t="s">
        <v>353</v>
      </c>
      <c r="B37" s="142">
        <v>1025406</v>
      </c>
      <c r="C37" s="343">
        <f>B37/'- 13 -'!$J$54*100</f>
        <v>4.7788821287930182E-2</v>
      </c>
      <c r="D37" s="142">
        <v>98000</v>
      </c>
      <c r="E37" s="343">
        <f>D37/'- 13 -'!$J$54*100</f>
        <v>4.56726846363017E-3</v>
      </c>
      <c r="F37" s="142">
        <v>195</v>
      </c>
      <c r="G37" s="343">
        <f>F37/'- 13 -'!$J$54*100</f>
        <v>9.0879321470192163E-6</v>
      </c>
      <c r="H37" s="142">
        <v>2705</v>
      </c>
      <c r="I37" s="343">
        <f>H37/'- 13 -'!$J$54*100</f>
        <v>1.2606593055224091E-4</v>
      </c>
      <c r="J37" s="142">
        <v>2277897</v>
      </c>
      <c r="K37" s="343">
        <f>J37/'- 13 -'!$J$54*100</f>
        <v>0.10616088909691605</v>
      </c>
    </row>
    <row r="38" spans="1:13">
      <c r="A38" s="148" t="s">
        <v>354</v>
      </c>
      <c r="B38" s="142">
        <v>438980</v>
      </c>
      <c r="C38" s="343">
        <f>B38/'- 13 -'!$J$54*100</f>
        <v>2.0458566430248695E-2</v>
      </c>
      <c r="D38" s="142">
        <v>193168</v>
      </c>
      <c r="E38" s="343">
        <f>D38/'- 13 -'!$J$54*100</f>
        <v>9.0025521896174767E-3</v>
      </c>
      <c r="F38" s="142">
        <v>30425</v>
      </c>
      <c r="G38" s="343">
        <f>F38/'- 13 -'!$J$54*100</f>
        <v>1.4179504388362033E-3</v>
      </c>
      <c r="H38" s="142">
        <v>44725</v>
      </c>
      <c r="I38" s="343">
        <f>H38/'- 13 -'!$J$54*100</f>
        <v>2.0843987962842793E-3</v>
      </c>
      <c r="J38" s="142">
        <v>1560011</v>
      </c>
      <c r="K38" s="343">
        <f>J38/'- 13 -'!$J$54*100</f>
        <v>7.2703969828736378E-2</v>
      </c>
    </row>
    <row r="39" spans="1:13">
      <c r="A39" s="149" t="s">
        <v>355</v>
      </c>
      <c r="B39" s="145">
        <v>7810333</v>
      </c>
      <c r="C39" s="344">
        <f>B39/'- 13 -'!$J$54*100</f>
        <v>0.36399885307500018</v>
      </c>
      <c r="D39" s="145">
        <v>30750</v>
      </c>
      <c r="E39" s="344">
        <f>D39/'- 13 -'!$J$54*100</f>
        <v>1.4330969924145687E-3</v>
      </c>
      <c r="F39" s="145">
        <v>18886</v>
      </c>
      <c r="G39" s="344">
        <f>F39/'- 13 -'!$J$54*100</f>
        <v>8.8017787963387138E-4</v>
      </c>
      <c r="H39" s="145">
        <v>12400</v>
      </c>
      <c r="I39" s="344">
        <f>H39/'- 13 -'!$J$54*100</f>
        <v>5.7789927498993988E-4</v>
      </c>
      <c r="J39" s="145">
        <v>2494317</v>
      </c>
      <c r="K39" s="344">
        <f>J39/'- 13 -'!$J$54*100</f>
        <v>0.11624709563670015</v>
      </c>
    </row>
    <row r="40" spans="1:13">
      <c r="A40" s="146" t="s">
        <v>356</v>
      </c>
      <c r="B40" s="152">
        <f>SUM(B25:B39)</f>
        <v>29133578</v>
      </c>
      <c r="C40" s="346">
        <f>B40/'- 13 -'!$J$54*100</f>
        <v>1.3577640003276503</v>
      </c>
      <c r="D40" s="152">
        <f>SUM(D25:D39)</f>
        <v>10402984</v>
      </c>
      <c r="E40" s="346">
        <f>D40/'- 13 -'!$J$54*100</f>
        <v>0.48482878317193101</v>
      </c>
      <c r="F40" s="152">
        <f>SUM(F25:F39)</f>
        <v>780967</v>
      </c>
      <c r="G40" s="346">
        <f>F40/'- 13 -'!$J$54*100</f>
        <v>3.6396795410570032E-2</v>
      </c>
      <c r="H40" s="152">
        <f>SUM(H25:H39)</f>
        <v>2300353</v>
      </c>
      <c r="I40" s="346">
        <f>H40/'- 13 -'!$J$54*100</f>
        <v>0.10720744604201073</v>
      </c>
      <c r="J40" s="152">
        <f>SUM(J25:J39)</f>
        <v>17406387</v>
      </c>
      <c r="K40" s="346">
        <f>J40/'- 13 -'!$J$54*100</f>
        <v>0.8112208409269609</v>
      </c>
    </row>
    <row r="41" spans="1:13">
      <c r="A41" s="368" t="s">
        <v>357</v>
      </c>
      <c r="B41" s="150"/>
      <c r="C41" s="347"/>
      <c r="D41" s="150"/>
      <c r="E41" s="347"/>
      <c r="F41" s="150"/>
      <c r="G41" s="347"/>
      <c r="H41" s="150"/>
      <c r="I41" s="347"/>
      <c r="J41" s="150"/>
      <c r="K41" s="347"/>
    </row>
    <row r="42" spans="1:13">
      <c r="A42" s="141" t="s">
        <v>358</v>
      </c>
      <c r="B42" s="142">
        <v>33239635</v>
      </c>
      <c r="C42" s="343">
        <f>B42/'- 13 -'!$J$54*100</f>
        <v>1.5491258844701798</v>
      </c>
      <c r="D42" s="142">
        <v>3200282</v>
      </c>
      <c r="E42" s="343">
        <f>D42/'- 13 -'!$J$54*100</f>
        <v>0.1491484393196254</v>
      </c>
      <c r="F42" s="142">
        <v>102977</v>
      </c>
      <c r="G42" s="343">
        <f>F42/'- 13 -'!$J$54*100</f>
        <v>4.7992204548902451E-3</v>
      </c>
      <c r="H42" s="142">
        <v>1690598</v>
      </c>
      <c r="I42" s="343">
        <f>H42/'- 13 -'!$J$54*100</f>
        <v>7.878994826608407E-2</v>
      </c>
      <c r="J42" s="142">
        <v>1436052</v>
      </c>
      <c r="K42" s="343">
        <f>J42/'- 13 -'!$J$54*100</f>
        <v>6.6926887874826868E-2</v>
      </c>
    </row>
    <row r="43" spans="1:13">
      <c r="A43" s="141" t="s">
        <v>359</v>
      </c>
      <c r="B43" s="142">
        <v>11992018</v>
      </c>
      <c r="C43" s="343">
        <f>B43/'- 13 -'!$J$54*100</f>
        <v>0.55888536353760565</v>
      </c>
      <c r="D43" s="142">
        <v>755483</v>
      </c>
      <c r="E43" s="343">
        <f>D43/'- 13 -'!$J$54*100</f>
        <v>3.5209119190905226E-2</v>
      </c>
      <c r="F43" s="142">
        <v>87715</v>
      </c>
      <c r="G43" s="343">
        <f>F43/'- 13 -'!$J$54*100</f>
        <v>4.0879382988502078E-3</v>
      </c>
      <c r="H43" s="142">
        <v>115328</v>
      </c>
      <c r="I43" s="343">
        <f>H43/'- 13 -'!$J$54*100</f>
        <v>5.3748360956483695E-3</v>
      </c>
      <c r="J43" s="142">
        <v>108998</v>
      </c>
      <c r="K43" s="343">
        <f>J43/'- 13 -'!$J$54*100</f>
        <v>5.0798278367220539E-3</v>
      </c>
    </row>
    <row r="44" spans="1:13">
      <c r="A44" s="141" t="s">
        <v>360</v>
      </c>
      <c r="B44" s="142">
        <v>10110400</v>
      </c>
      <c r="C44" s="343">
        <f>B44/'- 13 -'!$J$54*100</f>
        <v>0.47119297014986194</v>
      </c>
      <c r="D44" s="142">
        <v>566073</v>
      </c>
      <c r="E44" s="343">
        <f>D44/'- 13 -'!$J$54*100</f>
        <v>2.6381707765433891E-2</v>
      </c>
      <c r="F44" s="142">
        <v>27410</v>
      </c>
      <c r="G44" s="343">
        <f>F44/'- 13 -'!$J$54*100</f>
        <v>1.277437026409214E-3</v>
      </c>
      <c r="H44" s="142">
        <v>23625</v>
      </c>
      <c r="I44" s="343">
        <f>H44/'- 13 -'!$J$54*100</f>
        <v>1.1010379331965589E-3</v>
      </c>
      <c r="J44" s="142">
        <v>304065</v>
      </c>
      <c r="K44" s="343">
        <f>J44/'- 13 -'!$J$54*100</f>
        <v>1.4170882504017424E-2</v>
      </c>
    </row>
    <row r="45" spans="1:13">
      <c r="A45" s="149" t="s">
        <v>361</v>
      </c>
      <c r="B45" s="145">
        <v>18073154</v>
      </c>
      <c r="C45" s="344">
        <f>B45/'- 13 -'!$J$54*100</f>
        <v>0.84229537043399438</v>
      </c>
      <c r="D45" s="145">
        <v>601223</v>
      </c>
      <c r="E45" s="344">
        <f>D45/'- 13 -'!$J$54*100</f>
        <v>2.8019865790909405E-2</v>
      </c>
      <c r="F45" s="145">
        <v>36155</v>
      </c>
      <c r="G45" s="344">
        <f>F45/'- 13 -'!$J$54*100</f>
        <v>1.6849958296178448E-3</v>
      </c>
      <c r="H45" s="145">
        <v>46375</v>
      </c>
      <c r="I45" s="344">
        <f>H45/'- 13 -'!$J$54*100</f>
        <v>2.161296683682134E-3</v>
      </c>
      <c r="J45" s="145">
        <v>793694</v>
      </c>
      <c r="K45" s="344">
        <f>J45/'- 13 -'!$J$54*100</f>
        <v>3.6989934448698816E-2</v>
      </c>
    </row>
    <row r="46" spans="1:13">
      <c r="A46" s="146" t="s">
        <v>362</v>
      </c>
      <c r="B46" s="152">
        <f>SUM(B42:B45)</f>
        <v>73415207</v>
      </c>
      <c r="C46" s="346">
        <f>B46/'- 13 -'!$J$54*100</f>
        <v>3.4214995885916419</v>
      </c>
      <c r="D46" s="152">
        <f>SUM(D42:D45)</f>
        <v>5123061</v>
      </c>
      <c r="E46" s="346">
        <f>D46/'- 13 -'!$J$54*100</f>
        <v>0.23875913206687391</v>
      </c>
      <c r="F46" s="152">
        <f>SUM(F42:F45)</f>
        <v>254257</v>
      </c>
      <c r="G46" s="346">
        <f>F46/'- 13 -'!$J$54*100</f>
        <v>1.1849591609767512E-2</v>
      </c>
      <c r="H46" s="152">
        <f>SUM(H42:H45)</f>
        <v>1875926</v>
      </c>
      <c r="I46" s="346">
        <f>H46/'- 13 -'!$J$54*100</f>
        <v>8.7427118978611121E-2</v>
      </c>
      <c r="J46" s="152">
        <f>SUM(J42:J45)</f>
        <v>2642809</v>
      </c>
      <c r="K46" s="346">
        <f>J46/'- 13 -'!$J$54*100</f>
        <v>0.12316753266426517</v>
      </c>
    </row>
    <row r="47" spans="1:13">
      <c r="A47" s="368" t="s">
        <v>95</v>
      </c>
      <c r="B47" s="150"/>
      <c r="C47" s="347"/>
      <c r="D47" s="150"/>
      <c r="E47" s="347"/>
      <c r="F47" s="150"/>
      <c r="G47" s="347"/>
      <c r="H47" s="150"/>
      <c r="I47" s="347"/>
      <c r="J47" s="150"/>
      <c r="K47" s="347"/>
    </row>
    <row r="48" spans="1:13" ht="15" customHeight="1">
      <c r="A48" s="149" t="s">
        <v>454</v>
      </c>
      <c r="B48" s="151"/>
      <c r="C48" s="344"/>
      <c r="D48" s="151"/>
      <c r="E48" s="344"/>
      <c r="F48" s="145">
        <v>37000</v>
      </c>
      <c r="G48" s="344"/>
      <c r="H48" s="151"/>
      <c r="I48" s="344"/>
      <c r="J48" s="145">
        <v>-37000</v>
      </c>
      <c r="K48" s="344"/>
      <c r="M48" s="1">
        <f>F48+J48+'- 13 -'!F48</f>
        <v>0</v>
      </c>
    </row>
    <row r="49" spans="1:11">
      <c r="A49" s="146" t="s">
        <v>365</v>
      </c>
      <c r="B49" s="146"/>
      <c r="C49" s="346"/>
      <c r="D49" s="146"/>
      <c r="E49" s="346"/>
      <c r="F49" s="152">
        <f>F48</f>
        <v>37000</v>
      </c>
      <c r="G49" s="346"/>
      <c r="H49" s="146"/>
      <c r="I49" s="346"/>
      <c r="J49" s="152">
        <f>J48</f>
        <v>-37000</v>
      </c>
      <c r="K49" s="346"/>
    </row>
    <row r="50" spans="1:11" ht="5.0999999999999996" customHeight="1">
      <c r="A50" s="27"/>
      <c r="B50" s="31"/>
      <c r="C50" s="348"/>
      <c r="D50" s="92"/>
      <c r="E50" s="348"/>
      <c r="F50" s="92"/>
      <c r="G50" s="348"/>
      <c r="H50" s="92"/>
      <c r="I50" s="348"/>
      <c r="J50" s="92"/>
      <c r="K50" s="348"/>
    </row>
    <row r="51" spans="1:11">
      <c r="A51" s="369" t="s">
        <v>366</v>
      </c>
      <c r="B51" s="490">
        <f>SUM(B47,B46,B40,B23,B22)</f>
        <v>1190585856</v>
      </c>
      <c r="C51" s="491">
        <f>B51/'- 13 -'!$J$54*100</f>
        <v>55.486992177070725</v>
      </c>
      <c r="D51" s="490">
        <f>SUM(D47,D46,D40,D23,D22)</f>
        <v>398611522</v>
      </c>
      <c r="E51" s="491">
        <f>D51/'- 13 -'!$J$54*100</f>
        <v>18.577202384390038</v>
      </c>
      <c r="F51" s="490">
        <f>SUM(F49,F46,F40,F23,F22)</f>
        <v>7462901</v>
      </c>
      <c r="G51" s="491">
        <f>F51/'- 13 -'!$J$54*100</f>
        <v>0.3478068610662659</v>
      </c>
      <c r="H51" s="490">
        <f>SUM(H47,H46,H40,H23,H22)</f>
        <v>21168434</v>
      </c>
      <c r="I51" s="491">
        <f>H51/'- 13 -'!$J$54*100</f>
        <v>0.98655021461874148</v>
      </c>
      <c r="J51" s="490">
        <f>SUM(J49,J46,J40,J23,J22)</f>
        <v>74788230</v>
      </c>
      <c r="K51" s="491">
        <f>J51/'- 13 -'!$J$54*100</f>
        <v>3.4854890237726512</v>
      </c>
    </row>
    <row r="52" spans="1:11" ht="20.100000000000001" customHeight="1">
      <c r="A52" s="631" t="s">
        <v>685</v>
      </c>
    </row>
  </sheetData>
  <mergeCells count="1">
    <mergeCell ref="L26:L29"/>
  </mergeCells>
  <phoneticPr fontId="0" type="noConversion"/>
  <printOptions verticalCentered="1"/>
  <pageMargins left="0.74803149606299213" right="0" top="0.31496062992125984" bottom="0.31496062992125984"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60</vt:i4>
      </vt:variant>
    </vt:vector>
  </HeadingPairs>
  <TitlesOfParts>
    <vt:vector size="115" baseType="lpstr">
      <vt:lpstr>README</vt:lpstr>
      <vt:lpstr>- 3 -</vt:lpstr>
      <vt:lpstr>- 4 -</vt:lpstr>
      <vt:lpstr>- 6 -</vt:lpstr>
      <vt:lpstr>- 7 -</vt:lpstr>
      <vt:lpstr>- 8 -</vt:lpstr>
      <vt:lpstr>- 9 -</vt:lpstr>
      <vt:lpstr>- 10 -</vt:lpstr>
      <vt:lpstr>- 12 -</vt:lpstr>
      <vt:lpstr>- 13 -</vt:lpstr>
      <vt:lpstr>- 15 -</vt:lpstr>
      <vt:lpstr>- 16 -</vt:lpstr>
      <vt:lpstr>- 17 -</vt:lpstr>
      <vt:lpstr>- 18 -</vt:lpstr>
      <vt:lpstr>- 19 -</vt:lpstr>
      <vt:lpstr>- 20 -</vt:lpstr>
      <vt:lpstr>- 21 -</vt:lpstr>
      <vt:lpstr>- 22 -</vt:lpstr>
      <vt:lpstr>- 23 -</vt:lpstr>
      <vt:lpstr>- 24 -</vt:lpstr>
      <vt:lpstr>- 25 -</vt:lpstr>
      <vt:lpstr>- 26 -</vt:lpstr>
      <vt:lpstr>- 27 -</vt:lpstr>
      <vt:lpstr>- 28 -</vt:lpstr>
      <vt:lpstr>- 29 -</vt:lpstr>
      <vt:lpstr>- 30 -</vt:lpstr>
      <vt:lpstr>- 31 -</vt:lpstr>
      <vt:lpstr>- 32 -</vt:lpstr>
      <vt:lpstr>- 33 -</vt:lpstr>
      <vt:lpstr>- 34 -</vt:lpstr>
      <vt:lpstr>- 35 -</vt:lpstr>
      <vt:lpstr>- 36 -</vt:lpstr>
      <vt:lpstr>- 37 -</vt:lpstr>
      <vt:lpstr>- 38 -</vt:lpstr>
      <vt:lpstr>- 39 -</vt:lpstr>
      <vt:lpstr>- 41 -</vt:lpstr>
      <vt:lpstr>- 42 -</vt:lpstr>
      <vt:lpstr>- 43 -</vt:lpstr>
      <vt:lpstr>- 44 -</vt:lpstr>
      <vt:lpstr>- 45 -</vt:lpstr>
      <vt:lpstr>- 46 -</vt:lpstr>
      <vt:lpstr>- 48 -</vt:lpstr>
      <vt:lpstr>- 49 - </vt:lpstr>
      <vt:lpstr>- 51 -</vt:lpstr>
      <vt:lpstr>- 52 -</vt:lpstr>
      <vt:lpstr>- 53 -</vt:lpstr>
      <vt:lpstr>- 54 -</vt:lpstr>
      <vt:lpstr>- 55 -</vt:lpstr>
      <vt:lpstr>- 56 -</vt:lpstr>
      <vt:lpstr>- 57 -</vt:lpstr>
      <vt:lpstr>- 58 -</vt:lpstr>
      <vt:lpstr>- 59 -</vt:lpstr>
      <vt:lpstr>- 60 -</vt:lpstr>
      <vt:lpstr>- 61 -</vt:lpstr>
      <vt:lpstr>Data</vt:lpstr>
      <vt:lpstr>OPYEAR</vt:lpstr>
      <vt:lpstr>'- 10 -'!Print_Area</vt:lpstr>
      <vt:lpstr>'- 12 -'!Print_Area</vt:lpstr>
      <vt:lpstr>'- 13 -'!Print_Area</vt:lpstr>
      <vt:lpstr>'- 15 -'!Print_Area</vt:lpstr>
      <vt:lpstr>'- 16 -'!Print_Area</vt:lpstr>
      <vt:lpstr>'- 17 -'!Print_Area</vt:lpstr>
      <vt:lpstr>'- 18 -'!Print_Area</vt:lpstr>
      <vt:lpstr>'- 19 -'!Print_Area</vt:lpstr>
      <vt:lpstr>'- 20 -'!Print_Area</vt:lpstr>
      <vt:lpstr>'- 21 -'!Print_Area</vt:lpstr>
      <vt:lpstr>'- 22 -'!Print_Area</vt:lpstr>
      <vt:lpstr>'- 23 -'!Print_Area</vt:lpstr>
      <vt:lpstr>'- 24 -'!Print_Area</vt:lpstr>
      <vt:lpstr>'- 25 -'!Print_Area</vt:lpstr>
      <vt:lpstr>'- 26 -'!Print_Area</vt:lpstr>
      <vt:lpstr>'- 27 -'!Print_Area</vt:lpstr>
      <vt:lpstr>'- 28 -'!Print_Area</vt:lpstr>
      <vt:lpstr>'- 29 -'!Print_Area</vt:lpstr>
      <vt:lpstr>'- 3 -'!Print_Area</vt:lpstr>
      <vt:lpstr>'- 30 -'!Print_Area</vt:lpstr>
      <vt:lpstr>'- 31 -'!Print_Area</vt:lpstr>
      <vt:lpstr>'- 32 -'!Print_Area</vt:lpstr>
      <vt:lpstr>'- 33 -'!Print_Area</vt:lpstr>
      <vt:lpstr>'- 34 -'!Print_Area</vt:lpstr>
      <vt:lpstr>'- 35 -'!Print_Area</vt:lpstr>
      <vt:lpstr>'- 36 -'!Print_Area</vt:lpstr>
      <vt:lpstr>'- 37 -'!Print_Area</vt:lpstr>
      <vt:lpstr>'- 38 -'!Print_Area</vt:lpstr>
      <vt:lpstr>'- 39 -'!Print_Area</vt:lpstr>
      <vt:lpstr>'- 4 -'!Print_Area</vt:lpstr>
      <vt:lpstr>'- 41 -'!Print_Area</vt:lpstr>
      <vt:lpstr>'- 42 -'!Print_Area</vt:lpstr>
      <vt:lpstr>'- 43 -'!Print_Area</vt:lpstr>
      <vt:lpstr>'- 44 -'!Print_Area</vt:lpstr>
      <vt:lpstr>'- 45 -'!Print_Area</vt:lpstr>
      <vt:lpstr>'- 46 -'!Print_Area</vt:lpstr>
      <vt:lpstr>'- 48 -'!Print_Area</vt:lpstr>
      <vt:lpstr>'- 49 - '!Print_Area</vt:lpstr>
      <vt:lpstr>'- 51 -'!Print_Area</vt:lpstr>
      <vt:lpstr>'- 52 -'!Print_Area</vt:lpstr>
      <vt:lpstr>'- 53 -'!Print_Area</vt:lpstr>
      <vt:lpstr>'- 54 -'!Print_Area</vt:lpstr>
      <vt:lpstr>'- 55 -'!Print_Area</vt:lpstr>
      <vt:lpstr>'- 56 -'!Print_Area</vt:lpstr>
      <vt:lpstr>'- 57 -'!Print_Area</vt:lpstr>
      <vt:lpstr>'- 58 -'!Print_Area</vt:lpstr>
      <vt:lpstr>'- 59 -'!Print_Area</vt:lpstr>
      <vt:lpstr>'- 6 -'!Print_Area</vt:lpstr>
      <vt:lpstr>'- 60 -'!Print_Area</vt:lpstr>
      <vt:lpstr>'- 61 -'!Print_Area</vt:lpstr>
      <vt:lpstr>'- 7 -'!Print_Area</vt:lpstr>
      <vt:lpstr>'- 8 -'!Print_Area</vt:lpstr>
      <vt:lpstr>'- 9 -'!Print_Area</vt:lpstr>
      <vt:lpstr>Data!Print_Area</vt:lpstr>
      <vt:lpstr>README!Print_Area</vt:lpstr>
      <vt:lpstr>REVYEAR</vt:lpstr>
      <vt:lpstr>STATDATE</vt:lpstr>
      <vt:lpstr>TAXYEAR</vt:lpstr>
      <vt:lpstr>YEAR</vt:lpstr>
    </vt:vector>
  </TitlesOfParts>
  <Company>Government of Manitoba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Pizarro, Gonzalo (EDU)</dc:creator>
  <cp:lastModifiedBy>GPizarro</cp:lastModifiedBy>
  <cp:lastPrinted>2014-09-24T18:53:53Z</cp:lastPrinted>
  <dcterms:created xsi:type="dcterms:W3CDTF">1999-01-19T20:49:35Z</dcterms:created>
  <dcterms:modified xsi:type="dcterms:W3CDTF">2014-10-06T20:31:46Z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-1076871220</vt:i4>
  </property>
  <property fmtid="{D5CDD505-2E9C-101B-9397-08002B2CF9AE}" pid="3" name="_NewReviewCycle">
    <vt:lpwstr/>
  </property>
  <property fmtid="{D5CDD505-2E9C-101B-9397-08002B2CF9AE}" pid="4" name="_EmailSubject">
    <vt:lpwstr>2014/15 FRAME Budget Resport for posting.</vt:lpwstr>
  </property>
  <property fmtid="{D5CDD505-2E9C-101B-9397-08002B2CF9AE}" pid="5" name="_AuthorEmail">
    <vt:lpwstr>Gonzalo.Pizarro@gov.mb.ca</vt:lpwstr>
  </property>
  <property fmtid="{D5CDD505-2E9C-101B-9397-08002B2CF9AE}" pid="6" name="_AuthorEmailDisplayName">
    <vt:lpwstr>Pizarro, Gonzalo (EAL)</vt:lpwstr>
  </property>
</Properties>
</file>